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S:\IEVIEŠANAS UZRAUDZĪBA\ZIŅOJUMI_MAKSĀJUMU PROGNOZES EK\VI_regularie_zinojumi_MK_ES_fondi\1 - MK\2018.gads\36_01.03.2019\3_saskanosanas process_precizejumi uz MK\Ziņojums_uz_MK\"/>
    </mc:Choice>
  </mc:AlternateContent>
  <bookViews>
    <workbookView xWindow="0" yWindow="0" windowWidth="28800" windowHeight="9585" firstSheet="1" activeTab="1"/>
  </bookViews>
  <sheets>
    <sheet name="Sn.ietv.PV_un_SAM_24082018" sheetId="22" state="hidden" r:id="rId1"/>
    <sheet name="FMzinp4_250219_Sn_ietv" sheetId="38" r:id="rId2"/>
    <sheet name="1.Izklājlapa_28.02.2019." sheetId="41" state="hidden" r:id="rId3"/>
    <sheet name="2.Izklājlapa 31.12.2018." sheetId="39" state="hidden" r:id="rId4"/>
    <sheet name="SI_2018_izpilde_PV_Fonds" sheetId="37" state="hidden" r:id="rId5"/>
    <sheet name="Sn.ietv.4PV_ERAF_10072018" sheetId="34" state="hidden" r:id="rId6"/>
    <sheet name="Sn.ietv.5PV_KF_10072018" sheetId="35" state="hidden" r:id="rId7"/>
    <sheet name="Sn.ietv.5PV_ERAF_10072018" sheetId="36" state="hidden" r:id="rId8"/>
  </sheets>
  <externalReferences>
    <externalReference r:id="rId9"/>
    <externalReference r:id="rId10"/>
  </externalReferences>
  <definedNames>
    <definedName name="_xlnm._FilterDatabase" localSheetId="2" hidden="1">'1.Izklājlapa_28.02.2019.'!$A$28:$AB$160</definedName>
    <definedName name="_xlnm._FilterDatabase" localSheetId="3" hidden="1">'2.Izklājlapa 31.12.2018.'!$A$28:$AA$160</definedName>
    <definedName name="_xlnm._FilterDatabase" localSheetId="1" hidden="1">FMzinp4_250219_Sn_ietv!$A$28:$AD$158</definedName>
    <definedName name="_xlnm._FilterDatabase" localSheetId="4" hidden="1">SI_2018_izpilde_PV_Fonds!$A$6:$G$51</definedName>
    <definedName name="_xlnm._FilterDatabase" localSheetId="5" hidden="1">Sn.ietv.4PV_ERAF_10072018!$A$25:$S$157</definedName>
    <definedName name="_xlnm._FilterDatabase" localSheetId="7" hidden="1">Sn.ietv.5PV_ERAF_10072018!$A$25:$S$157</definedName>
    <definedName name="_xlnm._FilterDatabase" localSheetId="6" hidden="1">Sn.ietv.5PV_KF_10072018!$A$25:$S$157</definedName>
    <definedName name="_xlnm._FilterDatabase" localSheetId="0" hidden="1">Sn.ietv.PV_un_SAM_24082018!$A$26:$X$158</definedName>
    <definedName name="kopa">'[1]MP iesniegšanas prognozes'!$BJ:$BJ</definedName>
    <definedName name="Pr.Nr">[2]atlases_status!$D:$D</definedName>
    <definedName name="_xlnm.Print_Area" localSheetId="2">'1.Izklājlapa_28.02.2019.'!$A$2:$Q$163</definedName>
    <definedName name="_xlnm.Print_Area" localSheetId="3">'2.Izklājlapa 31.12.2018.'!$A$2:$U$163</definedName>
    <definedName name="_xlnm.Print_Area" localSheetId="1">FMzinp4_250219_Sn_ietv!$A$2:$T$169</definedName>
    <definedName name="_xlnm.Print_Area" localSheetId="4">SI_2018_izpilde_PV_Fonds!$A$1:$Q$54</definedName>
    <definedName name="_xlnm.Print_Area" localSheetId="5">Sn.ietv.4PV_ERAF_10072018!$A$2:$R$160</definedName>
    <definedName name="_xlnm.Print_Area" localSheetId="7">Sn.ietv.5PV_ERAF_10072018!$A$2:$R$160</definedName>
    <definedName name="_xlnm.Print_Area" localSheetId="6">Sn.ietv.5PV_KF_10072018!$A$2:$R$160</definedName>
    <definedName name="_xlnm.Print_Area" localSheetId="0">Sn.ietv.PV_un_SAM_24082018!$A$2:$U$161</definedName>
    <definedName name="_xlnm.Print_Titles" localSheetId="2">'1.Izklājlapa_28.02.2019.'!$8:$10</definedName>
    <definedName name="_xlnm.Print_Titles" localSheetId="3">'2.Izklājlapa 31.12.2018.'!$8:$10</definedName>
    <definedName name="_xlnm.Print_Titles" localSheetId="1">FMzinp4_250219_Sn_ietv!$8:$10</definedName>
    <definedName name="_xlnm.Print_Titles" localSheetId="4">SI_2018_izpilde_PV_Fonds!$4:$6</definedName>
    <definedName name="_xlnm.Print_Titles" localSheetId="5">Sn.ietv.4PV_ERAF_10072018!$6:$25</definedName>
    <definedName name="_xlnm.Print_Titles" localSheetId="7">Sn.ietv.5PV_ERAF_10072018!$6:$25</definedName>
    <definedName name="_xlnm.Print_Titles" localSheetId="6">Sn.ietv.5PV_KF_10072018!$6:$25</definedName>
    <definedName name="_xlnm.Print_Titles" localSheetId="0">Sn.ietv.PV_un_SAM_24082018!$6:$26</definedName>
    <definedName name="Statuss">[2]atlases_status!$C:$C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38" l="1"/>
  <c r="L30" i="38" l="1"/>
  <c r="P13" i="38" l="1"/>
  <c r="P14" i="38"/>
  <c r="P15" i="38"/>
  <c r="P17" i="38"/>
  <c r="P18" i="38"/>
  <c r="P19" i="38"/>
  <c r="P20" i="38"/>
  <c r="P21" i="38"/>
  <c r="P22" i="38"/>
  <c r="P23" i="38"/>
  <c r="P24" i="38"/>
  <c r="P25" i="38"/>
  <c r="P26" i="38"/>
  <c r="P27" i="38"/>
  <c r="P141" i="38"/>
  <c r="P142" i="38"/>
  <c r="P143" i="38"/>
  <c r="P144" i="38"/>
  <c r="P145" i="38"/>
  <c r="P146" i="38"/>
  <c r="P147" i="38"/>
  <c r="P148" i="38"/>
  <c r="P149" i="38"/>
  <c r="P150" i="38"/>
  <c r="P151" i="38"/>
  <c r="P152" i="38"/>
  <c r="P153" i="38"/>
  <c r="P154" i="38"/>
  <c r="P155" i="38"/>
  <c r="P156" i="38"/>
  <c r="P157" i="38"/>
  <c r="P158" i="38"/>
  <c r="P140" i="38"/>
  <c r="P137" i="38"/>
  <c r="P138" i="38"/>
  <c r="P136" i="38"/>
  <c r="P119" i="38"/>
  <c r="P120" i="38"/>
  <c r="P121" i="38"/>
  <c r="P122" i="38"/>
  <c r="P123" i="38"/>
  <c r="P124" i="38"/>
  <c r="P125" i="38"/>
  <c r="P126" i="38"/>
  <c r="P127" i="38"/>
  <c r="P128" i="38"/>
  <c r="P129" i="38"/>
  <c r="P130" i="38"/>
  <c r="P131" i="38"/>
  <c r="P132" i="38"/>
  <c r="P133" i="38"/>
  <c r="P134" i="38"/>
  <c r="P118" i="38"/>
  <c r="P114" i="38"/>
  <c r="P115" i="38"/>
  <c r="P116" i="38"/>
  <c r="P113" i="38"/>
  <c r="P111" i="38"/>
  <c r="P110" i="38"/>
  <c r="P102" i="38"/>
  <c r="P103" i="38"/>
  <c r="P104" i="38"/>
  <c r="P105" i="38"/>
  <c r="P106" i="38"/>
  <c r="P107" i="38"/>
  <c r="P108" i="38"/>
  <c r="P101" i="38"/>
  <c r="P92" i="38"/>
  <c r="P93" i="38"/>
  <c r="P94" i="38"/>
  <c r="P95" i="38"/>
  <c r="P96" i="38"/>
  <c r="P97" i="38"/>
  <c r="P98" i="38"/>
  <c r="P99" i="38"/>
  <c r="P91" i="38"/>
  <c r="P89" i="38"/>
  <c r="P82" i="38"/>
  <c r="P83" i="38"/>
  <c r="P84" i="38"/>
  <c r="P85" i="38"/>
  <c r="P86" i="38"/>
  <c r="P87" i="38"/>
  <c r="P81" i="38"/>
  <c r="P74" i="38"/>
  <c r="P75" i="38"/>
  <c r="P76" i="38"/>
  <c r="P77" i="38"/>
  <c r="P78" i="38"/>
  <c r="P79" i="38"/>
  <c r="P73" i="38"/>
  <c r="P69" i="38"/>
  <c r="P70" i="38"/>
  <c r="P71" i="38"/>
  <c r="P68" i="38"/>
  <c r="P64" i="38"/>
  <c r="P65" i="38"/>
  <c r="P66" i="38"/>
  <c r="P63" i="38"/>
  <c r="P59" i="38"/>
  <c r="P60" i="38"/>
  <c r="P61" i="38"/>
  <c r="P58" i="38"/>
  <c r="P56" i="38"/>
  <c r="P55" i="38"/>
  <c r="P54" i="38"/>
  <c r="P51" i="38"/>
  <c r="P50" i="38"/>
  <c r="P52" i="38"/>
  <c r="P46" i="38"/>
  <c r="P43" i="38"/>
  <c r="P44" i="38"/>
  <c r="P42" i="38"/>
  <c r="P40" i="38"/>
  <c r="P39" i="38"/>
  <c r="P38" i="38"/>
  <c r="P37" i="38"/>
  <c r="P36" i="38"/>
  <c r="P35" i="38"/>
  <c r="P34" i="38"/>
  <c r="P33" i="38"/>
  <c r="P32" i="38"/>
  <c r="P31" i="38"/>
  <c r="P30" i="38"/>
  <c r="N27" i="38" l="1"/>
  <c r="N26" i="38"/>
  <c r="N25" i="38"/>
  <c r="N24" i="38"/>
  <c r="N23" i="38"/>
  <c r="N22" i="38"/>
  <c r="N21" i="38"/>
  <c r="N20" i="38"/>
  <c r="N19" i="38"/>
  <c r="N18" i="38"/>
  <c r="N17" i="38"/>
  <c r="N16" i="38"/>
  <c r="N15" i="38"/>
  <c r="N14" i="38"/>
  <c r="N13" i="38"/>
  <c r="N12" i="38"/>
  <c r="N11" i="38" l="1"/>
  <c r="T141" i="38" l="1"/>
  <c r="T142" i="38"/>
  <c r="T143" i="38"/>
  <c r="T144" i="38"/>
  <c r="T145" i="38"/>
  <c r="T146" i="38"/>
  <c r="T147" i="38"/>
  <c r="T148" i="38"/>
  <c r="T149" i="38"/>
  <c r="T150" i="38"/>
  <c r="T151" i="38"/>
  <c r="T152" i="38"/>
  <c r="T153" i="38"/>
  <c r="T154" i="38"/>
  <c r="T155" i="38"/>
  <c r="T156" i="38"/>
  <c r="T157" i="38"/>
  <c r="T158" i="38"/>
  <c r="T140" i="38"/>
  <c r="T137" i="38"/>
  <c r="T138" i="38"/>
  <c r="T136" i="38"/>
  <c r="T119" i="38"/>
  <c r="T120" i="38"/>
  <c r="T121" i="38"/>
  <c r="T122" i="38"/>
  <c r="T123" i="38"/>
  <c r="T124" i="38"/>
  <c r="T125" i="38"/>
  <c r="T126" i="38"/>
  <c r="T127" i="38"/>
  <c r="T128" i="38"/>
  <c r="T129" i="38"/>
  <c r="T130" i="38"/>
  <c r="T131" i="38"/>
  <c r="T132" i="38"/>
  <c r="T133" i="38"/>
  <c r="T134" i="38"/>
  <c r="T118" i="38"/>
  <c r="T114" i="38"/>
  <c r="T115" i="38"/>
  <c r="T116" i="38"/>
  <c r="T113" i="38"/>
  <c r="T111" i="38"/>
  <c r="T110" i="38"/>
  <c r="T102" i="38"/>
  <c r="T103" i="38"/>
  <c r="T104" i="38"/>
  <c r="T105" i="38"/>
  <c r="T106" i="38"/>
  <c r="T107" i="38"/>
  <c r="T108" i="38"/>
  <c r="T101" i="38"/>
  <c r="T92" i="38"/>
  <c r="T93" i="38"/>
  <c r="T94" i="38"/>
  <c r="T95" i="38"/>
  <c r="T96" i="38"/>
  <c r="T97" i="38"/>
  <c r="T98" i="38"/>
  <c r="T99" i="38"/>
  <c r="T91" i="38"/>
  <c r="T89" i="38"/>
  <c r="T82" i="38"/>
  <c r="T83" i="38"/>
  <c r="T84" i="38"/>
  <c r="T85" i="38"/>
  <c r="T86" i="38"/>
  <c r="T87" i="38"/>
  <c r="T81" i="38"/>
  <c r="T74" i="38"/>
  <c r="T75" i="38"/>
  <c r="T76" i="38"/>
  <c r="T77" i="38"/>
  <c r="T78" i="38"/>
  <c r="T79" i="38"/>
  <c r="T73" i="38"/>
  <c r="T69" i="38"/>
  <c r="T70" i="38"/>
  <c r="T71" i="38"/>
  <c r="T68" i="38"/>
  <c r="T64" i="38"/>
  <c r="T65" i="38"/>
  <c r="T66" i="38"/>
  <c r="T63" i="38"/>
  <c r="T59" i="38"/>
  <c r="T60" i="38"/>
  <c r="T61" i="38"/>
  <c r="T58" i="38"/>
  <c r="T55" i="38"/>
  <c r="T56" i="38"/>
  <c r="T54" i="38"/>
  <c r="T52" i="38"/>
  <c r="T46" i="38"/>
  <c r="T51" i="38"/>
  <c r="T50" i="38"/>
  <c r="T44" i="38"/>
  <c r="T43" i="38"/>
  <c r="T42" i="38"/>
  <c r="T31" i="38"/>
  <c r="T32" i="38"/>
  <c r="T33" i="38"/>
  <c r="T34" i="38"/>
  <c r="T35" i="38"/>
  <c r="T36" i="38"/>
  <c r="T37" i="38"/>
  <c r="T38" i="38"/>
  <c r="T39" i="38"/>
  <c r="T40" i="38"/>
  <c r="T30" i="38"/>
  <c r="S141" i="38"/>
  <c r="S142" i="38"/>
  <c r="S143" i="38"/>
  <c r="S144" i="38"/>
  <c r="S145" i="38"/>
  <c r="S146" i="38"/>
  <c r="S147" i="38"/>
  <c r="S148" i="38"/>
  <c r="S149" i="38"/>
  <c r="S150" i="38"/>
  <c r="S151" i="38"/>
  <c r="S152" i="38"/>
  <c r="S153" i="38"/>
  <c r="S154" i="38"/>
  <c r="S155" i="38"/>
  <c r="S156" i="38"/>
  <c r="S157" i="38"/>
  <c r="S158" i="38"/>
  <c r="S140" i="38"/>
  <c r="S137" i="38"/>
  <c r="S138" i="38"/>
  <c r="S136" i="38"/>
  <c r="S119" i="38"/>
  <c r="S120" i="38"/>
  <c r="S121" i="38"/>
  <c r="S122" i="38"/>
  <c r="S123" i="38"/>
  <c r="S124" i="38"/>
  <c r="S125" i="38"/>
  <c r="S126" i="38"/>
  <c r="S127" i="38"/>
  <c r="S128" i="38"/>
  <c r="S129" i="38"/>
  <c r="S130" i="38"/>
  <c r="S131" i="38"/>
  <c r="S132" i="38"/>
  <c r="S133" i="38"/>
  <c r="S134" i="38"/>
  <c r="S118" i="38"/>
  <c r="S114" i="38"/>
  <c r="S115" i="38"/>
  <c r="S116" i="38"/>
  <c r="S113" i="38"/>
  <c r="S111" i="38"/>
  <c r="S110" i="38"/>
  <c r="S108" i="38"/>
  <c r="S107" i="38"/>
  <c r="S106" i="38"/>
  <c r="S105" i="38"/>
  <c r="S104" i="38"/>
  <c r="S103" i="38"/>
  <c r="S102" i="38"/>
  <c r="S101" i="38"/>
  <c r="S92" i="38"/>
  <c r="S93" i="38"/>
  <c r="S94" i="38"/>
  <c r="S95" i="38"/>
  <c r="S96" i="38"/>
  <c r="S97" i="38"/>
  <c r="S98" i="38"/>
  <c r="S99" i="38"/>
  <c r="S91" i="38"/>
  <c r="S89" i="38"/>
  <c r="S82" i="38"/>
  <c r="S83" i="38"/>
  <c r="S84" i="38"/>
  <c r="S85" i="38"/>
  <c r="S86" i="38"/>
  <c r="S87" i="38"/>
  <c r="S81" i="38"/>
  <c r="S74" i="38"/>
  <c r="S75" i="38"/>
  <c r="S76" i="38"/>
  <c r="S77" i="38"/>
  <c r="S78" i="38"/>
  <c r="S79" i="38"/>
  <c r="S73" i="38"/>
  <c r="S69" i="38"/>
  <c r="S70" i="38"/>
  <c r="S71" i="38"/>
  <c r="S68" i="38"/>
  <c r="S64" i="38"/>
  <c r="S65" i="38"/>
  <c r="S66" i="38"/>
  <c r="S63" i="38"/>
  <c r="S59" i="38"/>
  <c r="S60" i="38"/>
  <c r="S61" i="38"/>
  <c r="S58" i="38"/>
  <c r="S56" i="38"/>
  <c r="S55" i="38"/>
  <c r="S54" i="38"/>
  <c r="S51" i="38"/>
  <c r="S50" i="38"/>
  <c r="S52" i="38"/>
  <c r="S46" i="38"/>
  <c r="S44" i="38"/>
  <c r="S43" i="38"/>
  <c r="S42" i="38"/>
  <c r="S40" i="38"/>
  <c r="S39" i="38"/>
  <c r="S38" i="38"/>
  <c r="S37" i="38"/>
  <c r="S36" i="38"/>
  <c r="S35" i="38"/>
  <c r="S34" i="38"/>
  <c r="S33" i="38"/>
  <c r="S31" i="38"/>
  <c r="S32" i="38"/>
  <c r="S30" i="38"/>
  <c r="K141" i="38" l="1"/>
  <c r="K142" i="38"/>
  <c r="K143" i="38"/>
  <c r="K144" i="38"/>
  <c r="K145" i="38"/>
  <c r="K146" i="38"/>
  <c r="K147" i="38"/>
  <c r="K148" i="38"/>
  <c r="K149" i="38"/>
  <c r="K150" i="38"/>
  <c r="K151" i="38"/>
  <c r="K152" i="38"/>
  <c r="K153" i="38"/>
  <c r="K154" i="38"/>
  <c r="K155" i="38"/>
  <c r="K156" i="38"/>
  <c r="K157" i="38"/>
  <c r="K158" i="38"/>
  <c r="K140" i="38"/>
  <c r="K137" i="38"/>
  <c r="K138" i="38"/>
  <c r="K136" i="38"/>
  <c r="K119" i="38"/>
  <c r="K120" i="38"/>
  <c r="K121" i="38"/>
  <c r="K122" i="38"/>
  <c r="K123" i="38"/>
  <c r="K124" i="38"/>
  <c r="K125" i="38"/>
  <c r="K126" i="38"/>
  <c r="K127" i="38"/>
  <c r="K128" i="38"/>
  <c r="K129" i="38"/>
  <c r="K130" i="38"/>
  <c r="K131" i="38"/>
  <c r="K132" i="38"/>
  <c r="K133" i="38"/>
  <c r="K134" i="38"/>
  <c r="K118" i="38"/>
  <c r="K114" i="38"/>
  <c r="K115" i="38"/>
  <c r="K116" i="38"/>
  <c r="K113" i="38"/>
  <c r="K111" i="38"/>
  <c r="K110" i="38"/>
  <c r="K102" i="38"/>
  <c r="K103" i="38"/>
  <c r="K104" i="38"/>
  <c r="K106" i="38"/>
  <c r="K107" i="38"/>
  <c r="K108" i="38"/>
  <c r="K101" i="38"/>
  <c r="K92" i="38"/>
  <c r="K93" i="38"/>
  <c r="K94" i="38"/>
  <c r="K95" i="38"/>
  <c r="K96" i="38"/>
  <c r="K97" i="38"/>
  <c r="K98" i="38"/>
  <c r="K99" i="38"/>
  <c r="K91" i="38"/>
  <c r="K89" i="38"/>
  <c r="K82" i="38"/>
  <c r="K83" i="38"/>
  <c r="K84" i="38"/>
  <c r="K85" i="38"/>
  <c r="K86" i="38"/>
  <c r="K87" i="38"/>
  <c r="K81" i="38"/>
  <c r="K74" i="38"/>
  <c r="K75" i="38"/>
  <c r="K76" i="38"/>
  <c r="K77" i="38"/>
  <c r="K78" i="38"/>
  <c r="K79" i="38"/>
  <c r="K73" i="38"/>
  <c r="K69" i="38"/>
  <c r="K70" i="38"/>
  <c r="K71" i="38"/>
  <c r="K68" i="38"/>
  <c r="K64" i="38"/>
  <c r="K66" i="38"/>
  <c r="K63" i="38"/>
  <c r="K59" i="38"/>
  <c r="K60" i="38"/>
  <c r="K58" i="38"/>
  <c r="K56" i="38"/>
  <c r="K55" i="38"/>
  <c r="K54" i="38"/>
  <c r="K52" i="38"/>
  <c r="K51" i="38"/>
  <c r="K50" i="38"/>
  <c r="K44" i="38"/>
  <c r="K43" i="38"/>
  <c r="K42" i="38"/>
  <c r="K31" i="38"/>
  <c r="K32" i="38"/>
  <c r="K33" i="38"/>
  <c r="K34" i="38"/>
  <c r="K36" i="38"/>
  <c r="K37" i="38"/>
  <c r="K38" i="38"/>
  <c r="K39" i="38"/>
  <c r="K40" i="38"/>
  <c r="J105" i="38"/>
  <c r="K105" i="38" s="1"/>
  <c r="J46" i="38"/>
  <c r="K46" i="38" s="1"/>
  <c r="J65" i="38"/>
  <c r="K65" i="38" s="1"/>
  <c r="J35" i="38"/>
  <c r="K35" i="38" s="1"/>
  <c r="J30" i="38"/>
  <c r="K30" i="38" s="1"/>
  <c r="J12" i="38" l="1"/>
  <c r="J13" i="38"/>
  <c r="J14" i="38"/>
  <c r="J15" i="38"/>
  <c r="J16" i="38"/>
  <c r="J17" i="38"/>
  <c r="J18" i="38"/>
  <c r="J19" i="38"/>
  <c r="J20" i="38"/>
  <c r="J21" i="38"/>
  <c r="J22" i="38"/>
  <c r="J23" i="38"/>
  <c r="J24" i="38"/>
  <c r="J25" i="38"/>
  <c r="J26" i="38"/>
  <c r="J27" i="38"/>
  <c r="J11" i="38" l="1"/>
  <c r="R30" i="38"/>
  <c r="W31" i="38"/>
  <c r="Y31" i="38"/>
  <c r="W32" i="38"/>
  <c r="Y32" i="38"/>
  <c r="W33" i="38"/>
  <c r="Y33" i="38"/>
  <c r="W34" i="38"/>
  <c r="Y34" i="38"/>
  <c r="W35" i="38"/>
  <c r="Y35" i="38"/>
  <c r="W36" i="38"/>
  <c r="Y36" i="38"/>
  <c r="W37" i="38"/>
  <c r="Y37" i="38"/>
  <c r="W38" i="38"/>
  <c r="Y38" i="38"/>
  <c r="W39" i="38"/>
  <c r="Y39" i="38"/>
  <c r="W40" i="38"/>
  <c r="Y40" i="38"/>
  <c r="W41" i="38"/>
  <c r="Y41" i="38"/>
  <c r="W42" i="38"/>
  <c r="Y42" i="38"/>
  <c r="W43" i="38"/>
  <c r="Y43" i="38"/>
  <c r="W44" i="38"/>
  <c r="Y44" i="38"/>
  <c r="W45" i="38"/>
  <c r="Y45" i="38"/>
  <c r="W46" i="38"/>
  <c r="Y46" i="38"/>
  <c r="W47" i="38"/>
  <c r="Y47" i="38"/>
  <c r="W48" i="38"/>
  <c r="Y48" i="38"/>
  <c r="W49" i="38"/>
  <c r="Y49" i="38"/>
  <c r="W50" i="38"/>
  <c r="Y50" i="38"/>
  <c r="W51" i="38"/>
  <c r="Y51" i="38"/>
  <c r="W52" i="38"/>
  <c r="Y52" i="38"/>
  <c r="W53" i="38"/>
  <c r="Y53" i="38"/>
  <c r="W54" i="38"/>
  <c r="Y54" i="38"/>
  <c r="W55" i="38"/>
  <c r="Y55" i="38"/>
  <c r="W56" i="38"/>
  <c r="Y56" i="38"/>
  <c r="W57" i="38"/>
  <c r="Y57" i="38"/>
  <c r="W58" i="38"/>
  <c r="Y58" i="38"/>
  <c r="W59" i="38"/>
  <c r="Y59" i="38"/>
  <c r="W60" i="38"/>
  <c r="Y60" i="38"/>
  <c r="W61" i="38"/>
  <c r="Y61" i="38"/>
  <c r="W62" i="38"/>
  <c r="Y62" i="38"/>
  <c r="W63" i="38"/>
  <c r="Y63" i="38"/>
  <c r="W65" i="38"/>
  <c r="Y65" i="38"/>
  <c r="W66" i="38"/>
  <c r="Y66" i="38"/>
  <c r="W67" i="38"/>
  <c r="Y67" i="38"/>
  <c r="W68" i="38"/>
  <c r="Y68" i="38"/>
  <c r="W69" i="38"/>
  <c r="Y69" i="38"/>
  <c r="W71" i="38"/>
  <c r="Y71" i="38"/>
  <c r="W72" i="38"/>
  <c r="Y72" i="38"/>
  <c r="W73" i="38"/>
  <c r="Y73" i="38"/>
  <c r="W74" i="38"/>
  <c r="Y74" i="38"/>
  <c r="W75" i="38"/>
  <c r="Y75" i="38"/>
  <c r="W76" i="38"/>
  <c r="Y76" i="38"/>
  <c r="W78" i="38"/>
  <c r="Y78" i="38"/>
  <c r="W80" i="38"/>
  <c r="Y80" i="38"/>
  <c r="W81" i="38"/>
  <c r="Y81" i="38"/>
  <c r="W82" i="38"/>
  <c r="Y82" i="38"/>
  <c r="W83" i="38"/>
  <c r="Y83" i="38"/>
  <c r="W85" i="38"/>
  <c r="Y85" i="38"/>
  <c r="W86" i="38"/>
  <c r="Y86" i="38"/>
  <c r="W87" i="38"/>
  <c r="Y87" i="38"/>
  <c r="W88" i="38"/>
  <c r="Y88" i="38"/>
  <c r="W90" i="38"/>
  <c r="Y90" i="38"/>
  <c r="W91" i="38"/>
  <c r="Y91" i="38"/>
  <c r="W92" i="38"/>
  <c r="Y92" i="38"/>
  <c r="W93" i="38"/>
  <c r="Y93" i="38"/>
  <c r="W94" i="38"/>
  <c r="Y94" i="38"/>
  <c r="W95" i="38"/>
  <c r="Y95" i="38"/>
  <c r="W96" i="38"/>
  <c r="Y96" i="38"/>
  <c r="W98" i="38"/>
  <c r="Y98" i="38"/>
  <c r="W99" i="38"/>
  <c r="Y99" i="38"/>
  <c r="W100" i="38"/>
  <c r="Y100" i="38"/>
  <c r="W101" i="38"/>
  <c r="Y101" i="38"/>
  <c r="W102" i="38"/>
  <c r="Y102" i="38"/>
  <c r="W103" i="38"/>
  <c r="Y103" i="38"/>
  <c r="W104" i="38"/>
  <c r="Y104" i="38"/>
  <c r="W105" i="38"/>
  <c r="Y105" i="38"/>
  <c r="W106" i="38"/>
  <c r="Y106" i="38"/>
  <c r="W107" i="38"/>
  <c r="Y107" i="38"/>
  <c r="W108" i="38"/>
  <c r="Y108" i="38"/>
  <c r="W109" i="38"/>
  <c r="Y109" i="38"/>
  <c r="W110" i="38"/>
  <c r="Y110" i="38"/>
  <c r="W111" i="38"/>
  <c r="Y111" i="38"/>
  <c r="W112" i="38"/>
  <c r="Y112" i="38"/>
  <c r="W113" i="38"/>
  <c r="Y113" i="38"/>
  <c r="W114" i="38"/>
  <c r="Y114" i="38"/>
  <c r="W115" i="38"/>
  <c r="Y115" i="38"/>
  <c r="W116" i="38"/>
  <c r="Y116" i="38"/>
  <c r="W117" i="38"/>
  <c r="Y117" i="38"/>
  <c r="W118" i="38"/>
  <c r="Y118" i="38"/>
  <c r="W119" i="38"/>
  <c r="Y119" i="38"/>
  <c r="W120" i="38"/>
  <c r="Y120" i="38"/>
  <c r="W121" i="38"/>
  <c r="Y121" i="38"/>
  <c r="W122" i="38"/>
  <c r="Y122" i="38"/>
  <c r="W123" i="38"/>
  <c r="Y123" i="38"/>
  <c r="W124" i="38"/>
  <c r="Y124" i="38"/>
  <c r="W125" i="38"/>
  <c r="Y125" i="38"/>
  <c r="W126" i="38"/>
  <c r="Y126" i="38"/>
  <c r="W127" i="38"/>
  <c r="Y127" i="38"/>
  <c r="W128" i="38"/>
  <c r="Y128" i="38"/>
  <c r="W129" i="38"/>
  <c r="Y129" i="38"/>
  <c r="W130" i="38"/>
  <c r="Y130" i="38"/>
  <c r="W131" i="38"/>
  <c r="Y131" i="38"/>
  <c r="W132" i="38"/>
  <c r="Y132" i="38"/>
  <c r="W133" i="38"/>
  <c r="Y133" i="38"/>
  <c r="W134" i="38"/>
  <c r="Y134" i="38"/>
  <c r="W135" i="38"/>
  <c r="Y135" i="38"/>
  <c r="W136" i="38"/>
  <c r="Y136" i="38"/>
  <c r="W137" i="38"/>
  <c r="Y137" i="38"/>
  <c r="W138" i="38"/>
  <c r="Y138" i="38"/>
  <c r="W139" i="38"/>
  <c r="Y139" i="38"/>
  <c r="W140" i="38"/>
  <c r="Y140" i="38"/>
  <c r="W141" i="38"/>
  <c r="Y141" i="38"/>
  <c r="W142" i="38"/>
  <c r="Y142" i="38"/>
  <c r="W143" i="38"/>
  <c r="Y143" i="38"/>
  <c r="W144" i="38"/>
  <c r="Y144" i="38"/>
  <c r="W145" i="38"/>
  <c r="Y145" i="38"/>
  <c r="W146" i="38"/>
  <c r="Y146" i="38"/>
  <c r="W147" i="38"/>
  <c r="Y147" i="38"/>
  <c r="W148" i="38"/>
  <c r="Y148" i="38"/>
  <c r="W149" i="38"/>
  <c r="Y149" i="38"/>
  <c r="W150" i="38"/>
  <c r="Y150" i="38"/>
  <c r="W151" i="38"/>
  <c r="Y151" i="38"/>
  <c r="W152" i="38"/>
  <c r="Y152" i="38"/>
  <c r="W153" i="38"/>
  <c r="Y153" i="38"/>
  <c r="W154" i="38"/>
  <c r="Y154" i="38"/>
  <c r="W155" i="38"/>
  <c r="Y155" i="38"/>
  <c r="W156" i="38"/>
  <c r="Y156" i="38"/>
  <c r="W157" i="38"/>
  <c r="Y157" i="38"/>
  <c r="W158" i="38"/>
  <c r="Y158" i="38"/>
  <c r="W79" i="38" l="1"/>
  <c r="Y79" i="38"/>
  <c r="W89" i="38" l="1"/>
  <c r="Y89" i="38"/>
  <c r="W70" i="38"/>
  <c r="Y70" i="38"/>
  <c r="Y30" i="38"/>
  <c r="W30" i="38"/>
  <c r="W64" i="38"/>
  <c r="Y64" i="38"/>
  <c r="W84" i="38"/>
  <c r="Y84" i="38"/>
  <c r="W77" i="38"/>
  <c r="Y77" i="38"/>
  <c r="W97" i="38"/>
  <c r="Y97" i="38"/>
  <c r="J97" i="41"/>
  <c r="J84" i="41"/>
  <c r="J70" i="41"/>
  <c r="J89" i="41"/>
  <c r="J79" i="41"/>
  <c r="J77" i="41"/>
  <c r="J64" i="41"/>
  <c r="J30" i="41"/>
  <c r="V158" i="41"/>
  <c r="T158" i="41"/>
  <c r="Q158" i="41"/>
  <c r="P158" i="41"/>
  <c r="O158" i="41"/>
  <c r="M158" i="41"/>
  <c r="K158" i="41"/>
  <c r="V157" i="41"/>
  <c r="T157" i="41"/>
  <c r="Q157" i="41"/>
  <c r="P157" i="41"/>
  <c r="O157" i="41"/>
  <c r="M157" i="41"/>
  <c r="K157" i="41"/>
  <c r="V156" i="41"/>
  <c r="T156" i="41"/>
  <c r="Q156" i="41"/>
  <c r="P156" i="41"/>
  <c r="O156" i="41"/>
  <c r="M156" i="41"/>
  <c r="K156" i="41"/>
  <c r="V155" i="41"/>
  <c r="T155" i="41"/>
  <c r="Q155" i="41"/>
  <c r="P155" i="41"/>
  <c r="O155" i="41"/>
  <c r="M155" i="41"/>
  <c r="K155" i="41"/>
  <c r="V154" i="41"/>
  <c r="T154" i="41"/>
  <c r="Q154" i="41"/>
  <c r="P154" i="41"/>
  <c r="O154" i="41"/>
  <c r="M154" i="41"/>
  <c r="K154" i="41"/>
  <c r="V153" i="41"/>
  <c r="T153" i="41"/>
  <c r="Q153" i="41"/>
  <c r="P153" i="41"/>
  <c r="O153" i="41"/>
  <c r="M153" i="41"/>
  <c r="K153" i="41"/>
  <c r="V152" i="41"/>
  <c r="T152" i="41"/>
  <c r="Q152" i="41"/>
  <c r="P152" i="41"/>
  <c r="O152" i="41"/>
  <c r="M152" i="41"/>
  <c r="K152" i="41"/>
  <c r="V151" i="41"/>
  <c r="T151" i="41"/>
  <c r="Q151" i="41"/>
  <c r="P151" i="41"/>
  <c r="O151" i="41"/>
  <c r="M151" i="41"/>
  <c r="K151" i="41"/>
  <c r="V150" i="41"/>
  <c r="T150" i="41"/>
  <c r="Q150" i="41"/>
  <c r="P150" i="41"/>
  <c r="O150" i="41"/>
  <c r="M150" i="41"/>
  <c r="K150" i="41"/>
  <c r="V149" i="41"/>
  <c r="T149" i="41"/>
  <c r="Q149" i="41"/>
  <c r="P149" i="41"/>
  <c r="O149" i="41"/>
  <c r="M149" i="41"/>
  <c r="K149" i="41"/>
  <c r="V148" i="41"/>
  <c r="T148" i="41"/>
  <c r="Q148" i="41"/>
  <c r="P148" i="41"/>
  <c r="O148" i="41"/>
  <c r="M148" i="41"/>
  <c r="K148" i="41"/>
  <c r="V147" i="41"/>
  <c r="T147" i="41"/>
  <c r="Q147" i="41"/>
  <c r="P147" i="41"/>
  <c r="O147" i="41"/>
  <c r="M147" i="41"/>
  <c r="K147" i="41"/>
  <c r="V146" i="41"/>
  <c r="T146" i="41"/>
  <c r="Q146" i="41"/>
  <c r="P146" i="41"/>
  <c r="O146" i="41"/>
  <c r="M146" i="41"/>
  <c r="K146" i="41"/>
  <c r="V145" i="41"/>
  <c r="T145" i="41"/>
  <c r="Q145" i="41"/>
  <c r="P145" i="41"/>
  <c r="O145" i="41"/>
  <c r="M145" i="41"/>
  <c r="K145" i="41"/>
  <c r="V144" i="41"/>
  <c r="T144" i="41"/>
  <c r="Q144" i="41"/>
  <c r="P144" i="41"/>
  <c r="O144" i="41"/>
  <c r="M144" i="41"/>
  <c r="K144" i="41"/>
  <c r="V143" i="41"/>
  <c r="T143" i="41"/>
  <c r="Q143" i="41"/>
  <c r="P143" i="41"/>
  <c r="O143" i="41"/>
  <c r="M143" i="41"/>
  <c r="K143" i="41"/>
  <c r="V142" i="41"/>
  <c r="T142" i="41"/>
  <c r="Q142" i="41"/>
  <c r="P142" i="41"/>
  <c r="O142" i="41"/>
  <c r="M142" i="41"/>
  <c r="K142" i="41"/>
  <c r="V141" i="41"/>
  <c r="T141" i="41"/>
  <c r="Q141" i="41"/>
  <c r="P141" i="41"/>
  <c r="O141" i="41"/>
  <c r="M141" i="41"/>
  <c r="K141" i="41"/>
  <c r="V140" i="41"/>
  <c r="T140" i="41"/>
  <c r="Q140" i="41"/>
  <c r="P140" i="41"/>
  <c r="O140" i="41"/>
  <c r="M140" i="41"/>
  <c r="K140" i="41"/>
  <c r="V139" i="41"/>
  <c r="T139" i="41"/>
  <c r="V138" i="41"/>
  <c r="T138" i="41"/>
  <c r="Q138" i="41"/>
  <c r="P138" i="41"/>
  <c r="O138" i="41"/>
  <c r="M138" i="41"/>
  <c r="K138" i="41"/>
  <c r="V137" i="41"/>
  <c r="T137" i="41"/>
  <c r="Q137" i="41"/>
  <c r="P137" i="41"/>
  <c r="O137" i="41"/>
  <c r="M137" i="41"/>
  <c r="K137" i="41"/>
  <c r="V136" i="41"/>
  <c r="T136" i="41"/>
  <c r="Q136" i="41"/>
  <c r="P136" i="41"/>
  <c r="O136" i="41"/>
  <c r="M136" i="41"/>
  <c r="K136" i="41"/>
  <c r="V135" i="41"/>
  <c r="T135" i="41"/>
  <c r="V134" i="41"/>
  <c r="T134" i="41"/>
  <c r="Q134" i="41"/>
  <c r="P134" i="41"/>
  <c r="O134" i="41"/>
  <c r="M134" i="41"/>
  <c r="K134" i="41"/>
  <c r="V133" i="41"/>
  <c r="T133" i="41"/>
  <c r="Q133" i="41"/>
  <c r="P133" i="41"/>
  <c r="O133" i="41"/>
  <c r="M133" i="41"/>
  <c r="K133" i="41"/>
  <c r="V132" i="41"/>
  <c r="T132" i="41"/>
  <c r="Q132" i="41"/>
  <c r="P132" i="41"/>
  <c r="O132" i="41"/>
  <c r="M132" i="41"/>
  <c r="K132" i="41"/>
  <c r="V131" i="41"/>
  <c r="T131" i="41"/>
  <c r="Q131" i="41"/>
  <c r="P131" i="41"/>
  <c r="O131" i="41"/>
  <c r="M131" i="41"/>
  <c r="K131" i="41"/>
  <c r="V130" i="41"/>
  <c r="T130" i="41"/>
  <c r="Q130" i="41"/>
  <c r="P130" i="41"/>
  <c r="O130" i="41"/>
  <c r="M130" i="41"/>
  <c r="K130" i="41"/>
  <c r="V129" i="41"/>
  <c r="T129" i="41"/>
  <c r="Q129" i="41"/>
  <c r="P129" i="41"/>
  <c r="O129" i="41"/>
  <c r="M129" i="41"/>
  <c r="K129" i="41"/>
  <c r="V128" i="41"/>
  <c r="T128" i="41"/>
  <c r="Q128" i="41"/>
  <c r="P128" i="41"/>
  <c r="O128" i="41"/>
  <c r="M128" i="41"/>
  <c r="K128" i="41"/>
  <c r="V127" i="41"/>
  <c r="T127" i="41"/>
  <c r="Q127" i="41"/>
  <c r="P127" i="41"/>
  <c r="O127" i="41"/>
  <c r="M127" i="41"/>
  <c r="K127" i="41"/>
  <c r="V126" i="41"/>
  <c r="T126" i="41"/>
  <c r="Q126" i="41"/>
  <c r="P126" i="41"/>
  <c r="O126" i="41"/>
  <c r="M126" i="41"/>
  <c r="K126" i="41"/>
  <c r="V125" i="41"/>
  <c r="T125" i="41"/>
  <c r="Q125" i="41"/>
  <c r="P125" i="41"/>
  <c r="O125" i="41"/>
  <c r="M125" i="41"/>
  <c r="K125" i="41"/>
  <c r="V124" i="41"/>
  <c r="T124" i="41"/>
  <c r="Q124" i="41"/>
  <c r="P124" i="41"/>
  <c r="O124" i="41"/>
  <c r="M124" i="41"/>
  <c r="K124" i="41"/>
  <c r="V123" i="41"/>
  <c r="T123" i="41"/>
  <c r="Q123" i="41"/>
  <c r="P123" i="41"/>
  <c r="O123" i="41"/>
  <c r="M123" i="41"/>
  <c r="K123" i="41"/>
  <c r="V122" i="41"/>
  <c r="T122" i="41"/>
  <c r="Q122" i="41"/>
  <c r="P122" i="41"/>
  <c r="O122" i="41"/>
  <c r="M122" i="41"/>
  <c r="K122" i="41"/>
  <c r="V121" i="41"/>
  <c r="T121" i="41"/>
  <c r="Q121" i="41"/>
  <c r="P121" i="41"/>
  <c r="O121" i="41"/>
  <c r="M121" i="41"/>
  <c r="K121" i="41"/>
  <c r="V120" i="41"/>
  <c r="T120" i="41"/>
  <c r="Q120" i="41"/>
  <c r="P120" i="41"/>
  <c r="O120" i="41"/>
  <c r="M120" i="41"/>
  <c r="K120" i="41"/>
  <c r="V119" i="41"/>
  <c r="T119" i="41"/>
  <c r="Q119" i="41"/>
  <c r="P119" i="41"/>
  <c r="O119" i="41"/>
  <c r="M119" i="41"/>
  <c r="K119" i="41"/>
  <c r="V118" i="41"/>
  <c r="T118" i="41"/>
  <c r="Q118" i="41"/>
  <c r="P118" i="41"/>
  <c r="O118" i="41"/>
  <c r="M118" i="41"/>
  <c r="K118" i="41"/>
  <c r="V117" i="41"/>
  <c r="T117" i="41"/>
  <c r="V116" i="41"/>
  <c r="T116" i="41"/>
  <c r="Q116" i="41"/>
  <c r="P116" i="41"/>
  <c r="O116" i="41"/>
  <c r="M116" i="41"/>
  <c r="K116" i="41"/>
  <c r="V115" i="41"/>
  <c r="T115" i="41"/>
  <c r="Q115" i="41"/>
  <c r="P115" i="41"/>
  <c r="O115" i="41"/>
  <c r="M115" i="41"/>
  <c r="K115" i="41"/>
  <c r="V114" i="41"/>
  <c r="T114" i="41"/>
  <c r="Q114" i="41"/>
  <c r="P114" i="41"/>
  <c r="O114" i="41"/>
  <c r="M114" i="41"/>
  <c r="K114" i="41"/>
  <c r="V113" i="41"/>
  <c r="T113" i="41"/>
  <c r="Q113" i="41"/>
  <c r="P113" i="41"/>
  <c r="O113" i="41"/>
  <c r="M113" i="41"/>
  <c r="K113" i="41"/>
  <c r="V112" i="41"/>
  <c r="T112" i="41"/>
  <c r="V111" i="41"/>
  <c r="Q111" i="41"/>
  <c r="P111" i="41"/>
  <c r="O111" i="41"/>
  <c r="N111" i="41"/>
  <c r="T111" i="41" s="1"/>
  <c r="M111" i="41"/>
  <c r="K111" i="41"/>
  <c r="V110" i="41"/>
  <c r="T110" i="41"/>
  <c r="Q110" i="41"/>
  <c r="P110" i="41"/>
  <c r="O110" i="41"/>
  <c r="M110" i="41"/>
  <c r="K110" i="41"/>
  <c r="V109" i="41"/>
  <c r="T109" i="41"/>
  <c r="V108" i="41"/>
  <c r="T108" i="41"/>
  <c r="Q108" i="41"/>
  <c r="P108" i="41"/>
  <c r="O108" i="41"/>
  <c r="M108" i="41"/>
  <c r="K108" i="41"/>
  <c r="V107" i="41"/>
  <c r="T107" i="41"/>
  <c r="Q107" i="41"/>
  <c r="P107" i="41"/>
  <c r="O107" i="41"/>
  <c r="M107" i="41"/>
  <c r="K107" i="41"/>
  <c r="V106" i="41"/>
  <c r="T106" i="41"/>
  <c r="Q106" i="41"/>
  <c r="P106" i="41"/>
  <c r="O106" i="41"/>
  <c r="M106" i="41"/>
  <c r="K106" i="41"/>
  <c r="V105" i="41"/>
  <c r="T105" i="41"/>
  <c r="Q105" i="41"/>
  <c r="P105" i="41"/>
  <c r="O105" i="41"/>
  <c r="M105" i="41"/>
  <c r="K105" i="41"/>
  <c r="V104" i="41"/>
  <c r="T104" i="41"/>
  <c r="Q104" i="41"/>
  <c r="P104" i="41"/>
  <c r="O104" i="41"/>
  <c r="M104" i="41"/>
  <c r="K104" i="41"/>
  <c r="V103" i="41"/>
  <c r="T103" i="41"/>
  <c r="Q103" i="41"/>
  <c r="P103" i="41"/>
  <c r="O103" i="41"/>
  <c r="M103" i="41"/>
  <c r="K103" i="41"/>
  <c r="V102" i="41"/>
  <c r="T102" i="41"/>
  <c r="Q102" i="41"/>
  <c r="P102" i="41"/>
  <c r="O102" i="41"/>
  <c r="M102" i="41"/>
  <c r="K102" i="41"/>
  <c r="V101" i="41"/>
  <c r="T101" i="41"/>
  <c r="Q101" i="41"/>
  <c r="P101" i="41"/>
  <c r="O101" i="41"/>
  <c r="M101" i="41"/>
  <c r="K101" i="41"/>
  <c r="V100" i="41"/>
  <c r="T100" i="41"/>
  <c r="V99" i="41"/>
  <c r="T99" i="41"/>
  <c r="Q99" i="41"/>
  <c r="P99" i="41"/>
  <c r="O99" i="41"/>
  <c r="M99" i="41"/>
  <c r="K99" i="41"/>
  <c r="V98" i="41"/>
  <c r="T98" i="41"/>
  <c r="Q98" i="41"/>
  <c r="P98" i="41"/>
  <c r="O98" i="41"/>
  <c r="M98" i="41"/>
  <c r="K98" i="41"/>
  <c r="Q97" i="41"/>
  <c r="N97" i="41"/>
  <c r="P97" i="41" s="1"/>
  <c r="M97" i="41"/>
  <c r="K97" i="41"/>
  <c r="V97" i="41"/>
  <c r="V96" i="41"/>
  <c r="T96" i="41"/>
  <c r="Q96" i="41"/>
  <c r="P96" i="41"/>
  <c r="O96" i="41"/>
  <c r="M96" i="41"/>
  <c r="K96" i="41"/>
  <c r="V95" i="41"/>
  <c r="T95" i="41"/>
  <c r="Q95" i="41"/>
  <c r="P95" i="41"/>
  <c r="O95" i="41"/>
  <c r="M95" i="41"/>
  <c r="K95" i="41"/>
  <c r="V94" i="41"/>
  <c r="T94" i="41"/>
  <c r="Q94" i="41"/>
  <c r="P94" i="41"/>
  <c r="O94" i="41"/>
  <c r="M94" i="41"/>
  <c r="K94" i="41"/>
  <c r="V93" i="41"/>
  <c r="T93" i="41"/>
  <c r="Q93" i="41"/>
  <c r="P93" i="41"/>
  <c r="O93" i="41"/>
  <c r="M93" i="41"/>
  <c r="K93" i="41"/>
  <c r="V92" i="41"/>
  <c r="T92" i="41"/>
  <c r="Q92" i="41"/>
  <c r="P92" i="41"/>
  <c r="O92" i="41"/>
  <c r="M92" i="41"/>
  <c r="K92" i="41"/>
  <c r="V91" i="41"/>
  <c r="T91" i="41"/>
  <c r="Q91" i="41"/>
  <c r="P91" i="41"/>
  <c r="O91" i="41"/>
  <c r="M91" i="41"/>
  <c r="K91" i="41"/>
  <c r="V90" i="41"/>
  <c r="T90" i="41"/>
  <c r="N89" i="41"/>
  <c r="Q89" i="41" s="1"/>
  <c r="K89" i="41"/>
  <c r="V88" i="41"/>
  <c r="T88" i="41"/>
  <c r="V87" i="41"/>
  <c r="T87" i="41"/>
  <c r="Q87" i="41"/>
  <c r="P87" i="41"/>
  <c r="O87" i="41"/>
  <c r="M87" i="41"/>
  <c r="K87" i="41"/>
  <c r="V86" i="41"/>
  <c r="T86" i="41"/>
  <c r="Q86" i="41"/>
  <c r="P86" i="41"/>
  <c r="O86" i="41"/>
  <c r="M86" i="41"/>
  <c r="K86" i="41"/>
  <c r="V85" i="41"/>
  <c r="T85" i="41"/>
  <c r="Q85" i="41"/>
  <c r="P85" i="41"/>
  <c r="O85" i="41"/>
  <c r="M85" i="41"/>
  <c r="K85" i="41"/>
  <c r="N84" i="41"/>
  <c r="Q84" i="41" s="1"/>
  <c r="K84" i="41"/>
  <c r="V83" i="41"/>
  <c r="T83" i="41"/>
  <c r="Q83" i="41"/>
  <c r="P83" i="41"/>
  <c r="O83" i="41"/>
  <c r="M83" i="41"/>
  <c r="K83" i="41"/>
  <c r="V82" i="41"/>
  <c r="T82" i="41"/>
  <c r="Q82" i="41"/>
  <c r="P82" i="41"/>
  <c r="O82" i="41"/>
  <c r="M82" i="41"/>
  <c r="K82" i="41"/>
  <c r="V81" i="41"/>
  <c r="T81" i="41"/>
  <c r="Q81" i="41"/>
  <c r="P81" i="41"/>
  <c r="O81" i="41"/>
  <c r="M81" i="41"/>
  <c r="K81" i="41"/>
  <c r="V80" i="41"/>
  <c r="T80" i="41"/>
  <c r="N79" i="41"/>
  <c r="Q79" i="41" s="1"/>
  <c r="K79" i="41"/>
  <c r="V78" i="41"/>
  <c r="T78" i="41"/>
  <c r="Q78" i="41"/>
  <c r="P78" i="41"/>
  <c r="O78" i="41"/>
  <c r="M78" i="41"/>
  <c r="K78" i="41"/>
  <c r="N77" i="41"/>
  <c r="Q77" i="41" s="1"/>
  <c r="K77" i="41"/>
  <c r="V76" i="41"/>
  <c r="T76" i="41"/>
  <c r="Q76" i="41"/>
  <c r="P76" i="41"/>
  <c r="O76" i="41"/>
  <c r="M76" i="41"/>
  <c r="K76" i="41"/>
  <c r="V75" i="41"/>
  <c r="T75" i="41"/>
  <c r="Q75" i="41"/>
  <c r="P75" i="41"/>
  <c r="O75" i="41"/>
  <c r="M75" i="41"/>
  <c r="K75" i="41"/>
  <c r="V74" i="41"/>
  <c r="T74" i="41"/>
  <c r="Q74" i="41"/>
  <c r="P74" i="41"/>
  <c r="O74" i="41"/>
  <c r="M74" i="41"/>
  <c r="K74" i="41"/>
  <c r="V73" i="41"/>
  <c r="T73" i="41"/>
  <c r="Q73" i="41"/>
  <c r="P73" i="41"/>
  <c r="O73" i="41"/>
  <c r="M73" i="41"/>
  <c r="K73" i="41"/>
  <c r="V72" i="41"/>
  <c r="T72" i="41"/>
  <c r="V71" i="41"/>
  <c r="T71" i="41"/>
  <c r="Q71" i="41"/>
  <c r="P71" i="41"/>
  <c r="O71" i="41"/>
  <c r="M71" i="41"/>
  <c r="K71" i="41"/>
  <c r="Q70" i="41"/>
  <c r="P70" i="41"/>
  <c r="O70" i="41"/>
  <c r="N70" i="41"/>
  <c r="T70" i="41" s="1"/>
  <c r="K70" i="41"/>
  <c r="V70" i="41"/>
  <c r="V69" i="41"/>
  <c r="T69" i="41"/>
  <c r="Q69" i="41"/>
  <c r="P69" i="41"/>
  <c r="O69" i="41"/>
  <c r="M69" i="41"/>
  <c r="K69" i="41"/>
  <c r="V68" i="41"/>
  <c r="T68" i="41"/>
  <c r="Q68" i="41"/>
  <c r="P68" i="41"/>
  <c r="O68" i="41"/>
  <c r="M68" i="41"/>
  <c r="K68" i="41"/>
  <c r="V67" i="41"/>
  <c r="T67" i="41"/>
  <c r="V66" i="41"/>
  <c r="T66" i="41"/>
  <c r="Q66" i="41"/>
  <c r="P66" i="41"/>
  <c r="O66" i="41"/>
  <c r="M66" i="41"/>
  <c r="K66" i="41"/>
  <c r="V65" i="41"/>
  <c r="T65" i="41"/>
  <c r="Q65" i="41"/>
  <c r="P65" i="41"/>
  <c r="O65" i="41"/>
  <c r="M65" i="41"/>
  <c r="K65" i="41"/>
  <c r="O64" i="41"/>
  <c r="N64" i="41"/>
  <c r="T64" i="41" s="1"/>
  <c r="J16" i="41"/>
  <c r="V63" i="41"/>
  <c r="T63" i="41"/>
  <c r="Q63" i="41"/>
  <c r="P63" i="41"/>
  <c r="O63" i="41"/>
  <c r="M63" i="41"/>
  <c r="K63" i="41"/>
  <c r="V62" i="41"/>
  <c r="T62" i="41"/>
  <c r="V61" i="41"/>
  <c r="T61" i="41"/>
  <c r="Q61" i="41"/>
  <c r="P61" i="41"/>
  <c r="O61" i="41"/>
  <c r="M61" i="41"/>
  <c r="K61" i="41"/>
  <c r="V60" i="41"/>
  <c r="T60" i="41"/>
  <c r="Q60" i="41"/>
  <c r="P60" i="41"/>
  <c r="O60" i="41"/>
  <c r="M60" i="41"/>
  <c r="K60" i="41"/>
  <c r="V59" i="41"/>
  <c r="T59" i="41"/>
  <c r="Q59" i="41"/>
  <c r="P59" i="41"/>
  <c r="O59" i="41"/>
  <c r="M59" i="41"/>
  <c r="K59" i="41"/>
  <c r="V58" i="41"/>
  <c r="T58" i="41"/>
  <c r="Q58" i="41"/>
  <c r="P58" i="41"/>
  <c r="O58" i="41"/>
  <c r="M58" i="41"/>
  <c r="K58" i="41"/>
  <c r="V57" i="41"/>
  <c r="T57" i="41"/>
  <c r="V56" i="41"/>
  <c r="T56" i="41"/>
  <c r="Q56" i="41"/>
  <c r="P56" i="41"/>
  <c r="O56" i="41"/>
  <c r="M56" i="41"/>
  <c r="K56" i="41"/>
  <c r="V55" i="41"/>
  <c r="T55" i="41"/>
  <c r="Q55" i="41"/>
  <c r="P55" i="41"/>
  <c r="O55" i="41"/>
  <c r="M55" i="41"/>
  <c r="K55" i="41"/>
  <c r="V54" i="41"/>
  <c r="T54" i="41"/>
  <c r="Q54" i="41"/>
  <c r="P54" i="41"/>
  <c r="O54" i="41"/>
  <c r="M54" i="41"/>
  <c r="K54" i="41"/>
  <c r="V53" i="41"/>
  <c r="T53" i="41"/>
  <c r="Q53" i="41"/>
  <c r="P53" i="41"/>
  <c r="V52" i="41"/>
  <c r="T52" i="41"/>
  <c r="Q52" i="41"/>
  <c r="P52" i="41"/>
  <c r="O52" i="41"/>
  <c r="M52" i="41"/>
  <c r="K52" i="41"/>
  <c r="V51" i="41"/>
  <c r="T51" i="41"/>
  <c r="Q51" i="41"/>
  <c r="P51" i="41"/>
  <c r="O51" i="41"/>
  <c r="M51" i="41"/>
  <c r="K51" i="41"/>
  <c r="V50" i="41"/>
  <c r="T50" i="41"/>
  <c r="Q50" i="41"/>
  <c r="P50" i="41"/>
  <c r="O50" i="41"/>
  <c r="M50" i="41"/>
  <c r="K50" i="41"/>
  <c r="V49" i="41"/>
  <c r="T49" i="41"/>
  <c r="V48" i="41"/>
  <c r="T48" i="41"/>
  <c r="V47" i="41"/>
  <c r="T47" i="41"/>
  <c r="V46" i="41"/>
  <c r="T46" i="41"/>
  <c r="Q46" i="41"/>
  <c r="P46" i="41"/>
  <c r="O46" i="41"/>
  <c r="K46" i="41"/>
  <c r="V45" i="41"/>
  <c r="T45" i="41"/>
  <c r="V44" i="41"/>
  <c r="T44" i="41"/>
  <c r="Q44" i="41"/>
  <c r="P44" i="41"/>
  <c r="O44" i="41"/>
  <c r="M44" i="41"/>
  <c r="K44" i="41"/>
  <c r="V43" i="41"/>
  <c r="T43" i="41"/>
  <c r="Q43" i="41"/>
  <c r="P43" i="41"/>
  <c r="O43" i="41"/>
  <c r="M43" i="41"/>
  <c r="K43" i="41"/>
  <c r="V42" i="41"/>
  <c r="T42" i="41"/>
  <c r="Q42" i="41"/>
  <c r="P42" i="41"/>
  <c r="O42" i="41"/>
  <c r="M42" i="41"/>
  <c r="K42" i="41"/>
  <c r="V41" i="41"/>
  <c r="T41" i="41"/>
  <c r="V40" i="41"/>
  <c r="T40" i="41"/>
  <c r="Q40" i="41"/>
  <c r="P40" i="41"/>
  <c r="O40" i="41"/>
  <c r="M40" i="41"/>
  <c r="K40" i="41"/>
  <c r="V39" i="41"/>
  <c r="T39" i="41"/>
  <c r="Q39" i="41"/>
  <c r="P39" i="41"/>
  <c r="O39" i="41"/>
  <c r="M39" i="41"/>
  <c r="K39" i="41"/>
  <c r="V38" i="41"/>
  <c r="T38" i="41"/>
  <c r="Q38" i="41"/>
  <c r="P38" i="41"/>
  <c r="O38" i="41"/>
  <c r="M38" i="41"/>
  <c r="K38" i="41"/>
  <c r="V37" i="41"/>
  <c r="T37" i="41"/>
  <c r="Q37" i="41"/>
  <c r="P37" i="41"/>
  <c r="O37" i="41"/>
  <c r="M37" i="41"/>
  <c r="K37" i="41"/>
  <c r="V36" i="41"/>
  <c r="T36" i="41"/>
  <c r="Q36" i="41"/>
  <c r="P36" i="41"/>
  <c r="O36" i="41"/>
  <c r="M36" i="41"/>
  <c r="K36" i="41"/>
  <c r="V35" i="41"/>
  <c r="T35" i="41"/>
  <c r="Q35" i="41"/>
  <c r="P35" i="41"/>
  <c r="O35" i="41"/>
  <c r="M35" i="41"/>
  <c r="K35" i="41"/>
  <c r="V34" i="41"/>
  <c r="T34" i="41"/>
  <c r="Q34" i="41"/>
  <c r="P34" i="41"/>
  <c r="O34" i="41"/>
  <c r="M34" i="41"/>
  <c r="K34" i="41"/>
  <c r="V33" i="41"/>
  <c r="T33" i="41"/>
  <c r="Q33" i="41"/>
  <c r="P33" i="41"/>
  <c r="O33" i="41"/>
  <c r="M33" i="41"/>
  <c r="K33" i="41"/>
  <c r="V32" i="41"/>
  <c r="T32" i="41"/>
  <c r="Q32" i="41"/>
  <c r="P32" i="41"/>
  <c r="O32" i="41"/>
  <c r="M32" i="41"/>
  <c r="K32" i="41"/>
  <c r="V31" i="41"/>
  <c r="T31" i="41"/>
  <c r="Q31" i="41"/>
  <c r="P31" i="41"/>
  <c r="O31" i="41"/>
  <c r="M31" i="41"/>
  <c r="K31" i="41"/>
  <c r="Q30" i="41"/>
  <c r="P30" i="41"/>
  <c r="O30" i="41"/>
  <c r="V30" i="41"/>
  <c r="N27" i="41"/>
  <c r="Q27" i="41" s="1"/>
  <c r="J27" i="41"/>
  <c r="L27" i="41" s="1"/>
  <c r="H27" i="41"/>
  <c r="G27" i="41"/>
  <c r="N26" i="41"/>
  <c r="M26" i="41"/>
  <c r="J26" i="41"/>
  <c r="H26" i="41"/>
  <c r="G26" i="41"/>
  <c r="O26" i="41" s="1"/>
  <c r="N25" i="41"/>
  <c r="Q25" i="41" s="1"/>
  <c r="J25" i="41"/>
  <c r="L25" i="41" s="1"/>
  <c r="H25" i="41"/>
  <c r="G25" i="41"/>
  <c r="N24" i="41"/>
  <c r="M24" i="41"/>
  <c r="J24" i="41"/>
  <c r="H24" i="41"/>
  <c r="G24" i="41"/>
  <c r="O24" i="41" s="1"/>
  <c r="N23" i="41"/>
  <c r="Q23" i="41" s="1"/>
  <c r="J23" i="41"/>
  <c r="L23" i="41" s="1"/>
  <c r="H23" i="41"/>
  <c r="G23" i="41"/>
  <c r="N22" i="41"/>
  <c r="M22" i="41"/>
  <c r="J22" i="41"/>
  <c r="H22" i="41"/>
  <c r="G22" i="41"/>
  <c r="O22" i="41" s="1"/>
  <c r="N21" i="41"/>
  <c r="Q21" i="41" s="1"/>
  <c r="J21" i="41"/>
  <c r="L21" i="41" s="1"/>
  <c r="H21" i="41"/>
  <c r="G21" i="41"/>
  <c r="J20" i="41"/>
  <c r="H20" i="41"/>
  <c r="G20" i="41"/>
  <c r="N19" i="41"/>
  <c r="Q19" i="41" s="1"/>
  <c r="J19" i="41"/>
  <c r="L19" i="41" s="1"/>
  <c r="H19" i="41"/>
  <c r="G19" i="41"/>
  <c r="J18" i="41"/>
  <c r="H18" i="41"/>
  <c r="G18" i="41"/>
  <c r="N17" i="41"/>
  <c r="Q17" i="41" s="1"/>
  <c r="J17" i="41"/>
  <c r="L17" i="41" s="1"/>
  <c r="H17" i="41"/>
  <c r="G17" i="41"/>
  <c r="N16" i="41"/>
  <c r="H16" i="41"/>
  <c r="G16" i="41"/>
  <c r="O16" i="41" s="1"/>
  <c r="N15" i="41"/>
  <c r="Q15" i="41" s="1"/>
  <c r="J15" i="41"/>
  <c r="L15" i="41" s="1"/>
  <c r="H15" i="41"/>
  <c r="G15" i="41"/>
  <c r="N14" i="41"/>
  <c r="O14" i="41" s="1"/>
  <c r="J14" i="41"/>
  <c r="K14" i="41" s="1"/>
  <c r="H14" i="41"/>
  <c r="G14" i="41"/>
  <c r="P14" i="41" s="1"/>
  <c r="N13" i="41"/>
  <c r="Q13" i="41" s="1"/>
  <c r="J13" i="41"/>
  <c r="L13" i="41" s="1"/>
  <c r="H13" i="41"/>
  <c r="G13" i="41"/>
  <c r="N12" i="41"/>
  <c r="O12" i="41" s="1"/>
  <c r="H12" i="41"/>
  <c r="G12" i="41"/>
  <c r="P12" i="41" s="1"/>
  <c r="H11" i="41"/>
  <c r="K20" i="41" l="1"/>
  <c r="K18" i="41"/>
  <c r="K16" i="41"/>
  <c r="L16" i="41"/>
  <c r="M16" i="41"/>
  <c r="L14" i="41"/>
  <c r="P16" i="41"/>
  <c r="L22" i="41"/>
  <c r="L26" i="41"/>
  <c r="P26" i="41"/>
  <c r="Q12" i="41"/>
  <c r="K13" i="41"/>
  <c r="O13" i="41"/>
  <c r="M14" i="41"/>
  <c r="Q14" i="41"/>
  <c r="K15" i="41"/>
  <c r="O15" i="41"/>
  <c r="Q16" i="41"/>
  <c r="K17" i="41"/>
  <c r="O17" i="41"/>
  <c r="K19" i="41"/>
  <c r="O19" i="41"/>
  <c r="K21" i="41"/>
  <c r="O21" i="41"/>
  <c r="Q22" i="41"/>
  <c r="K23" i="41"/>
  <c r="O23" i="41"/>
  <c r="Q24" i="41"/>
  <c r="K25" i="41"/>
  <c r="O25" i="41"/>
  <c r="Q26" i="41"/>
  <c r="K27" i="41"/>
  <c r="O27" i="41"/>
  <c r="K30" i="41"/>
  <c r="K64" i="41"/>
  <c r="P64" i="41"/>
  <c r="M70" i="41"/>
  <c r="O77" i="41"/>
  <c r="V77" i="41"/>
  <c r="O79" i="41"/>
  <c r="V79" i="41"/>
  <c r="O84" i="41"/>
  <c r="V84" i="41"/>
  <c r="O89" i="41"/>
  <c r="V89" i="41"/>
  <c r="T97" i="41"/>
  <c r="L20" i="41"/>
  <c r="P22" i="41"/>
  <c r="L24" i="41"/>
  <c r="P24" i="41"/>
  <c r="V64" i="41"/>
  <c r="T79" i="41"/>
  <c r="T89" i="41"/>
  <c r="G11" i="41"/>
  <c r="J12" i="41"/>
  <c r="P13" i="41"/>
  <c r="P15" i="41"/>
  <c r="P17" i="41"/>
  <c r="N18" i="41"/>
  <c r="P19" i="41"/>
  <c r="N20" i="41"/>
  <c r="P21" i="41"/>
  <c r="P23" i="41"/>
  <c r="P25" i="41"/>
  <c r="P27" i="41"/>
  <c r="M30" i="41"/>
  <c r="T30" i="41"/>
  <c r="M64" i="41"/>
  <c r="Q64" i="41"/>
  <c r="P77" i="41"/>
  <c r="P79" i="41"/>
  <c r="P84" i="41"/>
  <c r="P89" i="41"/>
  <c r="O97" i="41"/>
  <c r="L18" i="41"/>
  <c r="T77" i="41"/>
  <c r="T84" i="41"/>
  <c r="M13" i="41"/>
  <c r="M15" i="41"/>
  <c r="M17" i="41"/>
  <c r="M19" i="41"/>
  <c r="M21" i="41"/>
  <c r="K22" i="41"/>
  <c r="M23" i="41"/>
  <c r="K24" i="41"/>
  <c r="M25" i="41"/>
  <c r="K26" i="41"/>
  <c r="M27" i="41"/>
  <c r="M77" i="41"/>
  <c r="M79" i="41"/>
  <c r="M84" i="41"/>
  <c r="M89" i="41"/>
  <c r="O20" i="41" l="1"/>
  <c r="P20" i="41"/>
  <c r="Q20" i="41"/>
  <c r="M20" i="41"/>
  <c r="O18" i="41"/>
  <c r="P18" i="41"/>
  <c r="Q18" i="41"/>
  <c r="M18" i="41"/>
  <c r="K12" i="41"/>
  <c r="L12" i="41"/>
  <c r="J11" i="41"/>
  <c r="L11" i="41"/>
  <c r="N11" i="41"/>
  <c r="M12" i="41"/>
  <c r="M11" i="41" l="1"/>
  <c r="M64" i="39"/>
  <c r="M77" i="39"/>
  <c r="M79" i="39"/>
  <c r="M89" i="39"/>
  <c r="M70" i="39"/>
  <c r="M84" i="39"/>
  <c r="M97" i="39"/>
  <c r="J97" i="39"/>
  <c r="J84" i="39"/>
  <c r="J70" i="39"/>
  <c r="J89" i="39"/>
  <c r="J79" i="39"/>
  <c r="J77" i="39"/>
  <c r="J64" i="39"/>
  <c r="J30" i="39"/>
  <c r="L30" i="39" l="1"/>
  <c r="M19" i="39" l="1"/>
  <c r="R64" i="38" l="1"/>
  <c r="U158" i="39" l="1"/>
  <c r="S158" i="39"/>
  <c r="P158" i="39"/>
  <c r="O158" i="39"/>
  <c r="N158" i="39"/>
  <c r="L158" i="39"/>
  <c r="K158" i="39"/>
  <c r="U157" i="39"/>
  <c r="S157" i="39"/>
  <c r="P157" i="39"/>
  <c r="O157" i="39"/>
  <c r="N157" i="39"/>
  <c r="L157" i="39"/>
  <c r="K157" i="39"/>
  <c r="U156" i="39"/>
  <c r="S156" i="39"/>
  <c r="P156" i="39"/>
  <c r="O156" i="39"/>
  <c r="N156" i="39"/>
  <c r="L156" i="39"/>
  <c r="K156" i="39"/>
  <c r="U155" i="39"/>
  <c r="S155" i="39"/>
  <c r="P155" i="39"/>
  <c r="O155" i="39"/>
  <c r="N155" i="39"/>
  <c r="L155" i="39"/>
  <c r="K155" i="39"/>
  <c r="U154" i="39"/>
  <c r="S154" i="39"/>
  <c r="P154" i="39"/>
  <c r="O154" i="39"/>
  <c r="N154" i="39"/>
  <c r="L154" i="39"/>
  <c r="K154" i="39"/>
  <c r="U153" i="39"/>
  <c r="S153" i="39"/>
  <c r="P153" i="39"/>
  <c r="O153" i="39"/>
  <c r="N153" i="39"/>
  <c r="L153" i="39"/>
  <c r="K153" i="39"/>
  <c r="U152" i="39"/>
  <c r="S152" i="39"/>
  <c r="P152" i="39"/>
  <c r="O152" i="39"/>
  <c r="N152" i="39"/>
  <c r="L152" i="39"/>
  <c r="K152" i="39"/>
  <c r="U151" i="39"/>
  <c r="S151" i="39"/>
  <c r="P151" i="39"/>
  <c r="O151" i="39"/>
  <c r="N151" i="39"/>
  <c r="L151" i="39"/>
  <c r="K151" i="39"/>
  <c r="U150" i="39"/>
  <c r="S150" i="39"/>
  <c r="P150" i="39"/>
  <c r="O150" i="39"/>
  <c r="N150" i="39"/>
  <c r="L150" i="39"/>
  <c r="K150" i="39"/>
  <c r="U149" i="39"/>
  <c r="S149" i="39"/>
  <c r="P149" i="39"/>
  <c r="O149" i="39"/>
  <c r="N149" i="39"/>
  <c r="L149" i="39"/>
  <c r="K149" i="39"/>
  <c r="U148" i="39"/>
  <c r="S148" i="39"/>
  <c r="P148" i="39"/>
  <c r="O148" i="39"/>
  <c r="N148" i="39"/>
  <c r="L148" i="39"/>
  <c r="K148" i="39"/>
  <c r="U147" i="39"/>
  <c r="S147" i="39"/>
  <c r="P147" i="39"/>
  <c r="O147" i="39"/>
  <c r="N147" i="39"/>
  <c r="L147" i="39"/>
  <c r="K147" i="39"/>
  <c r="U146" i="39"/>
  <c r="S146" i="39"/>
  <c r="P146" i="39"/>
  <c r="O146" i="39"/>
  <c r="N146" i="39"/>
  <c r="L146" i="39"/>
  <c r="K146" i="39"/>
  <c r="U145" i="39"/>
  <c r="S145" i="39"/>
  <c r="P145" i="39"/>
  <c r="O145" i="39"/>
  <c r="N145" i="39"/>
  <c r="L145" i="39"/>
  <c r="K145" i="39"/>
  <c r="U144" i="39"/>
  <c r="S144" i="39"/>
  <c r="P144" i="39"/>
  <c r="O144" i="39"/>
  <c r="N144" i="39"/>
  <c r="L144" i="39"/>
  <c r="K144" i="39"/>
  <c r="U143" i="39"/>
  <c r="S143" i="39"/>
  <c r="P143" i="39"/>
  <c r="O143" i="39"/>
  <c r="N143" i="39"/>
  <c r="L143" i="39"/>
  <c r="K143" i="39"/>
  <c r="U142" i="39"/>
  <c r="S142" i="39"/>
  <c r="P142" i="39"/>
  <c r="O142" i="39"/>
  <c r="N142" i="39"/>
  <c r="L142" i="39"/>
  <c r="K142" i="39"/>
  <c r="U141" i="39"/>
  <c r="S141" i="39"/>
  <c r="P141" i="39"/>
  <c r="O141" i="39"/>
  <c r="N141" i="39"/>
  <c r="L141" i="39"/>
  <c r="K141" i="39"/>
  <c r="U140" i="39"/>
  <c r="S140" i="39"/>
  <c r="P140" i="39"/>
  <c r="O140" i="39"/>
  <c r="N140" i="39"/>
  <c r="L140" i="39"/>
  <c r="K140" i="39"/>
  <c r="U139" i="39"/>
  <c r="S139" i="39"/>
  <c r="U138" i="39"/>
  <c r="S138" i="39"/>
  <c r="P138" i="39"/>
  <c r="O138" i="39"/>
  <c r="N138" i="39"/>
  <c r="L138" i="39"/>
  <c r="K138" i="39"/>
  <c r="U137" i="39"/>
  <c r="S137" i="39"/>
  <c r="P137" i="39"/>
  <c r="O137" i="39"/>
  <c r="N137" i="39"/>
  <c r="L137" i="39"/>
  <c r="K137" i="39"/>
  <c r="U136" i="39"/>
  <c r="S136" i="39"/>
  <c r="P136" i="39"/>
  <c r="O136" i="39"/>
  <c r="N136" i="39"/>
  <c r="L136" i="39"/>
  <c r="K136" i="39"/>
  <c r="U135" i="39"/>
  <c r="S135" i="39"/>
  <c r="U134" i="39"/>
  <c r="S134" i="39"/>
  <c r="P134" i="39"/>
  <c r="O134" i="39"/>
  <c r="N134" i="39"/>
  <c r="L134" i="39"/>
  <c r="K134" i="39"/>
  <c r="U133" i="39"/>
  <c r="S133" i="39"/>
  <c r="P133" i="39"/>
  <c r="O133" i="39"/>
  <c r="N133" i="39"/>
  <c r="L133" i="39"/>
  <c r="K133" i="39"/>
  <c r="U132" i="39"/>
  <c r="S132" i="39"/>
  <c r="P132" i="39"/>
  <c r="O132" i="39"/>
  <c r="N132" i="39"/>
  <c r="L132" i="39"/>
  <c r="K132" i="39"/>
  <c r="U131" i="39"/>
  <c r="S131" i="39"/>
  <c r="P131" i="39"/>
  <c r="O131" i="39"/>
  <c r="N131" i="39"/>
  <c r="L131" i="39"/>
  <c r="K131" i="39"/>
  <c r="U130" i="39"/>
  <c r="S130" i="39"/>
  <c r="P130" i="39"/>
  <c r="O130" i="39"/>
  <c r="N130" i="39"/>
  <c r="L130" i="39"/>
  <c r="K130" i="39"/>
  <c r="U129" i="39"/>
  <c r="S129" i="39"/>
  <c r="P129" i="39"/>
  <c r="O129" i="39"/>
  <c r="N129" i="39"/>
  <c r="L129" i="39"/>
  <c r="K129" i="39"/>
  <c r="U128" i="39"/>
  <c r="S128" i="39"/>
  <c r="P128" i="39"/>
  <c r="O128" i="39"/>
  <c r="N128" i="39"/>
  <c r="L128" i="39"/>
  <c r="K128" i="39"/>
  <c r="U127" i="39"/>
  <c r="S127" i="39"/>
  <c r="P127" i="39"/>
  <c r="O127" i="39"/>
  <c r="N127" i="39"/>
  <c r="L127" i="39"/>
  <c r="K127" i="39"/>
  <c r="U126" i="39"/>
  <c r="S126" i="39"/>
  <c r="P126" i="39"/>
  <c r="O126" i="39"/>
  <c r="N126" i="39"/>
  <c r="L126" i="39"/>
  <c r="K126" i="39"/>
  <c r="U125" i="39"/>
  <c r="S125" i="39"/>
  <c r="P125" i="39"/>
  <c r="O125" i="39"/>
  <c r="N125" i="39"/>
  <c r="L125" i="39"/>
  <c r="K125" i="39"/>
  <c r="U124" i="39"/>
  <c r="S124" i="39"/>
  <c r="P124" i="39"/>
  <c r="O124" i="39"/>
  <c r="N124" i="39"/>
  <c r="L124" i="39"/>
  <c r="K124" i="39"/>
  <c r="U123" i="39"/>
  <c r="S123" i="39"/>
  <c r="P123" i="39"/>
  <c r="O123" i="39"/>
  <c r="N123" i="39"/>
  <c r="L123" i="39"/>
  <c r="K123" i="39"/>
  <c r="U122" i="39"/>
  <c r="S122" i="39"/>
  <c r="P122" i="39"/>
  <c r="O122" i="39"/>
  <c r="N122" i="39"/>
  <c r="L122" i="39"/>
  <c r="K122" i="39"/>
  <c r="U121" i="39"/>
  <c r="S121" i="39"/>
  <c r="P121" i="39"/>
  <c r="O121" i="39"/>
  <c r="N121" i="39"/>
  <c r="L121" i="39"/>
  <c r="K121" i="39"/>
  <c r="U120" i="39"/>
  <c r="S120" i="39"/>
  <c r="P120" i="39"/>
  <c r="O120" i="39"/>
  <c r="N120" i="39"/>
  <c r="L120" i="39"/>
  <c r="K120" i="39"/>
  <c r="U119" i="39"/>
  <c r="S119" i="39"/>
  <c r="P119" i="39"/>
  <c r="O119" i="39"/>
  <c r="N119" i="39"/>
  <c r="L119" i="39"/>
  <c r="K119" i="39"/>
  <c r="U118" i="39"/>
  <c r="S118" i="39"/>
  <c r="P118" i="39"/>
  <c r="O118" i="39"/>
  <c r="N118" i="39"/>
  <c r="L118" i="39"/>
  <c r="K118" i="39"/>
  <c r="U117" i="39"/>
  <c r="S117" i="39"/>
  <c r="U116" i="39"/>
  <c r="S116" i="39"/>
  <c r="P116" i="39"/>
  <c r="O116" i="39"/>
  <c r="N116" i="39"/>
  <c r="L116" i="39"/>
  <c r="K116" i="39"/>
  <c r="U115" i="39"/>
  <c r="S115" i="39"/>
  <c r="P115" i="39"/>
  <c r="O115" i="39"/>
  <c r="N115" i="39"/>
  <c r="L115" i="39"/>
  <c r="K115" i="39"/>
  <c r="U114" i="39"/>
  <c r="S114" i="39"/>
  <c r="P114" i="39"/>
  <c r="O114" i="39"/>
  <c r="N114" i="39"/>
  <c r="L114" i="39"/>
  <c r="K114" i="39"/>
  <c r="U113" i="39"/>
  <c r="S113" i="39"/>
  <c r="P113" i="39"/>
  <c r="O113" i="39"/>
  <c r="N113" i="39"/>
  <c r="L113" i="39"/>
  <c r="K113" i="39"/>
  <c r="U112" i="39"/>
  <c r="S112" i="39"/>
  <c r="U111" i="39"/>
  <c r="S111" i="39"/>
  <c r="P111" i="39"/>
  <c r="O111" i="39"/>
  <c r="N111" i="39"/>
  <c r="L111" i="39"/>
  <c r="K111" i="39"/>
  <c r="U110" i="39"/>
  <c r="S110" i="39"/>
  <c r="P110" i="39"/>
  <c r="O110" i="39"/>
  <c r="N110" i="39"/>
  <c r="L110" i="39"/>
  <c r="K110" i="39"/>
  <c r="U109" i="39"/>
  <c r="S109" i="39"/>
  <c r="U108" i="39"/>
  <c r="S108" i="39"/>
  <c r="P108" i="39"/>
  <c r="O108" i="39"/>
  <c r="N108" i="39"/>
  <c r="L108" i="39"/>
  <c r="K108" i="39"/>
  <c r="U107" i="39"/>
  <c r="S107" i="39"/>
  <c r="P107" i="39"/>
  <c r="O107" i="39"/>
  <c r="N107" i="39"/>
  <c r="L107" i="39"/>
  <c r="K107" i="39"/>
  <c r="U106" i="39"/>
  <c r="S106" i="39"/>
  <c r="P106" i="39"/>
  <c r="O106" i="39"/>
  <c r="N106" i="39"/>
  <c r="L106" i="39"/>
  <c r="K106" i="39"/>
  <c r="U105" i="39"/>
  <c r="S105" i="39"/>
  <c r="P105" i="39"/>
  <c r="O105" i="39"/>
  <c r="N105" i="39"/>
  <c r="L105" i="39"/>
  <c r="K105" i="39"/>
  <c r="U104" i="39"/>
  <c r="S104" i="39"/>
  <c r="P104" i="39"/>
  <c r="O104" i="39"/>
  <c r="N104" i="39"/>
  <c r="L104" i="39"/>
  <c r="K104" i="39"/>
  <c r="U103" i="39"/>
  <c r="S103" i="39"/>
  <c r="P103" i="39"/>
  <c r="O103" i="39"/>
  <c r="N103" i="39"/>
  <c r="L103" i="39"/>
  <c r="K103" i="39"/>
  <c r="U102" i="39"/>
  <c r="S102" i="39"/>
  <c r="P102" i="39"/>
  <c r="O102" i="39"/>
  <c r="N102" i="39"/>
  <c r="L102" i="39"/>
  <c r="K102" i="39"/>
  <c r="U101" i="39"/>
  <c r="S101" i="39"/>
  <c r="P101" i="39"/>
  <c r="O101" i="39"/>
  <c r="N101" i="39"/>
  <c r="L101" i="39"/>
  <c r="K101" i="39"/>
  <c r="U100" i="39"/>
  <c r="S100" i="39"/>
  <c r="U99" i="39"/>
  <c r="S99" i="39"/>
  <c r="P99" i="39"/>
  <c r="O99" i="39"/>
  <c r="N99" i="39"/>
  <c r="L99" i="39"/>
  <c r="K99" i="39"/>
  <c r="U98" i="39"/>
  <c r="S98" i="39"/>
  <c r="P98" i="39"/>
  <c r="O98" i="39"/>
  <c r="N98" i="39"/>
  <c r="L98" i="39"/>
  <c r="K98" i="39"/>
  <c r="U97" i="39"/>
  <c r="S97" i="39"/>
  <c r="P97" i="39"/>
  <c r="O97" i="39"/>
  <c r="N97" i="39"/>
  <c r="L97" i="39"/>
  <c r="K97" i="39"/>
  <c r="U96" i="39"/>
  <c r="S96" i="39"/>
  <c r="P96" i="39"/>
  <c r="O96" i="39"/>
  <c r="N96" i="39"/>
  <c r="L96" i="39"/>
  <c r="K96" i="39"/>
  <c r="U95" i="39"/>
  <c r="S95" i="39"/>
  <c r="P95" i="39"/>
  <c r="O95" i="39"/>
  <c r="N95" i="39"/>
  <c r="L95" i="39"/>
  <c r="K95" i="39"/>
  <c r="U94" i="39"/>
  <c r="S94" i="39"/>
  <c r="P94" i="39"/>
  <c r="O94" i="39"/>
  <c r="N94" i="39"/>
  <c r="L94" i="39"/>
  <c r="K94" i="39"/>
  <c r="U93" i="39"/>
  <c r="S93" i="39"/>
  <c r="P93" i="39"/>
  <c r="O93" i="39"/>
  <c r="N93" i="39"/>
  <c r="L93" i="39"/>
  <c r="K93" i="39"/>
  <c r="U92" i="39"/>
  <c r="S92" i="39"/>
  <c r="P92" i="39"/>
  <c r="O92" i="39"/>
  <c r="N92" i="39"/>
  <c r="L92" i="39"/>
  <c r="K92" i="39"/>
  <c r="U91" i="39"/>
  <c r="S91" i="39"/>
  <c r="P91" i="39"/>
  <c r="O91" i="39"/>
  <c r="N91" i="39"/>
  <c r="L91" i="39"/>
  <c r="K91" i="39"/>
  <c r="U90" i="39"/>
  <c r="S90" i="39"/>
  <c r="U89" i="39"/>
  <c r="S89" i="39"/>
  <c r="P89" i="39"/>
  <c r="O89" i="39"/>
  <c r="N89" i="39"/>
  <c r="L89" i="39"/>
  <c r="K89" i="39"/>
  <c r="U88" i="39"/>
  <c r="S88" i="39"/>
  <c r="U87" i="39"/>
  <c r="S87" i="39"/>
  <c r="P87" i="39"/>
  <c r="O87" i="39"/>
  <c r="N87" i="39"/>
  <c r="L87" i="39"/>
  <c r="K87" i="39"/>
  <c r="U86" i="39"/>
  <c r="S86" i="39"/>
  <c r="P86" i="39"/>
  <c r="O86" i="39"/>
  <c r="N86" i="39"/>
  <c r="L86" i="39"/>
  <c r="K86" i="39"/>
  <c r="U85" i="39"/>
  <c r="S85" i="39"/>
  <c r="P85" i="39"/>
  <c r="O85" i="39"/>
  <c r="N85" i="39"/>
  <c r="L85" i="39"/>
  <c r="K85" i="39"/>
  <c r="U84" i="39"/>
  <c r="S84" i="39"/>
  <c r="P84" i="39"/>
  <c r="O84" i="39"/>
  <c r="N84" i="39"/>
  <c r="L84" i="39"/>
  <c r="K84" i="39"/>
  <c r="U83" i="39"/>
  <c r="S83" i="39"/>
  <c r="P83" i="39"/>
  <c r="O83" i="39"/>
  <c r="N83" i="39"/>
  <c r="L83" i="39"/>
  <c r="K83" i="39"/>
  <c r="U82" i="39"/>
  <c r="S82" i="39"/>
  <c r="P82" i="39"/>
  <c r="O82" i="39"/>
  <c r="N82" i="39"/>
  <c r="L82" i="39"/>
  <c r="K82" i="39"/>
  <c r="U81" i="39"/>
  <c r="S81" i="39"/>
  <c r="P81" i="39"/>
  <c r="O81" i="39"/>
  <c r="N81" i="39"/>
  <c r="L81" i="39"/>
  <c r="K81" i="39"/>
  <c r="U80" i="39"/>
  <c r="S80" i="39"/>
  <c r="U79" i="39"/>
  <c r="S79" i="39"/>
  <c r="P79" i="39"/>
  <c r="O79" i="39"/>
  <c r="N79" i="39"/>
  <c r="L79" i="39"/>
  <c r="K79" i="39"/>
  <c r="U78" i="39"/>
  <c r="S78" i="39"/>
  <c r="P78" i="39"/>
  <c r="O78" i="39"/>
  <c r="N78" i="39"/>
  <c r="L78" i="39"/>
  <c r="K78" i="39"/>
  <c r="U77" i="39"/>
  <c r="S77" i="39"/>
  <c r="P77" i="39"/>
  <c r="O77" i="39"/>
  <c r="N77" i="39"/>
  <c r="L77" i="39"/>
  <c r="K77" i="39"/>
  <c r="U76" i="39"/>
  <c r="S76" i="39"/>
  <c r="P76" i="39"/>
  <c r="O76" i="39"/>
  <c r="N76" i="39"/>
  <c r="L76" i="39"/>
  <c r="K76" i="39"/>
  <c r="U75" i="39"/>
  <c r="S75" i="39"/>
  <c r="P75" i="39"/>
  <c r="O75" i="39"/>
  <c r="N75" i="39"/>
  <c r="L75" i="39"/>
  <c r="K75" i="39"/>
  <c r="U74" i="39"/>
  <c r="S74" i="39"/>
  <c r="P74" i="39"/>
  <c r="O74" i="39"/>
  <c r="N74" i="39"/>
  <c r="L74" i="39"/>
  <c r="K74" i="39"/>
  <c r="U73" i="39"/>
  <c r="S73" i="39"/>
  <c r="P73" i="39"/>
  <c r="O73" i="39"/>
  <c r="N73" i="39"/>
  <c r="L73" i="39"/>
  <c r="K73" i="39"/>
  <c r="U72" i="39"/>
  <c r="S72" i="39"/>
  <c r="U71" i="39"/>
  <c r="S71" i="39"/>
  <c r="P71" i="39"/>
  <c r="O71" i="39"/>
  <c r="N71" i="39"/>
  <c r="L71" i="39"/>
  <c r="K71" i="39"/>
  <c r="U70" i="39"/>
  <c r="S70" i="39"/>
  <c r="P70" i="39"/>
  <c r="O70" i="39"/>
  <c r="N70" i="39"/>
  <c r="L70" i="39"/>
  <c r="K70" i="39"/>
  <c r="U69" i="39"/>
  <c r="S69" i="39"/>
  <c r="P69" i="39"/>
  <c r="O69" i="39"/>
  <c r="N69" i="39"/>
  <c r="L69" i="39"/>
  <c r="K69" i="39"/>
  <c r="U68" i="39"/>
  <c r="S68" i="39"/>
  <c r="P68" i="39"/>
  <c r="O68" i="39"/>
  <c r="N68" i="39"/>
  <c r="L68" i="39"/>
  <c r="K68" i="39"/>
  <c r="U67" i="39"/>
  <c r="S67" i="39"/>
  <c r="U66" i="39"/>
  <c r="S66" i="39"/>
  <c r="P66" i="39"/>
  <c r="O66" i="39"/>
  <c r="N66" i="39"/>
  <c r="L66" i="39"/>
  <c r="K66" i="39"/>
  <c r="U65" i="39"/>
  <c r="S65" i="39"/>
  <c r="P65" i="39"/>
  <c r="O65" i="39"/>
  <c r="N65" i="39"/>
  <c r="L65" i="39"/>
  <c r="K65" i="39"/>
  <c r="U64" i="39"/>
  <c r="S64" i="39"/>
  <c r="P64" i="39"/>
  <c r="O64" i="39"/>
  <c r="N64" i="39"/>
  <c r="L64" i="39"/>
  <c r="K64" i="39"/>
  <c r="U63" i="39"/>
  <c r="S63" i="39"/>
  <c r="P63" i="39"/>
  <c r="O63" i="39"/>
  <c r="N63" i="39"/>
  <c r="L63" i="39"/>
  <c r="K63" i="39"/>
  <c r="U62" i="39"/>
  <c r="S62" i="39"/>
  <c r="U61" i="39"/>
  <c r="S61" i="39"/>
  <c r="P61" i="39"/>
  <c r="O61" i="39"/>
  <c r="N61" i="39"/>
  <c r="L61" i="39"/>
  <c r="K61" i="39"/>
  <c r="U60" i="39"/>
  <c r="S60" i="39"/>
  <c r="P60" i="39"/>
  <c r="O60" i="39"/>
  <c r="N60" i="39"/>
  <c r="L60" i="39"/>
  <c r="K60" i="39"/>
  <c r="U59" i="39"/>
  <c r="S59" i="39"/>
  <c r="P59" i="39"/>
  <c r="O59" i="39"/>
  <c r="N59" i="39"/>
  <c r="L59" i="39"/>
  <c r="K59" i="39"/>
  <c r="U58" i="39"/>
  <c r="S58" i="39"/>
  <c r="P58" i="39"/>
  <c r="O58" i="39"/>
  <c r="N58" i="39"/>
  <c r="L58" i="39"/>
  <c r="K58" i="39"/>
  <c r="U57" i="39"/>
  <c r="S57" i="39"/>
  <c r="U56" i="39"/>
  <c r="S56" i="39"/>
  <c r="P56" i="39"/>
  <c r="O56" i="39"/>
  <c r="N56" i="39"/>
  <c r="L56" i="39"/>
  <c r="K56" i="39"/>
  <c r="U55" i="39"/>
  <c r="S55" i="39"/>
  <c r="P55" i="39"/>
  <c r="O55" i="39"/>
  <c r="N55" i="39"/>
  <c r="L55" i="39"/>
  <c r="K55" i="39"/>
  <c r="U54" i="39"/>
  <c r="S54" i="39"/>
  <c r="P54" i="39"/>
  <c r="O54" i="39"/>
  <c r="N54" i="39"/>
  <c r="L54" i="39"/>
  <c r="K54" i="39"/>
  <c r="U53" i="39"/>
  <c r="S53" i="39"/>
  <c r="P53" i="39"/>
  <c r="O53" i="39"/>
  <c r="L53" i="39"/>
  <c r="K53" i="39"/>
  <c r="U52" i="39"/>
  <c r="S52" i="39"/>
  <c r="P52" i="39"/>
  <c r="O52" i="39"/>
  <c r="N52" i="39"/>
  <c r="L52" i="39"/>
  <c r="K52" i="39"/>
  <c r="U51" i="39"/>
  <c r="S51" i="39"/>
  <c r="P51" i="39"/>
  <c r="O51" i="39"/>
  <c r="N51" i="39"/>
  <c r="L51" i="39"/>
  <c r="K51" i="39"/>
  <c r="U50" i="39"/>
  <c r="S50" i="39"/>
  <c r="P50" i="39"/>
  <c r="O50" i="39"/>
  <c r="N50" i="39"/>
  <c r="L50" i="39"/>
  <c r="K50" i="39"/>
  <c r="U49" i="39"/>
  <c r="S49" i="39"/>
  <c r="L49" i="39"/>
  <c r="K49" i="39"/>
  <c r="U48" i="39"/>
  <c r="S48" i="39"/>
  <c r="L48" i="39"/>
  <c r="K48" i="39"/>
  <c r="U47" i="39"/>
  <c r="S47" i="39"/>
  <c r="L47" i="39"/>
  <c r="K47" i="39"/>
  <c r="U46" i="39"/>
  <c r="S46" i="39"/>
  <c r="P46" i="39"/>
  <c r="O46" i="39"/>
  <c r="N46" i="39"/>
  <c r="L46" i="39"/>
  <c r="K46" i="39"/>
  <c r="U45" i="39"/>
  <c r="S45" i="39"/>
  <c r="U44" i="39"/>
  <c r="S44" i="39"/>
  <c r="P44" i="39"/>
  <c r="O44" i="39"/>
  <c r="N44" i="39"/>
  <c r="L44" i="39"/>
  <c r="K44" i="39"/>
  <c r="U43" i="39"/>
  <c r="S43" i="39"/>
  <c r="P43" i="39"/>
  <c r="O43" i="39"/>
  <c r="N43" i="39"/>
  <c r="L43" i="39"/>
  <c r="K43" i="39"/>
  <c r="U42" i="39"/>
  <c r="S42" i="39"/>
  <c r="P42" i="39"/>
  <c r="O42" i="39"/>
  <c r="N42" i="39"/>
  <c r="L42" i="39"/>
  <c r="K42" i="39"/>
  <c r="U41" i="39"/>
  <c r="S41" i="39"/>
  <c r="U40" i="39"/>
  <c r="S40" i="39"/>
  <c r="P40" i="39"/>
  <c r="O40" i="39"/>
  <c r="N40" i="39"/>
  <c r="L40" i="39"/>
  <c r="K40" i="39"/>
  <c r="U39" i="39"/>
  <c r="S39" i="39"/>
  <c r="P39" i="39"/>
  <c r="O39" i="39"/>
  <c r="N39" i="39"/>
  <c r="L39" i="39"/>
  <c r="K39" i="39"/>
  <c r="U38" i="39"/>
  <c r="S38" i="39"/>
  <c r="P38" i="39"/>
  <c r="O38" i="39"/>
  <c r="N38" i="39"/>
  <c r="L38" i="39"/>
  <c r="K38" i="39"/>
  <c r="U37" i="39"/>
  <c r="S37" i="39"/>
  <c r="P37" i="39"/>
  <c r="O37" i="39"/>
  <c r="N37" i="39"/>
  <c r="L37" i="39"/>
  <c r="K37" i="39"/>
  <c r="U36" i="39"/>
  <c r="S36" i="39"/>
  <c r="P36" i="39"/>
  <c r="O36" i="39"/>
  <c r="N36" i="39"/>
  <c r="L36" i="39"/>
  <c r="K36" i="39"/>
  <c r="U35" i="39"/>
  <c r="S35" i="39"/>
  <c r="P35" i="39"/>
  <c r="O35" i="39"/>
  <c r="N35" i="39"/>
  <c r="L35" i="39"/>
  <c r="K35" i="39"/>
  <c r="U34" i="39"/>
  <c r="S34" i="39"/>
  <c r="P34" i="39"/>
  <c r="O34" i="39"/>
  <c r="N34" i="39"/>
  <c r="L34" i="39"/>
  <c r="K34" i="39"/>
  <c r="U33" i="39"/>
  <c r="S33" i="39"/>
  <c r="P33" i="39"/>
  <c r="O33" i="39"/>
  <c r="N33" i="39"/>
  <c r="L33" i="39"/>
  <c r="K33" i="39"/>
  <c r="U32" i="39"/>
  <c r="S32" i="39"/>
  <c r="P32" i="39"/>
  <c r="O32" i="39"/>
  <c r="N32" i="39"/>
  <c r="L32" i="39"/>
  <c r="K32" i="39"/>
  <c r="U31" i="39"/>
  <c r="S31" i="39"/>
  <c r="P31" i="39"/>
  <c r="O31" i="39"/>
  <c r="N31" i="39"/>
  <c r="L31" i="39"/>
  <c r="K31" i="39"/>
  <c r="U30" i="39"/>
  <c r="S30" i="39"/>
  <c r="P30" i="39"/>
  <c r="O30" i="39"/>
  <c r="N30" i="39"/>
  <c r="K30" i="39"/>
  <c r="M27" i="39"/>
  <c r="J27" i="39"/>
  <c r="H27" i="39"/>
  <c r="G27" i="39"/>
  <c r="M26" i="39"/>
  <c r="J26" i="39"/>
  <c r="H26" i="39"/>
  <c r="G26" i="39"/>
  <c r="M25" i="39"/>
  <c r="J25" i="39"/>
  <c r="H25" i="39"/>
  <c r="G25" i="39"/>
  <c r="M24" i="39"/>
  <c r="J24" i="39"/>
  <c r="H24" i="39"/>
  <c r="G24" i="39"/>
  <c r="M23" i="39"/>
  <c r="J23" i="39"/>
  <c r="H23" i="39"/>
  <c r="G23" i="39"/>
  <c r="M22" i="39"/>
  <c r="J22" i="39"/>
  <c r="H22" i="39"/>
  <c r="G22" i="39"/>
  <c r="M21" i="39"/>
  <c r="J21" i="39"/>
  <c r="H21" i="39"/>
  <c r="G21" i="39"/>
  <c r="M20" i="39"/>
  <c r="J20" i="39"/>
  <c r="H20" i="39"/>
  <c r="G20" i="39"/>
  <c r="J19" i="39"/>
  <c r="H19" i="39"/>
  <c r="G19" i="39"/>
  <c r="N19" i="39" s="1"/>
  <c r="M18" i="39"/>
  <c r="J18" i="39"/>
  <c r="H18" i="39"/>
  <c r="G18" i="39"/>
  <c r="M17" i="39"/>
  <c r="J17" i="39"/>
  <c r="H17" i="39"/>
  <c r="G17" i="39"/>
  <c r="M16" i="39"/>
  <c r="J16" i="39"/>
  <c r="H16" i="39"/>
  <c r="G16" i="39"/>
  <c r="M15" i="39"/>
  <c r="J15" i="39"/>
  <c r="H15" i="39"/>
  <c r="G15" i="39"/>
  <c r="M14" i="39"/>
  <c r="J14" i="39"/>
  <c r="H14" i="39"/>
  <c r="G14" i="39"/>
  <c r="M13" i="39"/>
  <c r="J13" i="39"/>
  <c r="H13" i="39"/>
  <c r="G13" i="39"/>
  <c r="M12" i="39"/>
  <c r="J12" i="39"/>
  <c r="H12" i="39"/>
  <c r="G12" i="39"/>
  <c r="K21" i="39" l="1"/>
  <c r="K22" i="39"/>
  <c r="K24" i="39"/>
  <c r="O20" i="39"/>
  <c r="P25" i="39"/>
  <c r="P26" i="39"/>
  <c r="O27" i="39"/>
  <c r="N12" i="39"/>
  <c r="K12" i="39"/>
  <c r="O12" i="39"/>
  <c r="K20" i="39"/>
  <c r="K17" i="39"/>
  <c r="K18" i="39"/>
  <c r="K15" i="39"/>
  <c r="P17" i="39"/>
  <c r="P18" i="39"/>
  <c r="P13" i="39"/>
  <c r="P14" i="39"/>
  <c r="O15" i="39"/>
  <c r="K16" i="39"/>
  <c r="N20" i="39"/>
  <c r="L20" i="39"/>
  <c r="J11" i="39"/>
  <c r="H11" i="39"/>
  <c r="P21" i="39"/>
  <c r="P22" i="39"/>
  <c r="O23" i="39"/>
  <c r="K25" i="39"/>
  <c r="K26" i="39"/>
  <c r="K27" i="39"/>
  <c r="L12" i="39"/>
  <c r="K13" i="39"/>
  <c r="K14" i="39"/>
  <c r="K23" i="39"/>
  <c r="L24" i="39"/>
  <c r="N17" i="39"/>
  <c r="P27" i="39"/>
  <c r="L27" i="39"/>
  <c r="N25" i="39"/>
  <c r="O25" i="39"/>
  <c r="O24" i="39"/>
  <c r="N24" i="39"/>
  <c r="L23" i="39"/>
  <c r="N21" i="39"/>
  <c r="O21" i="39"/>
  <c r="L19" i="39"/>
  <c r="O17" i="39"/>
  <c r="N16" i="39"/>
  <c r="O16" i="39"/>
  <c r="L15" i="39"/>
  <c r="N13" i="39"/>
  <c r="O13" i="39"/>
  <c r="O19" i="39"/>
  <c r="N18" i="39"/>
  <c r="P19" i="39"/>
  <c r="P20" i="39"/>
  <c r="N22" i="39"/>
  <c r="P24" i="39"/>
  <c r="N26" i="39"/>
  <c r="K19" i="39"/>
  <c r="G11" i="39"/>
  <c r="M11" i="39"/>
  <c r="L13" i="39"/>
  <c r="O14" i="39"/>
  <c r="N15" i="39"/>
  <c r="L16" i="39"/>
  <c r="P16" i="39"/>
  <c r="P11" i="39" s="1"/>
  <c r="L17" i="39"/>
  <c r="O18" i="39"/>
  <c r="L21" i="39"/>
  <c r="O22" i="39"/>
  <c r="N23" i="39"/>
  <c r="L25" i="39"/>
  <c r="O26" i="39"/>
  <c r="N27" i="39"/>
  <c r="P15" i="39"/>
  <c r="P23" i="39"/>
  <c r="P12" i="39"/>
  <c r="N14" i="39"/>
  <c r="L14" i="39"/>
  <c r="L18" i="39"/>
  <c r="L22" i="39"/>
  <c r="L26" i="39"/>
  <c r="R63" i="38"/>
  <c r="O11" i="39" l="1"/>
  <c r="L11" i="39"/>
  <c r="R158" i="38" l="1"/>
  <c r="M158" i="38"/>
  <c r="R157" i="38"/>
  <c r="M157" i="38"/>
  <c r="R156" i="38"/>
  <c r="M156" i="38"/>
  <c r="R155" i="38"/>
  <c r="M155" i="38"/>
  <c r="R154" i="38"/>
  <c r="M154" i="38"/>
  <c r="R153" i="38"/>
  <c r="M153" i="38"/>
  <c r="R152" i="38"/>
  <c r="M152" i="38"/>
  <c r="R151" i="38"/>
  <c r="M151" i="38"/>
  <c r="R150" i="38"/>
  <c r="M150" i="38"/>
  <c r="R149" i="38"/>
  <c r="M149" i="38"/>
  <c r="R148" i="38"/>
  <c r="M148" i="38"/>
  <c r="R147" i="38"/>
  <c r="M147" i="38"/>
  <c r="R146" i="38"/>
  <c r="M146" i="38"/>
  <c r="R145" i="38"/>
  <c r="M145" i="38"/>
  <c r="R144" i="38"/>
  <c r="M144" i="38"/>
  <c r="R143" i="38"/>
  <c r="M143" i="38"/>
  <c r="R142" i="38"/>
  <c r="M142" i="38"/>
  <c r="R141" i="38"/>
  <c r="M141" i="38"/>
  <c r="R140" i="38"/>
  <c r="M140" i="38"/>
  <c r="R138" i="38"/>
  <c r="M138" i="38"/>
  <c r="R137" i="38"/>
  <c r="M137" i="38"/>
  <c r="R136" i="38"/>
  <c r="M136" i="38"/>
  <c r="R134" i="38"/>
  <c r="M134" i="38"/>
  <c r="R133" i="38"/>
  <c r="M133" i="38"/>
  <c r="R132" i="38"/>
  <c r="M132" i="38"/>
  <c r="R131" i="38"/>
  <c r="M131" i="38"/>
  <c r="R130" i="38"/>
  <c r="M130" i="38"/>
  <c r="R129" i="38"/>
  <c r="M129" i="38"/>
  <c r="R128" i="38"/>
  <c r="M128" i="38"/>
  <c r="R127" i="38"/>
  <c r="M127" i="38"/>
  <c r="R126" i="38"/>
  <c r="M126" i="38"/>
  <c r="R125" i="38"/>
  <c r="M125" i="38"/>
  <c r="R124" i="38"/>
  <c r="M124" i="38"/>
  <c r="R123" i="38"/>
  <c r="M123" i="38"/>
  <c r="R122" i="38"/>
  <c r="M122" i="38"/>
  <c r="R121" i="38"/>
  <c r="M121" i="38"/>
  <c r="R120" i="38"/>
  <c r="M120" i="38"/>
  <c r="R119" i="38"/>
  <c r="M119" i="38"/>
  <c r="R118" i="38"/>
  <c r="M118" i="38"/>
  <c r="R116" i="38"/>
  <c r="M116" i="38"/>
  <c r="R115" i="38"/>
  <c r="M115" i="38"/>
  <c r="R114" i="38"/>
  <c r="M114" i="38"/>
  <c r="R113" i="38"/>
  <c r="M113" i="38"/>
  <c r="R111" i="38"/>
  <c r="M111" i="38"/>
  <c r="R110" i="38"/>
  <c r="M110" i="38"/>
  <c r="R108" i="38"/>
  <c r="M108" i="38"/>
  <c r="R107" i="38"/>
  <c r="M107" i="38"/>
  <c r="R106" i="38"/>
  <c r="M106" i="38"/>
  <c r="R105" i="38"/>
  <c r="M105" i="38"/>
  <c r="R104" i="38"/>
  <c r="M104" i="38"/>
  <c r="R103" i="38"/>
  <c r="M103" i="38"/>
  <c r="R102" i="38"/>
  <c r="M102" i="38"/>
  <c r="R101" i="38"/>
  <c r="M101" i="38"/>
  <c r="R99" i="38"/>
  <c r="M99" i="38"/>
  <c r="R98" i="38"/>
  <c r="M98" i="38"/>
  <c r="R97" i="38"/>
  <c r="M97" i="38"/>
  <c r="R96" i="38"/>
  <c r="M96" i="38"/>
  <c r="R95" i="38"/>
  <c r="M95" i="38"/>
  <c r="R94" i="38"/>
  <c r="M94" i="38"/>
  <c r="R93" i="38"/>
  <c r="M93" i="38"/>
  <c r="R92" i="38"/>
  <c r="M92" i="38"/>
  <c r="R91" i="38"/>
  <c r="M91" i="38"/>
  <c r="R89" i="38"/>
  <c r="M89" i="38"/>
  <c r="R87" i="38"/>
  <c r="M87" i="38"/>
  <c r="R86" i="38"/>
  <c r="M86" i="38"/>
  <c r="R85" i="38"/>
  <c r="M85" i="38"/>
  <c r="R84" i="38"/>
  <c r="M84" i="38"/>
  <c r="R83" i="38"/>
  <c r="M83" i="38"/>
  <c r="R82" i="38"/>
  <c r="M82" i="38"/>
  <c r="R81" i="38"/>
  <c r="M81" i="38"/>
  <c r="R79" i="38"/>
  <c r="M79" i="38"/>
  <c r="R78" i="38"/>
  <c r="M78" i="38"/>
  <c r="R77" i="38"/>
  <c r="M77" i="38"/>
  <c r="R76" i="38"/>
  <c r="M76" i="38"/>
  <c r="R75" i="38"/>
  <c r="M75" i="38"/>
  <c r="R74" i="38"/>
  <c r="M74" i="38"/>
  <c r="R73" i="38"/>
  <c r="M73" i="38"/>
  <c r="R71" i="38"/>
  <c r="M71" i="38"/>
  <c r="R70" i="38"/>
  <c r="M70" i="38"/>
  <c r="R69" i="38"/>
  <c r="M69" i="38"/>
  <c r="R68" i="38"/>
  <c r="M68" i="38"/>
  <c r="R66" i="38"/>
  <c r="M66" i="38"/>
  <c r="R65" i="38"/>
  <c r="M65" i="38"/>
  <c r="M64" i="38"/>
  <c r="M63" i="38"/>
  <c r="R61" i="38"/>
  <c r="M61" i="38"/>
  <c r="R60" i="38"/>
  <c r="M60" i="38"/>
  <c r="R59" i="38"/>
  <c r="M59" i="38"/>
  <c r="R58" i="38"/>
  <c r="M58" i="38"/>
  <c r="R56" i="38"/>
  <c r="M56" i="38"/>
  <c r="R55" i="38"/>
  <c r="M55" i="38"/>
  <c r="R54" i="38"/>
  <c r="M54" i="38"/>
  <c r="T53" i="38"/>
  <c r="S53" i="38"/>
  <c r="R52" i="38"/>
  <c r="M52" i="38"/>
  <c r="R51" i="38"/>
  <c r="M51" i="38"/>
  <c r="R50" i="38"/>
  <c r="M50" i="38"/>
  <c r="R46" i="38"/>
  <c r="M46" i="38"/>
  <c r="R44" i="38"/>
  <c r="M44" i="38"/>
  <c r="R43" i="38"/>
  <c r="M43" i="38"/>
  <c r="R42" i="38"/>
  <c r="M42" i="38"/>
  <c r="R40" i="38"/>
  <c r="M40" i="38"/>
  <c r="R39" i="38"/>
  <c r="M39" i="38"/>
  <c r="R38" i="38"/>
  <c r="M38" i="38"/>
  <c r="R37" i="38"/>
  <c r="M37" i="38"/>
  <c r="R36" i="38"/>
  <c r="M36" i="38"/>
  <c r="R35" i="38"/>
  <c r="M35" i="38"/>
  <c r="R34" i="38"/>
  <c r="M34" i="38"/>
  <c r="R33" i="38"/>
  <c r="M33" i="38"/>
  <c r="R32" i="38"/>
  <c r="M32" i="38"/>
  <c r="R31" i="38"/>
  <c r="M31" i="38"/>
  <c r="M30" i="38"/>
  <c r="Q27" i="38"/>
  <c r="L27" i="38"/>
  <c r="H27" i="38"/>
  <c r="G27" i="38"/>
  <c r="K27" i="38" s="1"/>
  <c r="Q26" i="38"/>
  <c r="L26" i="38"/>
  <c r="H26" i="38"/>
  <c r="G26" i="38"/>
  <c r="K26" i="38" s="1"/>
  <c r="Q25" i="38"/>
  <c r="L25" i="38"/>
  <c r="H25" i="38"/>
  <c r="G25" i="38"/>
  <c r="K25" i="38" s="1"/>
  <c r="Q24" i="38"/>
  <c r="L24" i="38"/>
  <c r="H24" i="38"/>
  <c r="G24" i="38"/>
  <c r="K24" i="38" s="1"/>
  <c r="Q23" i="38"/>
  <c r="L23" i="38"/>
  <c r="H23" i="38"/>
  <c r="G23" i="38"/>
  <c r="K23" i="38" s="1"/>
  <c r="Q22" i="38"/>
  <c r="L22" i="38"/>
  <c r="H22" i="38"/>
  <c r="G22" i="38"/>
  <c r="K22" i="38" s="1"/>
  <c r="Q21" i="38"/>
  <c r="L21" i="38"/>
  <c r="H21" i="38"/>
  <c r="G21" i="38"/>
  <c r="K21" i="38" s="1"/>
  <c r="Q20" i="38"/>
  <c r="L20" i="38"/>
  <c r="H20" i="38"/>
  <c r="G20" i="38"/>
  <c r="K20" i="38" s="1"/>
  <c r="Q19" i="38"/>
  <c r="L19" i="38"/>
  <c r="H19" i="38"/>
  <c r="G19" i="38"/>
  <c r="K19" i="38" s="1"/>
  <c r="Q18" i="38"/>
  <c r="L18" i="38"/>
  <c r="H18" i="38"/>
  <c r="G18" i="38"/>
  <c r="K18" i="38" s="1"/>
  <c r="Q17" i="38"/>
  <c r="L17" i="38"/>
  <c r="H17" i="38"/>
  <c r="G17" i="38"/>
  <c r="K17" i="38" s="1"/>
  <c r="P16" i="38"/>
  <c r="L16" i="38"/>
  <c r="H16" i="38"/>
  <c r="G16" i="38"/>
  <c r="K16" i="38" s="1"/>
  <c r="Q15" i="38"/>
  <c r="L15" i="38"/>
  <c r="H15" i="38"/>
  <c r="G15" i="38"/>
  <c r="K15" i="38" s="1"/>
  <c r="Q14" i="38"/>
  <c r="L14" i="38"/>
  <c r="H14" i="38"/>
  <c r="G14" i="38"/>
  <c r="K14" i="38" s="1"/>
  <c r="Q13" i="38"/>
  <c r="L13" i="38"/>
  <c r="H13" i="38"/>
  <c r="G13" i="38"/>
  <c r="K13" i="38" s="1"/>
  <c r="Q12" i="38"/>
  <c r="L12" i="38"/>
  <c r="P12" i="38" s="1"/>
  <c r="H12" i="38"/>
  <c r="G12" i="38"/>
  <c r="K12" i="38" s="1"/>
  <c r="P11" i="38" l="1"/>
  <c r="K11" i="38"/>
  <c r="O19" i="38"/>
  <c r="O16" i="38"/>
  <c r="R12" i="38"/>
  <c r="T12" i="38"/>
  <c r="S12" i="38"/>
  <c r="R13" i="38"/>
  <c r="T13" i="38"/>
  <c r="S13" i="38"/>
  <c r="R14" i="38"/>
  <c r="T14" i="38"/>
  <c r="S14" i="38"/>
  <c r="R15" i="38"/>
  <c r="T15" i="38"/>
  <c r="S15" i="38"/>
  <c r="R16" i="38"/>
  <c r="T16" i="38"/>
  <c r="S16" i="38"/>
  <c r="R17" i="38"/>
  <c r="T17" i="38"/>
  <c r="S17" i="38"/>
  <c r="R18" i="38"/>
  <c r="T18" i="38"/>
  <c r="S18" i="38"/>
  <c r="R19" i="38"/>
  <c r="T19" i="38"/>
  <c r="S19" i="38"/>
  <c r="R20" i="38"/>
  <c r="T20" i="38"/>
  <c r="S20" i="38"/>
  <c r="R21" i="38"/>
  <c r="T21" i="38"/>
  <c r="S21" i="38"/>
  <c r="R22" i="38"/>
  <c r="T22" i="38"/>
  <c r="S22" i="38"/>
  <c r="R23" i="38"/>
  <c r="T23" i="38"/>
  <c r="S23" i="38"/>
  <c r="R24" i="38"/>
  <c r="T24" i="38"/>
  <c r="S24" i="38"/>
  <c r="R25" i="38"/>
  <c r="T25" i="38"/>
  <c r="S25" i="38"/>
  <c r="R26" i="38"/>
  <c r="T26" i="38"/>
  <c r="S26" i="38"/>
  <c r="R27" i="38"/>
  <c r="T27" i="38"/>
  <c r="S27" i="38"/>
  <c r="O12" i="38"/>
  <c r="O18" i="38"/>
  <c r="O20" i="38"/>
  <c r="O21" i="38"/>
  <c r="O27" i="38"/>
  <c r="M26" i="38"/>
  <c r="O26" i="38"/>
  <c r="M25" i="38"/>
  <c r="O25" i="38"/>
  <c r="O24" i="38"/>
  <c r="O23" i="38"/>
  <c r="O22" i="38"/>
  <c r="O17" i="38"/>
  <c r="M15" i="38"/>
  <c r="O15" i="38"/>
  <c r="M14" i="38"/>
  <c r="O14" i="38"/>
  <c r="M13" i="38"/>
  <c r="O13" i="38"/>
  <c r="M21" i="38"/>
  <c r="M20" i="38"/>
  <c r="M18" i="38"/>
  <c r="M16" i="38"/>
  <c r="M12" i="38"/>
  <c r="H11" i="38"/>
  <c r="M24" i="38"/>
  <c r="G11" i="38"/>
  <c r="M17" i="38"/>
  <c r="M22" i="38"/>
  <c r="M19" i="38"/>
  <c r="M23" i="38"/>
  <c r="M27" i="38"/>
  <c r="L11" i="38"/>
  <c r="Q11" i="38"/>
  <c r="L29" i="22"/>
  <c r="L30" i="22"/>
  <c r="L31" i="22"/>
  <c r="L32" i="22"/>
  <c r="L33" i="22"/>
  <c r="L34" i="22"/>
  <c r="L35" i="22"/>
  <c r="L36" i="22"/>
  <c r="L37" i="22"/>
  <c r="L38" i="22"/>
  <c r="L40" i="22"/>
  <c r="L41" i="22"/>
  <c r="L42" i="22"/>
  <c r="L44" i="22"/>
  <c r="L45" i="22"/>
  <c r="L46" i="22"/>
  <c r="L47" i="22"/>
  <c r="L48" i="22"/>
  <c r="L49" i="22"/>
  <c r="L50" i="22"/>
  <c r="L51" i="22"/>
  <c r="L52" i="22"/>
  <c r="L53" i="22"/>
  <c r="L54" i="22"/>
  <c r="L56" i="22"/>
  <c r="L57" i="22"/>
  <c r="L58" i="22"/>
  <c r="L59" i="22"/>
  <c r="L61" i="22"/>
  <c r="L62" i="22"/>
  <c r="L63" i="22"/>
  <c r="L64" i="22"/>
  <c r="L66" i="22"/>
  <c r="L67" i="22"/>
  <c r="L68" i="22"/>
  <c r="L69" i="22"/>
  <c r="L71" i="22"/>
  <c r="L72" i="22"/>
  <c r="L73" i="22"/>
  <c r="L74" i="22"/>
  <c r="L75" i="22"/>
  <c r="L76" i="22"/>
  <c r="L77" i="22"/>
  <c r="L79" i="22"/>
  <c r="L80" i="22"/>
  <c r="L81" i="22"/>
  <c r="L82" i="22"/>
  <c r="L83" i="22"/>
  <c r="L84" i="22"/>
  <c r="L85" i="22"/>
  <c r="L87" i="22"/>
  <c r="L89" i="22"/>
  <c r="L90" i="22"/>
  <c r="L91" i="22"/>
  <c r="L92" i="22"/>
  <c r="L93" i="22"/>
  <c r="L94" i="22"/>
  <c r="L95" i="22"/>
  <c r="L96" i="22"/>
  <c r="L97" i="22"/>
  <c r="L99" i="22"/>
  <c r="L100" i="22"/>
  <c r="L101" i="22"/>
  <c r="L102" i="22"/>
  <c r="L103" i="22"/>
  <c r="L104" i="22"/>
  <c r="L105" i="22"/>
  <c r="L106" i="22"/>
  <c r="L108" i="22"/>
  <c r="L109" i="22"/>
  <c r="L111" i="22"/>
  <c r="L112" i="22"/>
  <c r="L113" i="22"/>
  <c r="L114" i="22"/>
  <c r="L116" i="22"/>
  <c r="L117" i="22"/>
  <c r="L118" i="22"/>
  <c r="L119" i="22"/>
  <c r="L120" i="22"/>
  <c r="L121" i="22"/>
  <c r="L122" i="22"/>
  <c r="L123" i="22"/>
  <c r="L124" i="22"/>
  <c r="L125" i="22"/>
  <c r="L126" i="22"/>
  <c r="L127" i="22"/>
  <c r="L128" i="22"/>
  <c r="L129" i="22"/>
  <c r="L130" i="22"/>
  <c r="L131" i="22"/>
  <c r="L132" i="22"/>
  <c r="L134" i="22"/>
  <c r="L135" i="22"/>
  <c r="L136" i="22"/>
  <c r="L138" i="22"/>
  <c r="L139" i="22"/>
  <c r="L140" i="22"/>
  <c r="L141" i="22"/>
  <c r="L142" i="22"/>
  <c r="L143" i="22"/>
  <c r="L144" i="22"/>
  <c r="L145" i="22"/>
  <c r="L146" i="22"/>
  <c r="L147" i="22"/>
  <c r="L148" i="22"/>
  <c r="L149" i="22"/>
  <c r="L150" i="22"/>
  <c r="L151" i="22"/>
  <c r="L152" i="22"/>
  <c r="L153" i="22"/>
  <c r="L154" i="22"/>
  <c r="L155" i="22"/>
  <c r="L156" i="22"/>
  <c r="L28" i="22"/>
  <c r="K29" i="22"/>
  <c r="K30" i="22"/>
  <c r="K31" i="22"/>
  <c r="K32" i="22"/>
  <c r="K33" i="22"/>
  <c r="K34" i="22"/>
  <c r="K35" i="22"/>
  <c r="K36" i="22"/>
  <c r="K37" i="22"/>
  <c r="K38" i="22"/>
  <c r="K40" i="22"/>
  <c r="K41" i="22"/>
  <c r="K42" i="22"/>
  <c r="K44" i="22"/>
  <c r="K45" i="22"/>
  <c r="K46" i="22"/>
  <c r="K47" i="22"/>
  <c r="K48" i="22"/>
  <c r="K49" i="22"/>
  <c r="K50" i="22"/>
  <c r="K51" i="22"/>
  <c r="K52" i="22"/>
  <c r="K53" i="22"/>
  <c r="K54" i="22"/>
  <c r="K56" i="22"/>
  <c r="K57" i="22"/>
  <c r="K58" i="22"/>
  <c r="K59" i="22"/>
  <c r="K61" i="22"/>
  <c r="K62" i="22"/>
  <c r="K63" i="22"/>
  <c r="K64" i="22"/>
  <c r="K66" i="22"/>
  <c r="K67" i="22"/>
  <c r="K68" i="22"/>
  <c r="K69" i="22"/>
  <c r="K71" i="22"/>
  <c r="K72" i="22"/>
  <c r="K73" i="22"/>
  <c r="K74" i="22"/>
  <c r="K75" i="22"/>
  <c r="K76" i="22"/>
  <c r="K77" i="22"/>
  <c r="K79" i="22"/>
  <c r="K80" i="22"/>
  <c r="K81" i="22"/>
  <c r="K82" i="22"/>
  <c r="K83" i="22"/>
  <c r="K84" i="22"/>
  <c r="K85" i="22"/>
  <c r="K87" i="22"/>
  <c r="K89" i="22"/>
  <c r="K90" i="22"/>
  <c r="K91" i="22"/>
  <c r="K92" i="22"/>
  <c r="K93" i="22"/>
  <c r="K94" i="22"/>
  <c r="K95" i="22"/>
  <c r="K96" i="22"/>
  <c r="K97" i="22"/>
  <c r="K99" i="22"/>
  <c r="K100" i="22"/>
  <c r="K101" i="22"/>
  <c r="K102" i="22"/>
  <c r="K103" i="22"/>
  <c r="K104" i="22"/>
  <c r="K105" i="22"/>
  <c r="K106" i="22"/>
  <c r="K108" i="22"/>
  <c r="K109" i="22"/>
  <c r="K111" i="22"/>
  <c r="K112" i="22"/>
  <c r="K113" i="22"/>
  <c r="K114" i="22"/>
  <c r="K116" i="22"/>
  <c r="K117" i="22"/>
  <c r="K118" i="22"/>
  <c r="K119" i="22"/>
  <c r="K120" i="22"/>
  <c r="K121" i="22"/>
  <c r="K122" i="22"/>
  <c r="K123" i="22"/>
  <c r="K124" i="22"/>
  <c r="K125" i="22"/>
  <c r="K126" i="22"/>
  <c r="K127" i="22"/>
  <c r="K128" i="22"/>
  <c r="K129" i="22"/>
  <c r="K130" i="22"/>
  <c r="K131" i="22"/>
  <c r="K132" i="22"/>
  <c r="K134" i="22"/>
  <c r="K135" i="22"/>
  <c r="K136" i="22"/>
  <c r="K138" i="22"/>
  <c r="K139" i="22"/>
  <c r="K140" i="22"/>
  <c r="K141" i="22"/>
  <c r="K142" i="22"/>
  <c r="K143" i="22"/>
  <c r="K144" i="22"/>
  <c r="K145" i="22"/>
  <c r="K146" i="22"/>
  <c r="K147" i="22"/>
  <c r="K148" i="22"/>
  <c r="K149" i="22"/>
  <c r="K150" i="22"/>
  <c r="K151" i="22"/>
  <c r="K152" i="22"/>
  <c r="K153" i="22"/>
  <c r="K154" i="22"/>
  <c r="K155" i="22"/>
  <c r="K156" i="22"/>
  <c r="K28" i="22"/>
  <c r="X29" i="22"/>
  <c r="X30" i="22"/>
  <c r="X31" i="22"/>
  <c r="X32" i="22"/>
  <c r="X33" i="22"/>
  <c r="X34" i="22"/>
  <c r="X35" i="22"/>
  <c r="X36" i="22"/>
  <c r="X37" i="22"/>
  <c r="X38" i="22"/>
  <c r="X39" i="22"/>
  <c r="X40" i="22"/>
  <c r="X41" i="22"/>
  <c r="X42" i="22"/>
  <c r="X43" i="22"/>
  <c r="X44" i="22"/>
  <c r="X45" i="22"/>
  <c r="X46" i="22"/>
  <c r="X47" i="22"/>
  <c r="X48" i="22"/>
  <c r="X49" i="22"/>
  <c r="X50" i="22"/>
  <c r="X51" i="22"/>
  <c r="X52" i="22"/>
  <c r="X53" i="22"/>
  <c r="X54" i="22"/>
  <c r="X55" i="22"/>
  <c r="X56" i="22"/>
  <c r="X57" i="22"/>
  <c r="X58" i="22"/>
  <c r="X59" i="22"/>
  <c r="X60" i="22"/>
  <c r="X61" i="22"/>
  <c r="X62" i="22"/>
  <c r="X63" i="22"/>
  <c r="X64" i="22"/>
  <c r="X65" i="22"/>
  <c r="X66" i="22"/>
  <c r="X67" i="22"/>
  <c r="X68" i="22"/>
  <c r="X69" i="22"/>
  <c r="X70" i="22"/>
  <c r="X71" i="22"/>
  <c r="X72" i="22"/>
  <c r="X73" i="22"/>
  <c r="X74" i="22"/>
  <c r="X75" i="22"/>
  <c r="X76" i="22"/>
  <c r="X77" i="22"/>
  <c r="X78" i="22"/>
  <c r="X79" i="22"/>
  <c r="X80" i="22"/>
  <c r="X81" i="22"/>
  <c r="X82" i="22"/>
  <c r="X83" i="22"/>
  <c r="X84" i="22"/>
  <c r="X85" i="22"/>
  <c r="X86" i="22"/>
  <c r="X87" i="22"/>
  <c r="X88" i="22"/>
  <c r="X89" i="22"/>
  <c r="X90" i="22"/>
  <c r="X91" i="22"/>
  <c r="X92" i="22"/>
  <c r="X93" i="22"/>
  <c r="X94" i="22"/>
  <c r="X95" i="22"/>
  <c r="X96" i="22"/>
  <c r="X97" i="22"/>
  <c r="X98" i="22"/>
  <c r="X99" i="22"/>
  <c r="X100" i="22"/>
  <c r="X101" i="22"/>
  <c r="X102" i="22"/>
  <c r="X103" i="22"/>
  <c r="X104" i="22"/>
  <c r="X105" i="22"/>
  <c r="X106" i="22"/>
  <c r="X107" i="22"/>
  <c r="X108" i="22"/>
  <c r="X109" i="22"/>
  <c r="X110" i="22"/>
  <c r="X111" i="22"/>
  <c r="X112" i="22"/>
  <c r="X113" i="22"/>
  <c r="X114" i="22"/>
  <c r="X115" i="22"/>
  <c r="X116" i="22"/>
  <c r="X117" i="22"/>
  <c r="X118" i="22"/>
  <c r="X119" i="22"/>
  <c r="X120" i="22"/>
  <c r="X121" i="22"/>
  <c r="X122" i="22"/>
  <c r="X123" i="22"/>
  <c r="X124" i="22"/>
  <c r="X125" i="22"/>
  <c r="X126" i="22"/>
  <c r="X127" i="22"/>
  <c r="X128" i="22"/>
  <c r="X129" i="22"/>
  <c r="X130" i="22"/>
  <c r="X131" i="22"/>
  <c r="X132" i="22"/>
  <c r="X133" i="22"/>
  <c r="X134" i="22"/>
  <c r="X135" i="22"/>
  <c r="X136" i="22"/>
  <c r="X137" i="22"/>
  <c r="X138" i="22"/>
  <c r="X139" i="22"/>
  <c r="X140" i="22"/>
  <c r="X141" i="22"/>
  <c r="X142" i="22"/>
  <c r="X143" i="22"/>
  <c r="X144" i="22"/>
  <c r="X145" i="22"/>
  <c r="X146" i="22"/>
  <c r="X147" i="22"/>
  <c r="X148" i="22"/>
  <c r="X149" i="22"/>
  <c r="X150" i="22"/>
  <c r="X151" i="22"/>
  <c r="X152" i="22"/>
  <c r="X153" i="22"/>
  <c r="X154" i="22"/>
  <c r="X155" i="22"/>
  <c r="X156" i="22"/>
  <c r="X28" i="22"/>
  <c r="O11" i="38" l="1"/>
  <c r="J10" i="22"/>
  <c r="J11" i="22"/>
  <c r="J12" i="22"/>
  <c r="J13" i="22"/>
  <c r="J14" i="22"/>
  <c r="J15" i="22"/>
  <c r="J16" i="22"/>
  <c r="J17" i="22"/>
  <c r="J18" i="22"/>
  <c r="J19" i="22"/>
  <c r="J20" i="22"/>
  <c r="J21" i="22"/>
  <c r="J22" i="22"/>
  <c r="J23" i="22"/>
  <c r="J24" i="22"/>
  <c r="J25" i="22"/>
  <c r="J9" i="22" l="1"/>
  <c r="P51" i="37" l="1"/>
  <c r="M51" i="37"/>
  <c r="Q51" i="37" s="1"/>
  <c r="P50" i="37"/>
  <c r="M50" i="37"/>
  <c r="P49" i="37"/>
  <c r="M49" i="37"/>
  <c r="Q49" i="37" s="1"/>
  <c r="P48" i="37"/>
  <c r="O48" i="37"/>
  <c r="N48" i="37"/>
  <c r="M48" i="37"/>
  <c r="P47" i="37"/>
  <c r="M47" i="37"/>
  <c r="Q47" i="37" s="1"/>
  <c r="Q46" i="37"/>
  <c r="P46" i="37"/>
  <c r="P45" i="37"/>
  <c r="O45" i="37"/>
  <c r="N45" i="37"/>
  <c r="M45" i="37"/>
  <c r="P44" i="37"/>
  <c r="M44" i="37"/>
  <c r="P43" i="37"/>
  <c r="O43" i="37"/>
  <c r="N43" i="37"/>
  <c r="M43" i="37"/>
  <c r="P42" i="37"/>
  <c r="M42" i="37"/>
  <c r="Q42" i="37" s="1"/>
  <c r="P41" i="37"/>
  <c r="O41" i="37"/>
  <c r="N41" i="37"/>
  <c r="M41" i="37"/>
  <c r="P40" i="37"/>
  <c r="M40" i="37"/>
  <c r="Q40" i="37" s="1"/>
  <c r="P39" i="37"/>
  <c r="O39" i="37"/>
  <c r="N39" i="37"/>
  <c r="M39" i="37"/>
  <c r="P38" i="37"/>
  <c r="M38" i="37"/>
  <c r="Q38" i="37" s="1"/>
  <c r="P37" i="37"/>
  <c r="O37" i="37"/>
  <c r="N37" i="37"/>
  <c r="M37" i="37"/>
  <c r="P36" i="37"/>
  <c r="M36" i="37"/>
  <c r="Q36" i="37" s="1"/>
  <c r="P35" i="37"/>
  <c r="O35" i="37"/>
  <c r="N35" i="37"/>
  <c r="M35" i="37"/>
  <c r="P34" i="37"/>
  <c r="M34" i="37"/>
  <c r="Q34" i="37" s="1"/>
  <c r="P33" i="37"/>
  <c r="O33" i="37"/>
  <c r="N33" i="37"/>
  <c r="M33" i="37"/>
  <c r="P32" i="37"/>
  <c r="M32" i="37"/>
  <c r="Q32" i="37" s="1"/>
  <c r="P31" i="37"/>
  <c r="O31" i="37"/>
  <c r="N31" i="37"/>
  <c r="M31" i="37"/>
  <c r="P30" i="37"/>
  <c r="M30" i="37"/>
  <c r="Q30" i="37" s="1"/>
  <c r="P29" i="37"/>
  <c r="M29" i="37"/>
  <c r="P28" i="37"/>
  <c r="M28" i="37"/>
  <c r="Q28" i="37" s="1"/>
  <c r="P27" i="37"/>
  <c r="O27" i="37"/>
  <c r="N27" i="37"/>
  <c r="M27" i="37"/>
  <c r="P26" i="37"/>
  <c r="M26" i="37"/>
  <c r="Q26" i="37" s="1"/>
  <c r="P25" i="37"/>
  <c r="M25" i="37"/>
  <c r="P24" i="37"/>
  <c r="O24" i="37"/>
  <c r="N24" i="37"/>
  <c r="M24" i="37"/>
  <c r="Q24" i="37" s="1"/>
  <c r="P23" i="37"/>
  <c r="M23" i="37"/>
  <c r="P22" i="37"/>
  <c r="M22" i="37"/>
  <c r="Q22" i="37" s="1"/>
  <c r="P21" i="37"/>
  <c r="M21" i="37"/>
  <c r="P20" i="37"/>
  <c r="O20" i="37"/>
  <c r="N20" i="37"/>
  <c r="M20" i="37"/>
  <c r="Q20" i="37" s="1"/>
  <c r="P19" i="37"/>
  <c r="M19" i="37"/>
  <c r="P18" i="37"/>
  <c r="M18" i="37"/>
  <c r="Q18" i="37" s="1"/>
  <c r="P17" i="37"/>
  <c r="O17" i="37"/>
  <c r="N17" i="37"/>
  <c r="M17" i="37"/>
  <c r="P16" i="37"/>
  <c r="M16" i="37"/>
  <c r="Q16" i="37" s="1"/>
  <c r="P15" i="37"/>
  <c r="M15" i="37"/>
  <c r="P14" i="37"/>
  <c r="O14" i="37"/>
  <c r="N14" i="37"/>
  <c r="M14" i="37"/>
  <c r="P13" i="37"/>
  <c r="M13" i="37"/>
  <c r="P12" i="37"/>
  <c r="M12" i="37"/>
  <c r="Q12" i="37" s="1"/>
  <c r="P11" i="37"/>
  <c r="O11" i="37"/>
  <c r="N11" i="37"/>
  <c r="M11" i="37"/>
  <c r="P10" i="37"/>
  <c r="M10" i="37"/>
  <c r="Q10" i="37" s="1"/>
  <c r="P9" i="37"/>
  <c r="M9" i="37"/>
  <c r="P8" i="37"/>
  <c r="O8" i="37"/>
  <c r="N8" i="37"/>
  <c r="M8" i="37"/>
  <c r="Q8" i="37" s="1"/>
  <c r="L7" i="37"/>
  <c r="Q9" i="37" l="1"/>
  <c r="Q11" i="37"/>
  <c r="Q13" i="37"/>
  <c r="Q21" i="37"/>
  <c r="Q25" i="37"/>
  <c r="Q27" i="37"/>
  <c r="Q29" i="37"/>
  <c r="Q31" i="37"/>
  <c r="Q35" i="37"/>
  <c r="Q39" i="37"/>
  <c r="Q43" i="37"/>
  <c r="Q44" i="37"/>
  <c r="Q14" i="37"/>
  <c r="P7" i="37"/>
  <c r="Q15" i="37"/>
  <c r="Q17" i="37"/>
  <c r="Q19" i="37"/>
  <c r="Q23" i="37"/>
  <c r="Q33" i="37"/>
  <c r="Q37" i="37"/>
  <c r="Q41" i="37"/>
  <c r="Q45" i="37"/>
  <c r="Q48" i="37"/>
  <c r="Q50" i="37"/>
  <c r="Q155" i="36"/>
  <c r="P155" i="36"/>
  <c r="O155" i="36"/>
  <c r="M155" i="36"/>
  <c r="L155" i="36"/>
  <c r="K155" i="36"/>
  <c r="Q154" i="36"/>
  <c r="P154" i="36"/>
  <c r="O154" i="36"/>
  <c r="M154" i="36"/>
  <c r="L154" i="36"/>
  <c r="K154" i="36"/>
  <c r="Q153" i="36"/>
  <c r="P153" i="36"/>
  <c r="O153" i="36"/>
  <c r="M153" i="36"/>
  <c r="L153" i="36"/>
  <c r="K153" i="36"/>
  <c r="Q152" i="36"/>
  <c r="P152" i="36"/>
  <c r="O152" i="36"/>
  <c r="M152" i="36"/>
  <c r="L152" i="36"/>
  <c r="K152" i="36"/>
  <c r="Q151" i="36"/>
  <c r="P151" i="36"/>
  <c r="O151" i="36"/>
  <c r="M151" i="36"/>
  <c r="L151" i="36"/>
  <c r="K151" i="36"/>
  <c r="Q150" i="36"/>
  <c r="P150" i="36"/>
  <c r="O150" i="36"/>
  <c r="M150" i="36"/>
  <c r="L150" i="36"/>
  <c r="K150" i="36"/>
  <c r="Q149" i="36"/>
  <c r="P149" i="36"/>
  <c r="O149" i="36"/>
  <c r="M149" i="36"/>
  <c r="L149" i="36"/>
  <c r="K149" i="36"/>
  <c r="Q148" i="36"/>
  <c r="P148" i="36"/>
  <c r="O148" i="36"/>
  <c r="M148" i="36"/>
  <c r="L148" i="36"/>
  <c r="K148" i="36"/>
  <c r="Q147" i="36"/>
  <c r="P147" i="36"/>
  <c r="O147" i="36"/>
  <c r="M147" i="36"/>
  <c r="L147" i="36"/>
  <c r="K147" i="36"/>
  <c r="Q146" i="36"/>
  <c r="P146" i="36"/>
  <c r="O146" i="36"/>
  <c r="M146" i="36"/>
  <c r="L146" i="36"/>
  <c r="K146" i="36"/>
  <c r="Q145" i="36"/>
  <c r="P145" i="36"/>
  <c r="O145" i="36"/>
  <c r="M145" i="36"/>
  <c r="L145" i="36"/>
  <c r="K145" i="36"/>
  <c r="Q144" i="36"/>
  <c r="P144" i="36"/>
  <c r="O144" i="36"/>
  <c r="M144" i="36"/>
  <c r="L144" i="36"/>
  <c r="K144" i="36"/>
  <c r="Q143" i="36"/>
  <c r="P143" i="36"/>
  <c r="O143" i="36"/>
  <c r="M143" i="36"/>
  <c r="L143" i="36"/>
  <c r="K143" i="36"/>
  <c r="Q142" i="36"/>
  <c r="P142" i="36"/>
  <c r="O142" i="36"/>
  <c r="M142" i="36"/>
  <c r="L142" i="36"/>
  <c r="K142" i="36"/>
  <c r="Q141" i="36"/>
  <c r="P141" i="36"/>
  <c r="O141" i="36"/>
  <c r="M141" i="36"/>
  <c r="L141" i="36"/>
  <c r="K141" i="36"/>
  <c r="Q140" i="36"/>
  <c r="P140" i="36"/>
  <c r="O140" i="36"/>
  <c r="M140" i="36"/>
  <c r="L140" i="36"/>
  <c r="K140" i="36"/>
  <c r="Q139" i="36"/>
  <c r="P139" i="36"/>
  <c r="O139" i="36"/>
  <c r="M139" i="36"/>
  <c r="L139" i="36"/>
  <c r="K139" i="36"/>
  <c r="Q138" i="36"/>
  <c r="P138" i="36"/>
  <c r="O138" i="36"/>
  <c r="M138" i="36"/>
  <c r="L138" i="36"/>
  <c r="K138" i="36"/>
  <c r="Q137" i="36"/>
  <c r="P137" i="36"/>
  <c r="O137" i="36"/>
  <c r="M137" i="36"/>
  <c r="L137" i="36"/>
  <c r="K137" i="36"/>
  <c r="Q135" i="36"/>
  <c r="P135" i="36"/>
  <c r="O135" i="36"/>
  <c r="M135" i="36"/>
  <c r="L135" i="36"/>
  <c r="K135" i="36"/>
  <c r="Q134" i="36"/>
  <c r="P134" i="36"/>
  <c r="O134" i="36"/>
  <c r="M134" i="36"/>
  <c r="L134" i="36"/>
  <c r="K134" i="36"/>
  <c r="Q133" i="36"/>
  <c r="P133" i="36"/>
  <c r="O133" i="36"/>
  <c r="M133" i="36"/>
  <c r="L133" i="36"/>
  <c r="K133" i="36"/>
  <c r="Q131" i="36"/>
  <c r="P131" i="36"/>
  <c r="O131" i="36"/>
  <c r="M131" i="36"/>
  <c r="L131" i="36"/>
  <c r="K131" i="36"/>
  <c r="Q130" i="36"/>
  <c r="P130" i="36"/>
  <c r="O130" i="36"/>
  <c r="M130" i="36"/>
  <c r="L130" i="36"/>
  <c r="K130" i="36"/>
  <c r="Q129" i="36"/>
  <c r="P129" i="36"/>
  <c r="O129" i="36"/>
  <c r="M129" i="36"/>
  <c r="L129" i="36"/>
  <c r="K129" i="36"/>
  <c r="Q128" i="36"/>
  <c r="P128" i="36"/>
  <c r="O128" i="36"/>
  <c r="M128" i="36"/>
  <c r="L128" i="36"/>
  <c r="K128" i="36"/>
  <c r="Q127" i="36"/>
  <c r="P127" i="36"/>
  <c r="O127" i="36"/>
  <c r="M127" i="36"/>
  <c r="L127" i="36"/>
  <c r="K127" i="36"/>
  <c r="Q126" i="36"/>
  <c r="P126" i="36"/>
  <c r="O126" i="36"/>
  <c r="M126" i="36"/>
  <c r="L126" i="36"/>
  <c r="K126" i="36"/>
  <c r="Q125" i="36"/>
  <c r="P125" i="36"/>
  <c r="O125" i="36"/>
  <c r="M125" i="36"/>
  <c r="L125" i="36"/>
  <c r="K125" i="36"/>
  <c r="Q124" i="36"/>
  <c r="P124" i="36"/>
  <c r="O124" i="36"/>
  <c r="M124" i="36"/>
  <c r="L124" i="36"/>
  <c r="K124" i="36"/>
  <c r="Q123" i="36"/>
  <c r="P123" i="36"/>
  <c r="O123" i="36"/>
  <c r="M123" i="36"/>
  <c r="L123" i="36"/>
  <c r="K123" i="36"/>
  <c r="Q122" i="36"/>
  <c r="P122" i="36"/>
  <c r="O122" i="36"/>
  <c r="M122" i="36"/>
  <c r="L122" i="36"/>
  <c r="K122" i="36"/>
  <c r="Q121" i="36"/>
  <c r="P121" i="36"/>
  <c r="O121" i="36"/>
  <c r="M121" i="36"/>
  <c r="L121" i="36"/>
  <c r="K121" i="36"/>
  <c r="Q120" i="36"/>
  <c r="P120" i="36"/>
  <c r="O120" i="36"/>
  <c r="M120" i="36"/>
  <c r="L120" i="36"/>
  <c r="K120" i="36"/>
  <c r="Q119" i="36"/>
  <c r="P119" i="36"/>
  <c r="O119" i="36"/>
  <c r="M119" i="36"/>
  <c r="L119" i="36"/>
  <c r="K119" i="36"/>
  <c r="Q118" i="36"/>
  <c r="P118" i="36"/>
  <c r="O118" i="36"/>
  <c r="M118" i="36"/>
  <c r="L118" i="36"/>
  <c r="K118" i="36"/>
  <c r="Q117" i="36"/>
  <c r="P117" i="36"/>
  <c r="O117" i="36"/>
  <c r="M117" i="36"/>
  <c r="L117" i="36"/>
  <c r="K117" i="36"/>
  <c r="Q116" i="36"/>
  <c r="P116" i="36"/>
  <c r="O116" i="36"/>
  <c r="M116" i="36"/>
  <c r="L116" i="36"/>
  <c r="K116" i="36"/>
  <c r="Q115" i="36"/>
  <c r="P115" i="36"/>
  <c r="O115" i="36"/>
  <c r="M115" i="36"/>
  <c r="L115" i="36"/>
  <c r="K115" i="36"/>
  <c r="Q113" i="36"/>
  <c r="P113" i="36"/>
  <c r="O113" i="36"/>
  <c r="M113" i="36"/>
  <c r="L113" i="36"/>
  <c r="K113" i="36"/>
  <c r="Q112" i="36"/>
  <c r="P112" i="36"/>
  <c r="O112" i="36"/>
  <c r="M112" i="36"/>
  <c r="L112" i="36"/>
  <c r="K112" i="36"/>
  <c r="Q111" i="36"/>
  <c r="P111" i="36"/>
  <c r="O111" i="36"/>
  <c r="M111" i="36"/>
  <c r="L111" i="36"/>
  <c r="K111" i="36"/>
  <c r="Q110" i="36"/>
  <c r="P110" i="36"/>
  <c r="O110" i="36"/>
  <c r="M110" i="36"/>
  <c r="L110" i="36"/>
  <c r="K110" i="36"/>
  <c r="Q108" i="36"/>
  <c r="P108" i="36"/>
  <c r="O108" i="36"/>
  <c r="M108" i="36"/>
  <c r="L108" i="36"/>
  <c r="K108" i="36"/>
  <c r="Q107" i="36"/>
  <c r="P107" i="36"/>
  <c r="O107" i="36"/>
  <c r="M107" i="36"/>
  <c r="L107" i="36"/>
  <c r="K107" i="36"/>
  <c r="Q105" i="36"/>
  <c r="P105" i="36"/>
  <c r="O105" i="36"/>
  <c r="M105" i="36"/>
  <c r="L105" i="36"/>
  <c r="K105" i="36"/>
  <c r="Q104" i="36"/>
  <c r="P104" i="36"/>
  <c r="O104" i="36"/>
  <c r="M104" i="36"/>
  <c r="L104" i="36"/>
  <c r="K104" i="36"/>
  <c r="Q103" i="36"/>
  <c r="P103" i="36"/>
  <c r="O103" i="36"/>
  <c r="M103" i="36"/>
  <c r="L103" i="36"/>
  <c r="K103" i="36"/>
  <c r="Q102" i="36"/>
  <c r="P102" i="36"/>
  <c r="O102" i="36"/>
  <c r="M102" i="36"/>
  <c r="L102" i="36"/>
  <c r="K102" i="36"/>
  <c r="Q101" i="36"/>
  <c r="P101" i="36"/>
  <c r="O101" i="36"/>
  <c r="M101" i="36"/>
  <c r="L101" i="36"/>
  <c r="K101" i="36"/>
  <c r="Q100" i="36"/>
  <c r="P100" i="36"/>
  <c r="O100" i="36"/>
  <c r="M100" i="36"/>
  <c r="L100" i="36"/>
  <c r="K100" i="36"/>
  <c r="Q99" i="36"/>
  <c r="P99" i="36"/>
  <c r="O99" i="36"/>
  <c r="M99" i="36"/>
  <c r="L99" i="36"/>
  <c r="K99" i="36"/>
  <c r="Q98" i="36"/>
  <c r="P98" i="36"/>
  <c r="O98" i="36"/>
  <c r="M98" i="36"/>
  <c r="L98" i="36"/>
  <c r="K98" i="36"/>
  <c r="Q96" i="36"/>
  <c r="P96" i="36"/>
  <c r="O96" i="36"/>
  <c r="M96" i="36"/>
  <c r="L96" i="36"/>
  <c r="K96" i="36"/>
  <c r="Q95" i="36"/>
  <c r="P95" i="36"/>
  <c r="O95" i="36"/>
  <c r="M95" i="36"/>
  <c r="L95" i="36"/>
  <c r="K95" i="36"/>
  <c r="Q94" i="36"/>
  <c r="P94" i="36"/>
  <c r="O94" i="36"/>
  <c r="M94" i="36"/>
  <c r="L94" i="36"/>
  <c r="K94" i="36"/>
  <c r="Q93" i="36"/>
  <c r="P93" i="36"/>
  <c r="O93" i="36"/>
  <c r="M93" i="36"/>
  <c r="L93" i="36"/>
  <c r="K93" i="36"/>
  <c r="Q92" i="36"/>
  <c r="P92" i="36"/>
  <c r="O92" i="36"/>
  <c r="M92" i="36"/>
  <c r="L92" i="36"/>
  <c r="K92" i="36"/>
  <c r="Q91" i="36"/>
  <c r="P91" i="36"/>
  <c r="O91" i="36"/>
  <c r="M91" i="36"/>
  <c r="L91" i="36"/>
  <c r="K91" i="36"/>
  <c r="Q90" i="36"/>
  <c r="P90" i="36"/>
  <c r="O90" i="36"/>
  <c r="M90" i="36"/>
  <c r="L90" i="36"/>
  <c r="K90" i="36"/>
  <c r="Q89" i="36"/>
  <c r="P89" i="36"/>
  <c r="O89" i="36"/>
  <c r="M89" i="36"/>
  <c r="L89" i="36"/>
  <c r="K89" i="36"/>
  <c r="Q88" i="36"/>
  <c r="P88" i="36"/>
  <c r="O88" i="36"/>
  <c r="M88" i="36"/>
  <c r="L88" i="36"/>
  <c r="K88" i="36"/>
  <c r="Q86" i="36"/>
  <c r="P86" i="36"/>
  <c r="O86" i="36"/>
  <c r="M86" i="36"/>
  <c r="L86" i="36"/>
  <c r="K86" i="36"/>
  <c r="Q84" i="36"/>
  <c r="P84" i="36"/>
  <c r="O84" i="36"/>
  <c r="M84" i="36"/>
  <c r="L84" i="36"/>
  <c r="K84" i="36"/>
  <c r="Q83" i="36"/>
  <c r="P83" i="36"/>
  <c r="O83" i="36"/>
  <c r="M83" i="36"/>
  <c r="L83" i="36"/>
  <c r="K83" i="36"/>
  <c r="Q82" i="36"/>
  <c r="P82" i="36"/>
  <c r="O82" i="36"/>
  <c r="M82" i="36"/>
  <c r="L82" i="36"/>
  <c r="K82" i="36"/>
  <c r="Q81" i="36"/>
  <c r="P81" i="36"/>
  <c r="O81" i="36"/>
  <c r="M81" i="36"/>
  <c r="L81" i="36"/>
  <c r="K81" i="36"/>
  <c r="Q80" i="36"/>
  <c r="P80" i="36"/>
  <c r="O80" i="36"/>
  <c r="M80" i="36"/>
  <c r="L80" i="36"/>
  <c r="K80" i="36"/>
  <c r="Q79" i="36"/>
  <c r="P79" i="36"/>
  <c r="O79" i="36"/>
  <c r="M79" i="36"/>
  <c r="L79" i="36"/>
  <c r="K79" i="36"/>
  <c r="Q78" i="36"/>
  <c r="P78" i="36"/>
  <c r="O78" i="36"/>
  <c r="M78" i="36"/>
  <c r="L78" i="36"/>
  <c r="K78" i="36"/>
  <c r="Q76" i="36"/>
  <c r="P76" i="36"/>
  <c r="O76" i="36"/>
  <c r="M76" i="36"/>
  <c r="L76" i="36"/>
  <c r="K76" i="36"/>
  <c r="Q75" i="36"/>
  <c r="P75" i="36"/>
  <c r="O75" i="36"/>
  <c r="M75" i="36"/>
  <c r="L75" i="36"/>
  <c r="K75" i="36"/>
  <c r="Q74" i="36"/>
  <c r="P74" i="36"/>
  <c r="O74" i="36"/>
  <c r="M74" i="36"/>
  <c r="L74" i="36"/>
  <c r="K74" i="36"/>
  <c r="Q73" i="36"/>
  <c r="P73" i="36"/>
  <c r="O73" i="36"/>
  <c r="M73" i="36"/>
  <c r="L73" i="36"/>
  <c r="K73" i="36"/>
  <c r="Q72" i="36"/>
  <c r="P72" i="36"/>
  <c r="O72" i="36"/>
  <c r="M72" i="36"/>
  <c r="L72" i="36"/>
  <c r="K72" i="36"/>
  <c r="Q71" i="36"/>
  <c r="P71" i="36"/>
  <c r="O71" i="36"/>
  <c r="M71" i="36"/>
  <c r="L71" i="36"/>
  <c r="K71" i="36"/>
  <c r="Q70" i="36"/>
  <c r="P70" i="36"/>
  <c r="O70" i="36"/>
  <c r="M70" i="36"/>
  <c r="L70" i="36"/>
  <c r="K70" i="36"/>
  <c r="Q68" i="36"/>
  <c r="P68" i="36"/>
  <c r="O68" i="36"/>
  <c r="M68" i="36"/>
  <c r="L68" i="36"/>
  <c r="K68" i="36"/>
  <c r="Q67" i="36"/>
  <c r="P67" i="36"/>
  <c r="O67" i="36"/>
  <c r="M67" i="36"/>
  <c r="L67" i="36"/>
  <c r="K67" i="36"/>
  <c r="Q66" i="36"/>
  <c r="P66" i="36"/>
  <c r="O66" i="36"/>
  <c r="M66" i="36"/>
  <c r="L66" i="36"/>
  <c r="K66" i="36"/>
  <c r="Q65" i="36"/>
  <c r="P65" i="36"/>
  <c r="O65" i="36"/>
  <c r="M65" i="36"/>
  <c r="L65" i="36"/>
  <c r="K65" i="36"/>
  <c r="Q63" i="36"/>
  <c r="P63" i="36"/>
  <c r="O63" i="36"/>
  <c r="M63" i="36"/>
  <c r="L63" i="36"/>
  <c r="K63" i="36"/>
  <c r="Q62" i="36"/>
  <c r="P62" i="36"/>
  <c r="O62" i="36"/>
  <c r="M62" i="36"/>
  <c r="L62" i="36"/>
  <c r="K62" i="36"/>
  <c r="Q61" i="36"/>
  <c r="P61" i="36"/>
  <c r="O61" i="36"/>
  <c r="M61" i="36"/>
  <c r="L61" i="36"/>
  <c r="K61" i="36"/>
  <c r="Q60" i="36"/>
  <c r="P60" i="36"/>
  <c r="O60" i="36"/>
  <c r="M60" i="36"/>
  <c r="L60" i="36"/>
  <c r="K60" i="36"/>
  <c r="Q58" i="36"/>
  <c r="P58" i="36"/>
  <c r="O58" i="36"/>
  <c r="M58" i="36"/>
  <c r="L58" i="36"/>
  <c r="K58" i="36"/>
  <c r="Q57" i="36"/>
  <c r="P57" i="36"/>
  <c r="O57" i="36"/>
  <c r="M57" i="36"/>
  <c r="L57" i="36"/>
  <c r="K57" i="36"/>
  <c r="Q56" i="36"/>
  <c r="P56" i="36"/>
  <c r="O56" i="36"/>
  <c r="M56" i="36"/>
  <c r="L56" i="36"/>
  <c r="K56" i="36"/>
  <c r="Q55" i="36"/>
  <c r="P55" i="36"/>
  <c r="O55" i="36"/>
  <c r="M55" i="36"/>
  <c r="L55" i="36"/>
  <c r="K55" i="36"/>
  <c r="Q53" i="36"/>
  <c r="P53" i="36"/>
  <c r="O53" i="36"/>
  <c r="M53" i="36"/>
  <c r="L53" i="36"/>
  <c r="K53" i="36"/>
  <c r="Q52" i="36"/>
  <c r="P52" i="36"/>
  <c r="O52" i="36"/>
  <c r="M52" i="36"/>
  <c r="L52" i="36"/>
  <c r="K52" i="36"/>
  <c r="Q51" i="36"/>
  <c r="P51" i="36"/>
  <c r="O51" i="36"/>
  <c r="M51" i="36"/>
  <c r="L51" i="36"/>
  <c r="K51" i="36"/>
  <c r="Q50" i="36"/>
  <c r="P50" i="36"/>
  <c r="M50" i="36"/>
  <c r="L50" i="36"/>
  <c r="Q49" i="36"/>
  <c r="P49" i="36"/>
  <c r="O49" i="36"/>
  <c r="M49" i="36"/>
  <c r="J49" i="36"/>
  <c r="L49" i="36" s="1"/>
  <c r="Q48" i="36"/>
  <c r="P48" i="36"/>
  <c r="O48" i="36"/>
  <c r="M48" i="36"/>
  <c r="L48" i="36"/>
  <c r="K48" i="36"/>
  <c r="Q47" i="36"/>
  <c r="P47" i="36"/>
  <c r="O47" i="36"/>
  <c r="M47" i="36"/>
  <c r="L47" i="36"/>
  <c r="K47" i="36"/>
  <c r="Q43" i="36"/>
  <c r="P43" i="36"/>
  <c r="O43" i="36"/>
  <c r="M43" i="36"/>
  <c r="L43" i="36"/>
  <c r="J43" i="36"/>
  <c r="K43" i="36" s="1"/>
  <c r="Q41" i="36"/>
  <c r="P41" i="36"/>
  <c r="O41" i="36"/>
  <c r="M41" i="36"/>
  <c r="L41" i="36"/>
  <c r="K41" i="36"/>
  <c r="Q40" i="36"/>
  <c r="P40" i="36"/>
  <c r="O40" i="36"/>
  <c r="M40" i="36"/>
  <c r="L40" i="36"/>
  <c r="K40" i="36"/>
  <c r="Q39" i="36"/>
  <c r="P39" i="36"/>
  <c r="O39" i="36"/>
  <c r="M39" i="36"/>
  <c r="L39" i="36"/>
  <c r="K39" i="36"/>
  <c r="Q37" i="36"/>
  <c r="P37" i="36"/>
  <c r="O37" i="36"/>
  <c r="M37" i="36"/>
  <c r="L37" i="36"/>
  <c r="K37" i="36"/>
  <c r="Q36" i="36"/>
  <c r="P36" i="36"/>
  <c r="O36" i="36"/>
  <c r="M36" i="36"/>
  <c r="L36" i="36"/>
  <c r="K36" i="36"/>
  <c r="Q35" i="36"/>
  <c r="P35" i="36"/>
  <c r="O35" i="36"/>
  <c r="M35" i="36"/>
  <c r="L35" i="36"/>
  <c r="K35" i="36"/>
  <c r="Q34" i="36"/>
  <c r="P34" i="36"/>
  <c r="O34" i="36"/>
  <c r="M34" i="36"/>
  <c r="L34" i="36"/>
  <c r="K34" i="36"/>
  <c r="Q33" i="36"/>
  <c r="P33" i="36"/>
  <c r="O33" i="36"/>
  <c r="M33" i="36"/>
  <c r="L33" i="36"/>
  <c r="K33" i="36"/>
  <c r="Q32" i="36"/>
  <c r="P32" i="36"/>
  <c r="O32" i="36"/>
  <c r="M32" i="36"/>
  <c r="L32" i="36"/>
  <c r="K32" i="36"/>
  <c r="Q31" i="36"/>
  <c r="P31" i="36"/>
  <c r="O31" i="36"/>
  <c r="M31" i="36"/>
  <c r="L31" i="36"/>
  <c r="K31" i="36"/>
  <c r="Q30" i="36"/>
  <c r="P30" i="36"/>
  <c r="O30" i="36"/>
  <c r="M30" i="36"/>
  <c r="L30" i="36"/>
  <c r="K30" i="36"/>
  <c r="Q29" i="36"/>
  <c r="P29" i="36"/>
  <c r="O29" i="36"/>
  <c r="M29" i="36"/>
  <c r="L29" i="36"/>
  <c r="K29" i="36"/>
  <c r="Q28" i="36"/>
  <c r="P28" i="36"/>
  <c r="O28" i="36"/>
  <c r="M28" i="36"/>
  <c r="L28" i="36"/>
  <c r="K28" i="36"/>
  <c r="Q27" i="36"/>
  <c r="P27" i="36"/>
  <c r="O27" i="36"/>
  <c r="M27" i="36"/>
  <c r="L27" i="36"/>
  <c r="K27" i="36"/>
  <c r="N24" i="36"/>
  <c r="O24" i="36" s="1"/>
  <c r="J24" i="36"/>
  <c r="H24" i="36"/>
  <c r="G24" i="36"/>
  <c r="N23" i="36"/>
  <c r="Q23" i="36" s="1"/>
  <c r="J23" i="36"/>
  <c r="H23" i="36"/>
  <c r="G23" i="36"/>
  <c r="N22" i="36"/>
  <c r="O22" i="36" s="1"/>
  <c r="J22" i="36"/>
  <c r="H22" i="36"/>
  <c r="G22" i="36"/>
  <c r="N21" i="36"/>
  <c r="Q21" i="36" s="1"/>
  <c r="J21" i="36"/>
  <c r="H21" i="36"/>
  <c r="G21" i="36"/>
  <c r="N20" i="36"/>
  <c r="O20" i="36" s="1"/>
  <c r="J20" i="36"/>
  <c r="H20" i="36"/>
  <c r="G20" i="36"/>
  <c r="N19" i="36"/>
  <c r="Q19" i="36" s="1"/>
  <c r="J19" i="36"/>
  <c r="H19" i="36"/>
  <c r="G19" i="36"/>
  <c r="N18" i="36"/>
  <c r="O18" i="36" s="1"/>
  <c r="J18" i="36"/>
  <c r="H18" i="36"/>
  <c r="G18" i="36"/>
  <c r="M18" i="36" s="1"/>
  <c r="N17" i="36"/>
  <c r="Q17" i="36" s="1"/>
  <c r="J17" i="36"/>
  <c r="H17" i="36"/>
  <c r="G17" i="36"/>
  <c r="N16" i="36"/>
  <c r="O16" i="36" s="1"/>
  <c r="J16" i="36"/>
  <c r="H16" i="36"/>
  <c r="G16" i="36"/>
  <c r="M16" i="36" s="1"/>
  <c r="N15" i="36"/>
  <c r="Q15" i="36" s="1"/>
  <c r="J15" i="36"/>
  <c r="H15" i="36"/>
  <c r="G15" i="36"/>
  <c r="N14" i="36"/>
  <c r="O14" i="36" s="1"/>
  <c r="J14" i="36"/>
  <c r="H14" i="36"/>
  <c r="G14" i="36"/>
  <c r="N13" i="36"/>
  <c r="Q13" i="36" s="1"/>
  <c r="J13" i="36"/>
  <c r="H13" i="36"/>
  <c r="G13" i="36"/>
  <c r="N12" i="36"/>
  <c r="O12" i="36" s="1"/>
  <c r="J12" i="36"/>
  <c r="H12" i="36"/>
  <c r="G12" i="36"/>
  <c r="M12" i="36" s="1"/>
  <c r="N11" i="36"/>
  <c r="Q11" i="36" s="1"/>
  <c r="J11" i="36"/>
  <c r="H11" i="36"/>
  <c r="G11" i="36"/>
  <c r="N10" i="36"/>
  <c r="O10" i="36" s="1"/>
  <c r="J10" i="36"/>
  <c r="H10" i="36"/>
  <c r="G10" i="36"/>
  <c r="N9" i="36"/>
  <c r="Q9" i="36" s="1"/>
  <c r="J9" i="36"/>
  <c r="H9" i="36"/>
  <c r="G9" i="36"/>
  <c r="Q24" i="36" l="1"/>
  <c r="Q20" i="36"/>
  <c r="P22" i="36"/>
  <c r="K16" i="36"/>
  <c r="M17" i="36"/>
  <c r="K18" i="36"/>
  <c r="M19" i="36"/>
  <c r="K20" i="36"/>
  <c r="M21" i="36"/>
  <c r="K22" i="36"/>
  <c r="M23" i="36"/>
  <c r="K24" i="36"/>
  <c r="Q10" i="36"/>
  <c r="Q14" i="36"/>
  <c r="M9" i="36"/>
  <c r="K10" i="36"/>
  <c r="M11" i="36"/>
  <c r="K12" i="36"/>
  <c r="M13" i="36"/>
  <c r="K14" i="36"/>
  <c r="M15" i="36"/>
  <c r="L10" i="36"/>
  <c r="P10" i="36"/>
  <c r="L12" i="36"/>
  <c r="P16" i="36"/>
  <c r="P18" i="36"/>
  <c r="P20" i="36"/>
  <c r="L22" i="36"/>
  <c r="P24" i="36"/>
  <c r="K9" i="36"/>
  <c r="O9" i="36"/>
  <c r="M10" i="36"/>
  <c r="Q12" i="36"/>
  <c r="O13" i="36"/>
  <c r="M14" i="36"/>
  <c r="Q16" i="36"/>
  <c r="K17" i="36"/>
  <c r="O17" i="36"/>
  <c r="Q18" i="36"/>
  <c r="O19" i="36"/>
  <c r="M22" i="36"/>
  <c r="Q22" i="36"/>
  <c r="K23" i="36"/>
  <c r="O23" i="36"/>
  <c r="M24" i="36"/>
  <c r="L15" i="36"/>
  <c r="P15" i="36"/>
  <c r="P17" i="36"/>
  <c r="L19" i="36"/>
  <c r="P23" i="36"/>
  <c r="P12" i="36"/>
  <c r="L14" i="36"/>
  <c r="P14" i="36"/>
  <c r="L16" i="36"/>
  <c r="L18" i="36"/>
  <c r="L20" i="36"/>
  <c r="L24" i="36"/>
  <c r="K11" i="36"/>
  <c r="O11" i="36"/>
  <c r="K13" i="36"/>
  <c r="K15" i="36"/>
  <c r="O15" i="36"/>
  <c r="K19" i="36"/>
  <c r="M20" i="36"/>
  <c r="K21" i="36"/>
  <c r="O21" i="36"/>
  <c r="L9" i="36"/>
  <c r="P9" i="36"/>
  <c r="L11" i="36"/>
  <c r="P11" i="36"/>
  <c r="L13" i="36"/>
  <c r="P13" i="36"/>
  <c r="L17" i="36"/>
  <c r="P19" i="36"/>
  <c r="L21" i="36"/>
  <c r="P21" i="36"/>
  <c r="L23" i="36"/>
  <c r="K49" i="36"/>
  <c r="Q155" i="35"/>
  <c r="P155" i="35"/>
  <c r="O155" i="35"/>
  <c r="M155" i="35"/>
  <c r="L155" i="35"/>
  <c r="K155" i="35"/>
  <c r="Q154" i="35"/>
  <c r="P154" i="35"/>
  <c r="O154" i="35"/>
  <c r="M154" i="35"/>
  <c r="L154" i="35"/>
  <c r="K154" i="35"/>
  <c r="Q153" i="35"/>
  <c r="P153" i="35"/>
  <c r="O153" i="35"/>
  <c r="M153" i="35"/>
  <c r="L153" i="35"/>
  <c r="K153" i="35"/>
  <c r="Q152" i="35"/>
  <c r="P152" i="35"/>
  <c r="O152" i="35"/>
  <c r="M152" i="35"/>
  <c r="L152" i="35"/>
  <c r="K152" i="35"/>
  <c r="Q151" i="35"/>
  <c r="P151" i="35"/>
  <c r="O151" i="35"/>
  <c r="M151" i="35"/>
  <c r="L151" i="35"/>
  <c r="K151" i="35"/>
  <c r="Q150" i="35"/>
  <c r="P150" i="35"/>
  <c r="O150" i="35"/>
  <c r="M150" i="35"/>
  <c r="L150" i="35"/>
  <c r="K150" i="35"/>
  <c r="Q149" i="35"/>
  <c r="P149" i="35"/>
  <c r="O149" i="35"/>
  <c r="M149" i="35"/>
  <c r="L149" i="35"/>
  <c r="K149" i="35"/>
  <c r="Q148" i="35"/>
  <c r="P148" i="35"/>
  <c r="O148" i="35"/>
  <c r="M148" i="35"/>
  <c r="L148" i="35"/>
  <c r="K148" i="35"/>
  <c r="Q147" i="35"/>
  <c r="P147" i="35"/>
  <c r="O147" i="35"/>
  <c r="M147" i="35"/>
  <c r="L147" i="35"/>
  <c r="K147" i="35"/>
  <c r="Q146" i="35"/>
  <c r="P146" i="35"/>
  <c r="O146" i="35"/>
  <c r="M146" i="35"/>
  <c r="L146" i="35"/>
  <c r="K146" i="35"/>
  <c r="Q145" i="35"/>
  <c r="P145" i="35"/>
  <c r="O145" i="35"/>
  <c r="M145" i="35"/>
  <c r="L145" i="35"/>
  <c r="K145" i="35"/>
  <c r="Q144" i="35"/>
  <c r="P144" i="35"/>
  <c r="O144" i="35"/>
  <c r="M144" i="35"/>
  <c r="L144" i="35"/>
  <c r="K144" i="35"/>
  <c r="Q143" i="35"/>
  <c r="P143" i="35"/>
  <c r="O143" i="35"/>
  <c r="M143" i="35"/>
  <c r="L143" i="35"/>
  <c r="K143" i="35"/>
  <c r="Q142" i="35"/>
  <c r="P142" i="35"/>
  <c r="O142" i="35"/>
  <c r="M142" i="35"/>
  <c r="L142" i="35"/>
  <c r="K142" i="35"/>
  <c r="Q141" i="35"/>
  <c r="P141" i="35"/>
  <c r="O141" i="35"/>
  <c r="M141" i="35"/>
  <c r="L141" i="35"/>
  <c r="K141" i="35"/>
  <c r="Q140" i="35"/>
  <c r="P140" i="35"/>
  <c r="O140" i="35"/>
  <c r="M140" i="35"/>
  <c r="L140" i="35"/>
  <c r="K140" i="35"/>
  <c r="Q139" i="35"/>
  <c r="P139" i="35"/>
  <c r="O139" i="35"/>
  <c r="M139" i="35"/>
  <c r="L139" i="35"/>
  <c r="K139" i="35"/>
  <c r="Q138" i="35"/>
  <c r="P138" i="35"/>
  <c r="O138" i="35"/>
  <c r="M138" i="35"/>
  <c r="L138" i="35"/>
  <c r="K138" i="35"/>
  <c r="Q137" i="35"/>
  <c r="P137" i="35"/>
  <c r="O137" i="35"/>
  <c r="M137" i="35"/>
  <c r="L137" i="35"/>
  <c r="K137" i="35"/>
  <c r="Q135" i="35"/>
  <c r="P135" i="35"/>
  <c r="O135" i="35"/>
  <c r="M135" i="35"/>
  <c r="L135" i="35"/>
  <c r="K135" i="35"/>
  <c r="Q134" i="35"/>
  <c r="P134" i="35"/>
  <c r="O134" i="35"/>
  <c r="M134" i="35"/>
  <c r="L134" i="35"/>
  <c r="K134" i="35"/>
  <c r="Q133" i="35"/>
  <c r="P133" i="35"/>
  <c r="O133" i="35"/>
  <c r="M133" i="35"/>
  <c r="L133" i="35"/>
  <c r="K133" i="35"/>
  <c r="Q131" i="35"/>
  <c r="P131" i="35"/>
  <c r="O131" i="35"/>
  <c r="M131" i="35"/>
  <c r="L131" i="35"/>
  <c r="K131" i="35"/>
  <c r="Q130" i="35"/>
  <c r="P130" i="35"/>
  <c r="O130" i="35"/>
  <c r="M130" i="35"/>
  <c r="L130" i="35"/>
  <c r="K130" i="35"/>
  <c r="Q129" i="35"/>
  <c r="P129" i="35"/>
  <c r="O129" i="35"/>
  <c r="M129" i="35"/>
  <c r="L129" i="35"/>
  <c r="K129" i="35"/>
  <c r="Q128" i="35"/>
  <c r="P128" i="35"/>
  <c r="O128" i="35"/>
  <c r="M128" i="35"/>
  <c r="L128" i="35"/>
  <c r="K128" i="35"/>
  <c r="Q127" i="35"/>
  <c r="P127" i="35"/>
  <c r="O127" i="35"/>
  <c r="M127" i="35"/>
  <c r="L127" i="35"/>
  <c r="K127" i="35"/>
  <c r="Q126" i="35"/>
  <c r="P126" i="35"/>
  <c r="O126" i="35"/>
  <c r="M126" i="35"/>
  <c r="L126" i="35"/>
  <c r="K126" i="35"/>
  <c r="Q125" i="35"/>
  <c r="P125" i="35"/>
  <c r="O125" i="35"/>
  <c r="M125" i="35"/>
  <c r="L125" i="35"/>
  <c r="K125" i="35"/>
  <c r="Q124" i="35"/>
  <c r="P124" i="35"/>
  <c r="O124" i="35"/>
  <c r="M124" i="35"/>
  <c r="L124" i="35"/>
  <c r="K124" i="35"/>
  <c r="Q123" i="35"/>
  <c r="P123" i="35"/>
  <c r="O123" i="35"/>
  <c r="M123" i="35"/>
  <c r="L123" i="35"/>
  <c r="K123" i="35"/>
  <c r="Q122" i="35"/>
  <c r="P122" i="35"/>
  <c r="O122" i="35"/>
  <c r="M122" i="35"/>
  <c r="L122" i="35"/>
  <c r="K122" i="35"/>
  <c r="Q121" i="35"/>
  <c r="P121" i="35"/>
  <c r="O121" i="35"/>
  <c r="M121" i="35"/>
  <c r="L121" i="35"/>
  <c r="K121" i="35"/>
  <c r="Q120" i="35"/>
  <c r="P120" i="35"/>
  <c r="O120" i="35"/>
  <c r="M120" i="35"/>
  <c r="L120" i="35"/>
  <c r="K120" i="35"/>
  <c r="Q119" i="35"/>
  <c r="P119" i="35"/>
  <c r="O119" i="35"/>
  <c r="M119" i="35"/>
  <c r="L119" i="35"/>
  <c r="K119" i="35"/>
  <c r="Q118" i="35"/>
  <c r="P118" i="35"/>
  <c r="O118" i="35"/>
  <c r="M118" i="35"/>
  <c r="L118" i="35"/>
  <c r="K118" i="35"/>
  <c r="Q117" i="35"/>
  <c r="P117" i="35"/>
  <c r="O117" i="35"/>
  <c r="M117" i="35"/>
  <c r="L117" i="35"/>
  <c r="K117" i="35"/>
  <c r="Q116" i="35"/>
  <c r="P116" i="35"/>
  <c r="O116" i="35"/>
  <c r="M116" i="35"/>
  <c r="L116" i="35"/>
  <c r="K116" i="35"/>
  <c r="Q115" i="35"/>
  <c r="P115" i="35"/>
  <c r="O115" i="35"/>
  <c r="M115" i="35"/>
  <c r="L115" i="35"/>
  <c r="K115" i="35"/>
  <c r="Q113" i="35"/>
  <c r="P113" i="35"/>
  <c r="O113" i="35"/>
  <c r="M113" i="35"/>
  <c r="L113" i="35"/>
  <c r="K113" i="35"/>
  <c r="Q112" i="35"/>
  <c r="P112" i="35"/>
  <c r="O112" i="35"/>
  <c r="M112" i="35"/>
  <c r="L112" i="35"/>
  <c r="K112" i="35"/>
  <c r="Q111" i="35"/>
  <c r="P111" i="35"/>
  <c r="O111" i="35"/>
  <c r="M111" i="35"/>
  <c r="L111" i="35"/>
  <c r="K111" i="35"/>
  <c r="Q110" i="35"/>
  <c r="P110" i="35"/>
  <c r="O110" i="35"/>
  <c r="M110" i="35"/>
  <c r="L110" i="35"/>
  <c r="K110" i="35"/>
  <c r="Q108" i="35"/>
  <c r="P108" i="35"/>
  <c r="O108" i="35"/>
  <c r="M108" i="35"/>
  <c r="L108" i="35"/>
  <c r="K108" i="35"/>
  <c r="Q107" i="35"/>
  <c r="P107" i="35"/>
  <c r="O107" i="35"/>
  <c r="M107" i="35"/>
  <c r="L107" i="35"/>
  <c r="K107" i="35"/>
  <c r="Q105" i="35"/>
  <c r="P105" i="35"/>
  <c r="O105" i="35"/>
  <c r="M105" i="35"/>
  <c r="L105" i="35"/>
  <c r="K105" i="35"/>
  <c r="Q104" i="35"/>
  <c r="P104" i="35"/>
  <c r="O104" i="35"/>
  <c r="M104" i="35"/>
  <c r="L104" i="35"/>
  <c r="K104" i="35"/>
  <c r="Q103" i="35"/>
  <c r="P103" i="35"/>
  <c r="O103" i="35"/>
  <c r="M103" i="35"/>
  <c r="L103" i="35"/>
  <c r="K103" i="35"/>
  <c r="Q102" i="35"/>
  <c r="P102" i="35"/>
  <c r="O102" i="35"/>
  <c r="M102" i="35"/>
  <c r="L102" i="35"/>
  <c r="K102" i="35"/>
  <c r="Q101" i="35"/>
  <c r="P101" i="35"/>
  <c r="O101" i="35"/>
  <c r="M101" i="35"/>
  <c r="L101" i="35"/>
  <c r="K101" i="35"/>
  <c r="Q100" i="35"/>
  <c r="P100" i="35"/>
  <c r="O100" i="35"/>
  <c r="M100" i="35"/>
  <c r="L100" i="35"/>
  <c r="K100" i="35"/>
  <c r="Q99" i="35"/>
  <c r="P99" i="35"/>
  <c r="O99" i="35"/>
  <c r="M99" i="35"/>
  <c r="L99" i="35"/>
  <c r="K99" i="35"/>
  <c r="Q98" i="35"/>
  <c r="P98" i="35"/>
  <c r="O98" i="35"/>
  <c r="M98" i="35"/>
  <c r="L98" i="35"/>
  <c r="K98" i="35"/>
  <c r="Q96" i="35"/>
  <c r="P96" i="35"/>
  <c r="O96" i="35"/>
  <c r="M96" i="35"/>
  <c r="L96" i="35"/>
  <c r="K96" i="35"/>
  <c r="Q95" i="35"/>
  <c r="P95" i="35"/>
  <c r="O95" i="35"/>
  <c r="M95" i="35"/>
  <c r="L95" i="35"/>
  <c r="K95" i="35"/>
  <c r="Q94" i="35"/>
  <c r="P94" i="35"/>
  <c r="O94" i="35"/>
  <c r="M94" i="35"/>
  <c r="L94" i="35"/>
  <c r="K94" i="35"/>
  <c r="Q93" i="35"/>
  <c r="P93" i="35"/>
  <c r="O93" i="35"/>
  <c r="M93" i="35"/>
  <c r="L93" i="35"/>
  <c r="K93" i="35"/>
  <c r="Q92" i="35"/>
  <c r="P92" i="35"/>
  <c r="O92" i="35"/>
  <c r="M92" i="35"/>
  <c r="L92" i="35"/>
  <c r="K92" i="35"/>
  <c r="Q91" i="35"/>
  <c r="P91" i="35"/>
  <c r="O91" i="35"/>
  <c r="M91" i="35"/>
  <c r="L91" i="35"/>
  <c r="K91" i="35"/>
  <c r="Q90" i="35"/>
  <c r="P90" i="35"/>
  <c r="O90" i="35"/>
  <c r="M90" i="35"/>
  <c r="L90" i="35"/>
  <c r="K90" i="35"/>
  <c r="Q89" i="35"/>
  <c r="P89" i="35"/>
  <c r="O89" i="35"/>
  <c r="M89" i="35"/>
  <c r="L89" i="35"/>
  <c r="K89" i="35"/>
  <c r="Q88" i="35"/>
  <c r="P88" i="35"/>
  <c r="O88" i="35"/>
  <c r="M88" i="35"/>
  <c r="L88" i="35"/>
  <c r="K88" i="35"/>
  <c r="Q86" i="35"/>
  <c r="P86" i="35"/>
  <c r="O86" i="35"/>
  <c r="M86" i="35"/>
  <c r="L86" i="35"/>
  <c r="K86" i="35"/>
  <c r="Q84" i="35"/>
  <c r="P84" i="35"/>
  <c r="O84" i="35"/>
  <c r="M84" i="35"/>
  <c r="L84" i="35"/>
  <c r="K84" i="35"/>
  <c r="Q83" i="35"/>
  <c r="P83" i="35"/>
  <c r="O83" i="35"/>
  <c r="M83" i="35"/>
  <c r="L83" i="35"/>
  <c r="K83" i="35"/>
  <c r="Q82" i="35"/>
  <c r="P82" i="35"/>
  <c r="O82" i="35"/>
  <c r="M82" i="35"/>
  <c r="L82" i="35"/>
  <c r="K82" i="35"/>
  <c r="Q81" i="35"/>
  <c r="P81" i="35"/>
  <c r="O81" i="35"/>
  <c r="M81" i="35"/>
  <c r="L81" i="35"/>
  <c r="K81" i="35"/>
  <c r="Q80" i="35"/>
  <c r="P80" i="35"/>
  <c r="O80" i="35"/>
  <c r="M80" i="35"/>
  <c r="L80" i="35"/>
  <c r="K80" i="35"/>
  <c r="Q79" i="35"/>
  <c r="P79" i="35"/>
  <c r="O79" i="35"/>
  <c r="M79" i="35"/>
  <c r="L79" i="35"/>
  <c r="K79" i="35"/>
  <c r="Q78" i="35"/>
  <c r="P78" i="35"/>
  <c r="O78" i="35"/>
  <c r="M78" i="35"/>
  <c r="L78" i="35"/>
  <c r="K78" i="35"/>
  <c r="Q76" i="35"/>
  <c r="P76" i="35"/>
  <c r="O76" i="35"/>
  <c r="M76" i="35"/>
  <c r="L76" i="35"/>
  <c r="K76" i="35"/>
  <c r="Q75" i="35"/>
  <c r="P75" i="35"/>
  <c r="O75" i="35"/>
  <c r="M75" i="35"/>
  <c r="L75" i="35"/>
  <c r="K75" i="35"/>
  <c r="Q74" i="35"/>
  <c r="P74" i="35"/>
  <c r="O74" i="35"/>
  <c r="M74" i="35"/>
  <c r="L74" i="35"/>
  <c r="K74" i="35"/>
  <c r="Q73" i="35"/>
  <c r="P73" i="35"/>
  <c r="O73" i="35"/>
  <c r="M73" i="35"/>
  <c r="L73" i="35"/>
  <c r="K73" i="35"/>
  <c r="Q72" i="35"/>
  <c r="P72" i="35"/>
  <c r="O72" i="35"/>
  <c r="M72" i="35"/>
  <c r="L72" i="35"/>
  <c r="K72" i="35"/>
  <c r="Q71" i="35"/>
  <c r="P71" i="35"/>
  <c r="O71" i="35"/>
  <c r="M71" i="35"/>
  <c r="L71" i="35"/>
  <c r="K71" i="35"/>
  <c r="Q70" i="35"/>
  <c r="P70" i="35"/>
  <c r="O70" i="35"/>
  <c r="M70" i="35"/>
  <c r="L70" i="35"/>
  <c r="K70" i="35"/>
  <c r="Q68" i="35"/>
  <c r="P68" i="35"/>
  <c r="O68" i="35"/>
  <c r="M68" i="35"/>
  <c r="L68" i="35"/>
  <c r="K68" i="35"/>
  <c r="Q67" i="35"/>
  <c r="P67" i="35"/>
  <c r="O67" i="35"/>
  <c r="M67" i="35"/>
  <c r="L67" i="35"/>
  <c r="K67" i="35"/>
  <c r="Q66" i="35"/>
  <c r="P66" i="35"/>
  <c r="O66" i="35"/>
  <c r="M66" i="35"/>
  <c r="L66" i="35"/>
  <c r="K66" i="35"/>
  <c r="Q65" i="35"/>
  <c r="P65" i="35"/>
  <c r="O65" i="35"/>
  <c r="M65" i="35"/>
  <c r="L65" i="35"/>
  <c r="K65" i="35"/>
  <c r="Q63" i="35"/>
  <c r="P63" i="35"/>
  <c r="O63" i="35"/>
  <c r="M63" i="35"/>
  <c r="L63" i="35"/>
  <c r="K63" i="35"/>
  <c r="Q62" i="35"/>
  <c r="P62" i="35"/>
  <c r="O62" i="35"/>
  <c r="M62" i="35"/>
  <c r="L62" i="35"/>
  <c r="K62" i="35"/>
  <c r="Q61" i="35"/>
  <c r="P61" i="35"/>
  <c r="O61" i="35"/>
  <c r="M61" i="35"/>
  <c r="L61" i="35"/>
  <c r="K61" i="35"/>
  <c r="Q60" i="35"/>
  <c r="P60" i="35"/>
  <c r="O60" i="35"/>
  <c r="M60" i="35"/>
  <c r="L60" i="35"/>
  <c r="K60" i="35"/>
  <c r="Q58" i="35"/>
  <c r="P58" i="35"/>
  <c r="O58" i="35"/>
  <c r="M58" i="35"/>
  <c r="L58" i="35"/>
  <c r="K58" i="35"/>
  <c r="Q57" i="35"/>
  <c r="P57" i="35"/>
  <c r="O57" i="35"/>
  <c r="M57" i="35"/>
  <c r="L57" i="35"/>
  <c r="K57" i="35"/>
  <c r="Q56" i="35"/>
  <c r="P56" i="35"/>
  <c r="O56" i="35"/>
  <c r="M56" i="35"/>
  <c r="L56" i="35"/>
  <c r="K56" i="35"/>
  <c r="Q55" i="35"/>
  <c r="P55" i="35"/>
  <c r="O55" i="35"/>
  <c r="M55" i="35"/>
  <c r="L55" i="35"/>
  <c r="K55" i="35"/>
  <c r="Q53" i="35"/>
  <c r="P53" i="35"/>
  <c r="O53" i="35"/>
  <c r="M53" i="35"/>
  <c r="L53" i="35"/>
  <c r="K53" i="35"/>
  <c r="Q52" i="35"/>
  <c r="P52" i="35"/>
  <c r="O52" i="35"/>
  <c r="M52" i="35"/>
  <c r="L52" i="35"/>
  <c r="K52" i="35"/>
  <c r="Q51" i="35"/>
  <c r="P51" i="35"/>
  <c r="O51" i="35"/>
  <c r="M51" i="35"/>
  <c r="L51" i="35"/>
  <c r="K51" i="35"/>
  <c r="Q50" i="35"/>
  <c r="P50" i="35"/>
  <c r="M50" i="35"/>
  <c r="L50" i="35"/>
  <c r="Q49" i="35"/>
  <c r="P49" i="35"/>
  <c r="O49" i="35"/>
  <c r="M49" i="35"/>
  <c r="J49" i="35"/>
  <c r="L49" i="35" s="1"/>
  <c r="Q48" i="35"/>
  <c r="P48" i="35"/>
  <c r="O48" i="35"/>
  <c r="M48" i="35"/>
  <c r="L48" i="35"/>
  <c r="K48" i="35"/>
  <c r="Q47" i="35"/>
  <c r="P47" i="35"/>
  <c r="O47" i="35"/>
  <c r="M47" i="35"/>
  <c r="L47" i="35"/>
  <c r="K47" i="35"/>
  <c r="Q43" i="35"/>
  <c r="P43" i="35"/>
  <c r="O43" i="35"/>
  <c r="M43" i="35"/>
  <c r="L43" i="35"/>
  <c r="J43" i="35"/>
  <c r="K43" i="35" s="1"/>
  <c r="Q41" i="35"/>
  <c r="P41" i="35"/>
  <c r="O41" i="35"/>
  <c r="M41" i="35"/>
  <c r="L41" i="35"/>
  <c r="K41" i="35"/>
  <c r="Q40" i="35"/>
  <c r="P40" i="35"/>
  <c r="O40" i="35"/>
  <c r="M40" i="35"/>
  <c r="L40" i="35"/>
  <c r="K40" i="35"/>
  <c r="Q39" i="35"/>
  <c r="P39" i="35"/>
  <c r="O39" i="35"/>
  <c r="M39" i="35"/>
  <c r="L39" i="35"/>
  <c r="K39" i="35"/>
  <c r="Q37" i="35"/>
  <c r="P37" i="35"/>
  <c r="O37" i="35"/>
  <c r="M37" i="35"/>
  <c r="L37" i="35"/>
  <c r="K37" i="35"/>
  <c r="Q36" i="35"/>
  <c r="P36" i="35"/>
  <c r="O36" i="35"/>
  <c r="M36" i="35"/>
  <c r="L36" i="35"/>
  <c r="K36" i="35"/>
  <c r="Q35" i="35"/>
  <c r="P35" i="35"/>
  <c r="O35" i="35"/>
  <c r="M35" i="35"/>
  <c r="L35" i="35"/>
  <c r="K35" i="35"/>
  <c r="Q34" i="35"/>
  <c r="P34" i="35"/>
  <c r="O34" i="35"/>
  <c r="M34" i="35"/>
  <c r="L34" i="35"/>
  <c r="K34" i="35"/>
  <c r="Q33" i="35"/>
  <c r="P33" i="35"/>
  <c r="O33" i="35"/>
  <c r="M33" i="35"/>
  <c r="L33" i="35"/>
  <c r="K33" i="35"/>
  <c r="Q32" i="35"/>
  <c r="P32" i="35"/>
  <c r="O32" i="35"/>
  <c r="M32" i="35"/>
  <c r="L32" i="35"/>
  <c r="K32" i="35"/>
  <c r="Q31" i="35"/>
  <c r="P31" i="35"/>
  <c r="O31" i="35"/>
  <c r="M31" i="35"/>
  <c r="L31" i="35"/>
  <c r="K31" i="35"/>
  <c r="Q30" i="35"/>
  <c r="P30" i="35"/>
  <c r="O30" i="35"/>
  <c r="M30" i="35"/>
  <c r="L30" i="35"/>
  <c r="K30" i="35"/>
  <c r="Q29" i="35"/>
  <c r="P29" i="35"/>
  <c r="O29" i="35"/>
  <c r="M29" i="35"/>
  <c r="L29" i="35"/>
  <c r="K29" i="35"/>
  <c r="Q28" i="35"/>
  <c r="P28" i="35"/>
  <c r="O28" i="35"/>
  <c r="M28" i="35"/>
  <c r="L28" i="35"/>
  <c r="K28" i="35"/>
  <c r="Q27" i="35"/>
  <c r="P27" i="35"/>
  <c r="O27" i="35"/>
  <c r="M27" i="35"/>
  <c r="L27" i="35"/>
  <c r="K27" i="35"/>
  <c r="N24" i="35"/>
  <c r="O24" i="35" s="1"/>
  <c r="J24" i="35"/>
  <c r="H24" i="35"/>
  <c r="G24" i="35"/>
  <c r="N23" i="35"/>
  <c r="Q23" i="35" s="1"/>
  <c r="J23" i="35"/>
  <c r="H23" i="35"/>
  <c r="G23" i="35"/>
  <c r="N22" i="35"/>
  <c r="O22" i="35" s="1"/>
  <c r="J22" i="35"/>
  <c r="H22" i="35"/>
  <c r="G22" i="35"/>
  <c r="N21" i="35"/>
  <c r="Q21" i="35" s="1"/>
  <c r="J21" i="35"/>
  <c r="H21" i="35"/>
  <c r="G21" i="35"/>
  <c r="N20" i="35"/>
  <c r="O20" i="35" s="1"/>
  <c r="J20" i="35"/>
  <c r="H20" i="35"/>
  <c r="G20" i="35"/>
  <c r="N19" i="35"/>
  <c r="Q19" i="35" s="1"/>
  <c r="J19" i="35"/>
  <c r="H19" i="35"/>
  <c r="G19" i="35"/>
  <c r="N18" i="35"/>
  <c r="O18" i="35" s="1"/>
  <c r="J18" i="35"/>
  <c r="H18" i="35"/>
  <c r="G18" i="35"/>
  <c r="M18" i="35" s="1"/>
  <c r="N17" i="35"/>
  <c r="Q17" i="35" s="1"/>
  <c r="J17" i="35"/>
  <c r="H17" i="35"/>
  <c r="G17" i="35"/>
  <c r="N16" i="35"/>
  <c r="O16" i="35" s="1"/>
  <c r="J16" i="35"/>
  <c r="K16" i="35" s="1"/>
  <c r="H16" i="35"/>
  <c r="G16" i="35"/>
  <c r="Q16" i="35" s="1"/>
  <c r="N15" i="35"/>
  <c r="Q15" i="35" s="1"/>
  <c r="J15" i="35"/>
  <c r="M15" i="35" s="1"/>
  <c r="H15" i="35"/>
  <c r="G15" i="35"/>
  <c r="N14" i="35"/>
  <c r="O14" i="35" s="1"/>
  <c r="J14" i="35"/>
  <c r="K14" i="35" s="1"/>
  <c r="H14" i="35"/>
  <c r="G14" i="35"/>
  <c r="N13" i="35"/>
  <c r="Q13" i="35" s="1"/>
  <c r="J13" i="35"/>
  <c r="H13" i="35"/>
  <c r="G13" i="35"/>
  <c r="N12" i="35"/>
  <c r="O12" i="35" s="1"/>
  <c r="J12" i="35"/>
  <c r="K12" i="35" s="1"/>
  <c r="H12" i="35"/>
  <c r="G12" i="35"/>
  <c r="M12" i="35" s="1"/>
  <c r="N11" i="35"/>
  <c r="Q11" i="35" s="1"/>
  <c r="J11" i="35"/>
  <c r="M11" i="35" s="1"/>
  <c r="H11" i="35"/>
  <c r="G11" i="35"/>
  <c r="N10" i="35"/>
  <c r="O10" i="35" s="1"/>
  <c r="J10" i="35"/>
  <c r="K10" i="35" s="1"/>
  <c r="H10" i="35"/>
  <c r="G10" i="35"/>
  <c r="N9" i="35"/>
  <c r="Q9" i="35" s="1"/>
  <c r="J9" i="35"/>
  <c r="M9" i="35" s="1"/>
  <c r="H9" i="35"/>
  <c r="G9" i="35"/>
  <c r="Q155" i="34"/>
  <c r="P155" i="34"/>
  <c r="O155" i="34"/>
  <c r="M155" i="34"/>
  <c r="L155" i="34"/>
  <c r="K155" i="34"/>
  <c r="Q154" i="34"/>
  <c r="P154" i="34"/>
  <c r="O154" i="34"/>
  <c r="M154" i="34"/>
  <c r="L154" i="34"/>
  <c r="K154" i="34"/>
  <c r="Q153" i="34"/>
  <c r="P153" i="34"/>
  <c r="O153" i="34"/>
  <c r="M153" i="34"/>
  <c r="L153" i="34"/>
  <c r="K153" i="34"/>
  <c r="Q152" i="34"/>
  <c r="P152" i="34"/>
  <c r="O152" i="34"/>
  <c r="M152" i="34"/>
  <c r="L152" i="34"/>
  <c r="K152" i="34"/>
  <c r="Q151" i="34"/>
  <c r="P151" i="34"/>
  <c r="O151" i="34"/>
  <c r="M151" i="34"/>
  <c r="L151" i="34"/>
  <c r="K151" i="34"/>
  <c r="Q150" i="34"/>
  <c r="P150" i="34"/>
  <c r="O150" i="34"/>
  <c r="M150" i="34"/>
  <c r="L150" i="34"/>
  <c r="K150" i="34"/>
  <c r="Q149" i="34"/>
  <c r="P149" i="34"/>
  <c r="O149" i="34"/>
  <c r="M149" i="34"/>
  <c r="L149" i="34"/>
  <c r="K149" i="34"/>
  <c r="Q148" i="34"/>
  <c r="P148" i="34"/>
  <c r="O148" i="34"/>
  <c r="M148" i="34"/>
  <c r="L148" i="34"/>
  <c r="K148" i="34"/>
  <c r="Q147" i="34"/>
  <c r="P147" i="34"/>
  <c r="O147" i="34"/>
  <c r="M147" i="34"/>
  <c r="L147" i="34"/>
  <c r="K147" i="34"/>
  <c r="Q146" i="34"/>
  <c r="P146" i="34"/>
  <c r="O146" i="34"/>
  <c r="M146" i="34"/>
  <c r="L146" i="34"/>
  <c r="K146" i="34"/>
  <c r="Q145" i="34"/>
  <c r="P145" i="34"/>
  <c r="O145" i="34"/>
  <c r="M145" i="34"/>
  <c r="L145" i="34"/>
  <c r="K145" i="34"/>
  <c r="Q144" i="34"/>
  <c r="P144" i="34"/>
  <c r="O144" i="34"/>
  <c r="M144" i="34"/>
  <c r="L144" i="34"/>
  <c r="K144" i="34"/>
  <c r="Q143" i="34"/>
  <c r="P143" i="34"/>
  <c r="O143" i="34"/>
  <c r="M143" i="34"/>
  <c r="L143" i="34"/>
  <c r="K143" i="34"/>
  <c r="Q142" i="34"/>
  <c r="P142" i="34"/>
  <c r="O142" i="34"/>
  <c r="M142" i="34"/>
  <c r="L142" i="34"/>
  <c r="K142" i="34"/>
  <c r="Q141" i="34"/>
  <c r="P141" i="34"/>
  <c r="O141" i="34"/>
  <c r="M141" i="34"/>
  <c r="L141" i="34"/>
  <c r="K141" i="34"/>
  <c r="Q140" i="34"/>
  <c r="P140" i="34"/>
  <c r="O140" i="34"/>
  <c r="M140" i="34"/>
  <c r="L140" i="34"/>
  <c r="K140" i="34"/>
  <c r="Q139" i="34"/>
  <c r="P139" i="34"/>
  <c r="O139" i="34"/>
  <c r="M139" i="34"/>
  <c r="L139" i="34"/>
  <c r="K139" i="34"/>
  <c r="Q138" i="34"/>
  <c r="P138" i="34"/>
  <c r="O138" i="34"/>
  <c r="M138" i="34"/>
  <c r="L138" i="34"/>
  <c r="K138" i="34"/>
  <c r="Q137" i="34"/>
  <c r="P137" i="34"/>
  <c r="O137" i="34"/>
  <c r="M137" i="34"/>
  <c r="L137" i="34"/>
  <c r="K137" i="34"/>
  <c r="Q135" i="34"/>
  <c r="P135" i="34"/>
  <c r="O135" i="34"/>
  <c r="M135" i="34"/>
  <c r="L135" i="34"/>
  <c r="K135" i="34"/>
  <c r="Q134" i="34"/>
  <c r="P134" i="34"/>
  <c r="O134" i="34"/>
  <c r="M134" i="34"/>
  <c r="L134" i="34"/>
  <c r="K134" i="34"/>
  <c r="Q133" i="34"/>
  <c r="P133" i="34"/>
  <c r="O133" i="34"/>
  <c r="M133" i="34"/>
  <c r="L133" i="34"/>
  <c r="K133" i="34"/>
  <c r="Q131" i="34"/>
  <c r="P131" i="34"/>
  <c r="O131" i="34"/>
  <c r="M131" i="34"/>
  <c r="L131" i="34"/>
  <c r="K131" i="34"/>
  <c r="Q130" i="34"/>
  <c r="P130" i="34"/>
  <c r="O130" i="34"/>
  <c r="M130" i="34"/>
  <c r="L130" i="34"/>
  <c r="K130" i="34"/>
  <c r="Q129" i="34"/>
  <c r="P129" i="34"/>
  <c r="O129" i="34"/>
  <c r="M129" i="34"/>
  <c r="L129" i="34"/>
  <c r="K129" i="34"/>
  <c r="Q128" i="34"/>
  <c r="P128" i="34"/>
  <c r="O128" i="34"/>
  <c r="M128" i="34"/>
  <c r="L128" i="34"/>
  <c r="K128" i="34"/>
  <c r="Q127" i="34"/>
  <c r="P127" i="34"/>
  <c r="O127" i="34"/>
  <c r="M127" i="34"/>
  <c r="L127" i="34"/>
  <c r="K127" i="34"/>
  <c r="Q126" i="34"/>
  <c r="P126" i="34"/>
  <c r="O126" i="34"/>
  <c r="M126" i="34"/>
  <c r="L126" i="34"/>
  <c r="K126" i="34"/>
  <c r="Q125" i="34"/>
  <c r="P125" i="34"/>
  <c r="O125" i="34"/>
  <c r="M125" i="34"/>
  <c r="L125" i="34"/>
  <c r="K125" i="34"/>
  <c r="Q124" i="34"/>
  <c r="P124" i="34"/>
  <c r="O124" i="34"/>
  <c r="M124" i="34"/>
  <c r="L124" i="34"/>
  <c r="K124" i="34"/>
  <c r="Q123" i="34"/>
  <c r="P123" i="34"/>
  <c r="O123" i="34"/>
  <c r="M123" i="34"/>
  <c r="L123" i="34"/>
  <c r="K123" i="34"/>
  <c r="Q122" i="34"/>
  <c r="P122" i="34"/>
  <c r="O122" i="34"/>
  <c r="M122" i="34"/>
  <c r="L122" i="34"/>
  <c r="K122" i="34"/>
  <c r="Q121" i="34"/>
  <c r="P121" i="34"/>
  <c r="O121" i="34"/>
  <c r="M121" i="34"/>
  <c r="L121" i="34"/>
  <c r="K121" i="34"/>
  <c r="Q120" i="34"/>
  <c r="P120" i="34"/>
  <c r="O120" i="34"/>
  <c r="M120" i="34"/>
  <c r="L120" i="34"/>
  <c r="K120" i="34"/>
  <c r="Q119" i="34"/>
  <c r="P119" i="34"/>
  <c r="O119" i="34"/>
  <c r="M119" i="34"/>
  <c r="L119" i="34"/>
  <c r="K119" i="34"/>
  <c r="Q118" i="34"/>
  <c r="P118" i="34"/>
  <c r="O118" i="34"/>
  <c r="M118" i="34"/>
  <c r="L118" i="34"/>
  <c r="K118" i="34"/>
  <c r="Q117" i="34"/>
  <c r="P117" i="34"/>
  <c r="O117" i="34"/>
  <c r="M117" i="34"/>
  <c r="L117" i="34"/>
  <c r="K117" i="34"/>
  <c r="Q116" i="34"/>
  <c r="P116" i="34"/>
  <c r="O116" i="34"/>
  <c r="M116" i="34"/>
  <c r="L116" i="34"/>
  <c r="K116" i="34"/>
  <c r="Q115" i="34"/>
  <c r="P115" i="34"/>
  <c r="O115" i="34"/>
  <c r="M115" i="34"/>
  <c r="L115" i="34"/>
  <c r="K115" i="34"/>
  <c r="Q113" i="34"/>
  <c r="P113" i="34"/>
  <c r="O113" i="34"/>
  <c r="M113" i="34"/>
  <c r="L113" i="34"/>
  <c r="K113" i="34"/>
  <c r="Q112" i="34"/>
  <c r="P112" i="34"/>
  <c r="O112" i="34"/>
  <c r="M112" i="34"/>
  <c r="L112" i="34"/>
  <c r="K112" i="34"/>
  <c r="Q111" i="34"/>
  <c r="P111" i="34"/>
  <c r="O111" i="34"/>
  <c r="M111" i="34"/>
  <c r="L111" i="34"/>
  <c r="K111" i="34"/>
  <c r="Q110" i="34"/>
  <c r="P110" i="34"/>
  <c r="O110" i="34"/>
  <c r="M110" i="34"/>
  <c r="L110" i="34"/>
  <c r="K110" i="34"/>
  <c r="Q108" i="34"/>
  <c r="P108" i="34"/>
  <c r="O108" i="34"/>
  <c r="M108" i="34"/>
  <c r="L108" i="34"/>
  <c r="K108" i="34"/>
  <c r="Q107" i="34"/>
  <c r="P107" i="34"/>
  <c r="O107" i="34"/>
  <c r="M107" i="34"/>
  <c r="L107" i="34"/>
  <c r="K107" i="34"/>
  <c r="Q105" i="34"/>
  <c r="P105" i="34"/>
  <c r="O105" i="34"/>
  <c r="M105" i="34"/>
  <c r="L105" i="34"/>
  <c r="K105" i="34"/>
  <c r="Q104" i="34"/>
  <c r="P104" i="34"/>
  <c r="O104" i="34"/>
  <c r="M104" i="34"/>
  <c r="L104" i="34"/>
  <c r="K104" i="34"/>
  <c r="Q103" i="34"/>
  <c r="P103" i="34"/>
  <c r="O103" i="34"/>
  <c r="M103" i="34"/>
  <c r="L103" i="34"/>
  <c r="K103" i="34"/>
  <c r="Q102" i="34"/>
  <c r="P102" i="34"/>
  <c r="O102" i="34"/>
  <c r="M102" i="34"/>
  <c r="L102" i="34"/>
  <c r="K102" i="34"/>
  <c r="Q101" i="34"/>
  <c r="P101" i="34"/>
  <c r="O101" i="34"/>
  <c r="M101" i="34"/>
  <c r="L101" i="34"/>
  <c r="K101" i="34"/>
  <c r="Q100" i="34"/>
  <c r="P100" i="34"/>
  <c r="O100" i="34"/>
  <c r="M100" i="34"/>
  <c r="L100" i="34"/>
  <c r="K100" i="34"/>
  <c r="Q99" i="34"/>
  <c r="P99" i="34"/>
  <c r="O99" i="34"/>
  <c r="M99" i="34"/>
  <c r="L99" i="34"/>
  <c r="K99" i="34"/>
  <c r="Q98" i="34"/>
  <c r="P98" i="34"/>
  <c r="O98" i="34"/>
  <c r="M98" i="34"/>
  <c r="L98" i="34"/>
  <c r="K98" i="34"/>
  <c r="Q96" i="34"/>
  <c r="P96" i="34"/>
  <c r="O96" i="34"/>
  <c r="M96" i="34"/>
  <c r="L96" i="34"/>
  <c r="K96" i="34"/>
  <c r="Q95" i="34"/>
  <c r="P95" i="34"/>
  <c r="O95" i="34"/>
  <c r="M95" i="34"/>
  <c r="L95" i="34"/>
  <c r="K95" i="34"/>
  <c r="Q94" i="34"/>
  <c r="P94" i="34"/>
  <c r="O94" i="34"/>
  <c r="M94" i="34"/>
  <c r="L94" i="34"/>
  <c r="K94" i="34"/>
  <c r="Q93" i="34"/>
  <c r="P93" i="34"/>
  <c r="O93" i="34"/>
  <c r="M93" i="34"/>
  <c r="L93" i="34"/>
  <c r="K93" i="34"/>
  <c r="Q92" i="34"/>
  <c r="P92" i="34"/>
  <c r="O92" i="34"/>
  <c r="M92" i="34"/>
  <c r="L92" i="34"/>
  <c r="K92" i="34"/>
  <c r="Q91" i="34"/>
  <c r="P91" i="34"/>
  <c r="O91" i="34"/>
  <c r="M91" i="34"/>
  <c r="L91" i="34"/>
  <c r="K91" i="34"/>
  <c r="Q90" i="34"/>
  <c r="P90" i="34"/>
  <c r="O90" i="34"/>
  <c r="M90" i="34"/>
  <c r="L90" i="34"/>
  <c r="K90" i="34"/>
  <c r="Q89" i="34"/>
  <c r="P89" i="34"/>
  <c r="O89" i="34"/>
  <c r="M89" i="34"/>
  <c r="L89" i="34"/>
  <c r="K89" i="34"/>
  <c r="Q88" i="34"/>
  <c r="P88" i="34"/>
  <c r="O88" i="34"/>
  <c r="M88" i="34"/>
  <c r="L88" i="34"/>
  <c r="K88" i="34"/>
  <c r="Q86" i="34"/>
  <c r="P86" i="34"/>
  <c r="O86" i="34"/>
  <c r="M86" i="34"/>
  <c r="L86" i="34"/>
  <c r="K86" i="34"/>
  <c r="Q84" i="34"/>
  <c r="P84" i="34"/>
  <c r="O84" i="34"/>
  <c r="M84" i="34"/>
  <c r="L84" i="34"/>
  <c r="K84" i="34"/>
  <c r="Q83" i="34"/>
  <c r="P83" i="34"/>
  <c r="O83" i="34"/>
  <c r="M83" i="34"/>
  <c r="L83" i="34"/>
  <c r="K83" i="34"/>
  <c r="Q82" i="34"/>
  <c r="P82" i="34"/>
  <c r="O82" i="34"/>
  <c r="M82" i="34"/>
  <c r="L82" i="34"/>
  <c r="K82" i="34"/>
  <c r="Q81" i="34"/>
  <c r="P81" i="34"/>
  <c r="O81" i="34"/>
  <c r="M81" i="34"/>
  <c r="L81" i="34"/>
  <c r="K81" i="34"/>
  <c r="Q80" i="34"/>
  <c r="P80" i="34"/>
  <c r="O80" i="34"/>
  <c r="M80" i="34"/>
  <c r="L80" i="34"/>
  <c r="K80" i="34"/>
  <c r="Q79" i="34"/>
  <c r="P79" i="34"/>
  <c r="O79" i="34"/>
  <c r="M79" i="34"/>
  <c r="L79" i="34"/>
  <c r="K79" i="34"/>
  <c r="Q78" i="34"/>
  <c r="P78" i="34"/>
  <c r="O78" i="34"/>
  <c r="M78" i="34"/>
  <c r="L78" i="34"/>
  <c r="K78" i="34"/>
  <c r="Q76" i="34"/>
  <c r="P76" i="34"/>
  <c r="O76" i="34"/>
  <c r="M76" i="34"/>
  <c r="L76" i="34"/>
  <c r="K76" i="34"/>
  <c r="Q75" i="34"/>
  <c r="P75" i="34"/>
  <c r="O75" i="34"/>
  <c r="M75" i="34"/>
  <c r="L75" i="34"/>
  <c r="K75" i="34"/>
  <c r="Q74" i="34"/>
  <c r="P74" i="34"/>
  <c r="O74" i="34"/>
  <c r="M74" i="34"/>
  <c r="L74" i="34"/>
  <c r="K74" i="34"/>
  <c r="Q73" i="34"/>
  <c r="P73" i="34"/>
  <c r="O73" i="34"/>
  <c r="M73" i="34"/>
  <c r="L73" i="34"/>
  <c r="K73" i="34"/>
  <c r="Q72" i="34"/>
  <c r="P72" i="34"/>
  <c r="O72" i="34"/>
  <c r="M72" i="34"/>
  <c r="L72" i="34"/>
  <c r="K72" i="34"/>
  <c r="Q71" i="34"/>
  <c r="P71" i="34"/>
  <c r="O71" i="34"/>
  <c r="M71" i="34"/>
  <c r="L71" i="34"/>
  <c r="K71" i="34"/>
  <c r="Q70" i="34"/>
  <c r="P70" i="34"/>
  <c r="O70" i="34"/>
  <c r="M70" i="34"/>
  <c r="L70" i="34"/>
  <c r="K70" i="34"/>
  <c r="Q68" i="34"/>
  <c r="P68" i="34"/>
  <c r="O68" i="34"/>
  <c r="M68" i="34"/>
  <c r="L68" i="34"/>
  <c r="K68" i="34"/>
  <c r="Q67" i="34"/>
  <c r="P67" i="34"/>
  <c r="O67" i="34"/>
  <c r="M67" i="34"/>
  <c r="L67" i="34"/>
  <c r="K67" i="34"/>
  <c r="Q66" i="34"/>
  <c r="P66" i="34"/>
  <c r="O66" i="34"/>
  <c r="M66" i="34"/>
  <c r="L66" i="34"/>
  <c r="K66" i="34"/>
  <c r="Q65" i="34"/>
  <c r="P65" i="34"/>
  <c r="O65" i="34"/>
  <c r="M65" i="34"/>
  <c r="L65" i="34"/>
  <c r="K65" i="34"/>
  <c r="Q63" i="34"/>
  <c r="P63" i="34"/>
  <c r="O63" i="34"/>
  <c r="M63" i="34"/>
  <c r="L63" i="34"/>
  <c r="K63" i="34"/>
  <c r="Q62" i="34"/>
  <c r="P62" i="34"/>
  <c r="O62" i="34"/>
  <c r="M62" i="34"/>
  <c r="L62" i="34"/>
  <c r="K62" i="34"/>
  <c r="Q61" i="34"/>
  <c r="P61" i="34"/>
  <c r="O61" i="34"/>
  <c r="M61" i="34"/>
  <c r="L61" i="34"/>
  <c r="K61" i="34"/>
  <c r="Q60" i="34"/>
  <c r="P60" i="34"/>
  <c r="O60" i="34"/>
  <c r="M60" i="34"/>
  <c r="L60" i="34"/>
  <c r="K60" i="34"/>
  <c r="Q58" i="34"/>
  <c r="P58" i="34"/>
  <c r="O58" i="34"/>
  <c r="M58" i="34"/>
  <c r="L58" i="34"/>
  <c r="K58" i="34"/>
  <c r="Q57" i="34"/>
  <c r="P57" i="34"/>
  <c r="O57" i="34"/>
  <c r="M57" i="34"/>
  <c r="L57" i="34"/>
  <c r="K57" i="34"/>
  <c r="Q56" i="34"/>
  <c r="P56" i="34"/>
  <c r="O56" i="34"/>
  <c r="M56" i="34"/>
  <c r="L56" i="34"/>
  <c r="K56" i="34"/>
  <c r="Q55" i="34"/>
  <c r="P55" i="34"/>
  <c r="O55" i="34"/>
  <c r="M55" i="34"/>
  <c r="L55" i="34"/>
  <c r="K55" i="34"/>
  <c r="Q53" i="34"/>
  <c r="P53" i="34"/>
  <c r="O53" i="34"/>
  <c r="M53" i="34"/>
  <c r="L53" i="34"/>
  <c r="K53" i="34"/>
  <c r="Q52" i="34"/>
  <c r="P52" i="34"/>
  <c r="O52" i="34"/>
  <c r="M52" i="34"/>
  <c r="L52" i="34"/>
  <c r="K52" i="34"/>
  <c r="Q51" i="34"/>
  <c r="P51" i="34"/>
  <c r="O51" i="34"/>
  <c r="M51" i="34"/>
  <c r="L51" i="34"/>
  <c r="K51" i="34"/>
  <c r="Q50" i="34"/>
  <c r="P50" i="34"/>
  <c r="M50" i="34"/>
  <c r="L50" i="34"/>
  <c r="Q49" i="34"/>
  <c r="P49" i="34"/>
  <c r="O49" i="34"/>
  <c r="M49" i="34"/>
  <c r="J49" i="34"/>
  <c r="L49" i="34" s="1"/>
  <c r="Q48" i="34"/>
  <c r="P48" i="34"/>
  <c r="O48" i="34"/>
  <c r="M48" i="34"/>
  <c r="L48" i="34"/>
  <c r="K48" i="34"/>
  <c r="Q47" i="34"/>
  <c r="P47" i="34"/>
  <c r="O47" i="34"/>
  <c r="M47" i="34"/>
  <c r="L47" i="34"/>
  <c r="K47" i="34"/>
  <c r="Q43" i="34"/>
  <c r="P43" i="34"/>
  <c r="O43" i="34"/>
  <c r="L43" i="34"/>
  <c r="J43" i="34"/>
  <c r="K43" i="34" s="1"/>
  <c r="Q41" i="34"/>
  <c r="P41" i="34"/>
  <c r="O41" i="34"/>
  <c r="M41" i="34"/>
  <c r="L41" i="34"/>
  <c r="K41" i="34"/>
  <c r="Q40" i="34"/>
  <c r="P40" i="34"/>
  <c r="O40" i="34"/>
  <c r="M40" i="34"/>
  <c r="L40" i="34"/>
  <c r="K40" i="34"/>
  <c r="Q39" i="34"/>
  <c r="P39" i="34"/>
  <c r="O39" i="34"/>
  <c r="M39" i="34"/>
  <c r="L39" i="34"/>
  <c r="K39" i="34"/>
  <c r="Q37" i="34"/>
  <c r="P37" i="34"/>
  <c r="O37" i="34"/>
  <c r="M37" i="34"/>
  <c r="L37" i="34"/>
  <c r="K37" i="34"/>
  <c r="Q36" i="34"/>
  <c r="P36" i="34"/>
  <c r="O36" i="34"/>
  <c r="M36" i="34"/>
  <c r="L36" i="34"/>
  <c r="K36" i="34"/>
  <c r="Q35" i="34"/>
  <c r="P35" i="34"/>
  <c r="O35" i="34"/>
  <c r="M35" i="34"/>
  <c r="L35" i="34"/>
  <c r="K35" i="34"/>
  <c r="Q34" i="34"/>
  <c r="P34" i="34"/>
  <c r="O34" i="34"/>
  <c r="M34" i="34"/>
  <c r="L34" i="34"/>
  <c r="K34" i="34"/>
  <c r="Q33" i="34"/>
  <c r="P33" i="34"/>
  <c r="O33" i="34"/>
  <c r="M33" i="34"/>
  <c r="L33" i="34"/>
  <c r="K33" i="34"/>
  <c r="Q32" i="34"/>
  <c r="P32" i="34"/>
  <c r="O32" i="34"/>
  <c r="M32" i="34"/>
  <c r="L32" i="34"/>
  <c r="K32" i="34"/>
  <c r="Q31" i="34"/>
  <c r="P31" i="34"/>
  <c r="O31" i="34"/>
  <c r="M31" i="34"/>
  <c r="L31" i="34"/>
  <c r="K31" i="34"/>
  <c r="Q30" i="34"/>
  <c r="P30" i="34"/>
  <c r="O30" i="34"/>
  <c r="M30" i="34"/>
  <c r="L30" i="34"/>
  <c r="K30" i="34"/>
  <c r="Q29" i="34"/>
  <c r="P29" i="34"/>
  <c r="O29" i="34"/>
  <c r="M29" i="34"/>
  <c r="L29" i="34"/>
  <c r="K29" i="34"/>
  <c r="Q28" i="34"/>
  <c r="P28" i="34"/>
  <c r="O28" i="34"/>
  <c r="M28" i="34"/>
  <c r="L28" i="34"/>
  <c r="K28" i="34"/>
  <c r="Q27" i="34"/>
  <c r="P27" i="34"/>
  <c r="O27" i="34"/>
  <c r="M27" i="34"/>
  <c r="L27" i="34"/>
  <c r="K27" i="34"/>
  <c r="N24" i="34"/>
  <c r="O24" i="34" s="1"/>
  <c r="J24" i="34"/>
  <c r="K24" i="34" s="1"/>
  <c r="H24" i="34"/>
  <c r="G24" i="34"/>
  <c r="P24" i="34" s="1"/>
  <c r="N23" i="34"/>
  <c r="Q23" i="34" s="1"/>
  <c r="J23" i="34"/>
  <c r="M23" i="34" s="1"/>
  <c r="H23" i="34"/>
  <c r="G23" i="34"/>
  <c r="N22" i="34"/>
  <c r="O22" i="34" s="1"/>
  <c r="J22" i="34"/>
  <c r="K22" i="34" s="1"/>
  <c r="H22" i="34"/>
  <c r="G22" i="34"/>
  <c r="N21" i="34"/>
  <c r="J21" i="34"/>
  <c r="H21" i="34"/>
  <c r="G21" i="34"/>
  <c r="N20" i="34"/>
  <c r="O20" i="34" s="1"/>
  <c r="J20" i="34"/>
  <c r="K20" i="34" s="1"/>
  <c r="H20" i="34"/>
  <c r="G20" i="34"/>
  <c r="P20" i="34" s="1"/>
  <c r="N19" i="34"/>
  <c r="Q19" i="34" s="1"/>
  <c r="J19" i="34"/>
  <c r="M19" i="34" s="1"/>
  <c r="H19" i="34"/>
  <c r="G19" i="34"/>
  <c r="N18" i="34"/>
  <c r="O18" i="34" s="1"/>
  <c r="J18" i="34"/>
  <c r="K18" i="34" s="1"/>
  <c r="H18" i="34"/>
  <c r="G18" i="34"/>
  <c r="P18" i="34" s="1"/>
  <c r="N17" i="34"/>
  <c r="J17" i="34"/>
  <c r="M17" i="34" s="1"/>
  <c r="H17" i="34"/>
  <c r="G17" i="34"/>
  <c r="N16" i="34"/>
  <c r="O16" i="34" s="1"/>
  <c r="J16" i="34"/>
  <c r="K16" i="34" s="1"/>
  <c r="H16" i="34"/>
  <c r="G16" i="34"/>
  <c r="P16" i="34" s="1"/>
  <c r="N15" i="34"/>
  <c r="Q15" i="34" s="1"/>
  <c r="J15" i="34"/>
  <c r="M15" i="34" s="1"/>
  <c r="H15" i="34"/>
  <c r="G15" i="34"/>
  <c r="N14" i="34"/>
  <c r="O14" i="34" s="1"/>
  <c r="J14" i="34"/>
  <c r="K14" i="34" s="1"/>
  <c r="H14" i="34"/>
  <c r="G14" i="34"/>
  <c r="N13" i="34"/>
  <c r="Q13" i="34" s="1"/>
  <c r="J13" i="34"/>
  <c r="M13" i="34" s="1"/>
  <c r="H13" i="34"/>
  <c r="G13" i="34"/>
  <c r="N12" i="34"/>
  <c r="O12" i="34" s="1"/>
  <c r="J12" i="34"/>
  <c r="K12" i="34" s="1"/>
  <c r="H12" i="34"/>
  <c r="G12" i="34"/>
  <c r="P12" i="34" s="1"/>
  <c r="N11" i="34"/>
  <c r="Q11" i="34" s="1"/>
  <c r="J11" i="34"/>
  <c r="M11" i="34" s="1"/>
  <c r="H11" i="34"/>
  <c r="G11" i="34"/>
  <c r="N10" i="34"/>
  <c r="O10" i="34" s="1"/>
  <c r="J10" i="34"/>
  <c r="K10" i="34" s="1"/>
  <c r="H10" i="34"/>
  <c r="G10" i="34"/>
  <c r="N9" i="34"/>
  <c r="J9" i="34"/>
  <c r="M9" i="34" s="1"/>
  <c r="H9" i="34"/>
  <c r="G9" i="34"/>
  <c r="M21" i="34" l="1"/>
  <c r="Q17" i="34"/>
  <c r="Q21" i="34"/>
  <c r="P14" i="34"/>
  <c r="P22" i="34"/>
  <c r="Q9" i="34"/>
  <c r="P10" i="34"/>
  <c r="Q20" i="35"/>
  <c r="Q22" i="35"/>
  <c r="Q24" i="35"/>
  <c r="M17" i="35"/>
  <c r="K18" i="35"/>
  <c r="M19" i="35"/>
  <c r="K20" i="35"/>
  <c r="M21" i="35"/>
  <c r="K22" i="35"/>
  <c r="M23" i="35"/>
  <c r="K24" i="35"/>
  <c r="M10" i="35"/>
  <c r="M14" i="35"/>
  <c r="M13" i="35"/>
  <c r="L10" i="35"/>
  <c r="P12" i="35"/>
  <c r="P16" i="35"/>
  <c r="L18" i="35"/>
  <c r="P20" i="35"/>
  <c r="L22" i="35"/>
  <c r="P22" i="35"/>
  <c r="L24" i="35"/>
  <c r="K9" i="35"/>
  <c r="Q10" i="35"/>
  <c r="K11" i="35"/>
  <c r="O11" i="35"/>
  <c r="Q12" i="35"/>
  <c r="Q14" i="35"/>
  <c r="K15" i="35"/>
  <c r="O15" i="35"/>
  <c r="M16" i="35"/>
  <c r="Q18" i="35"/>
  <c r="M22" i="35"/>
  <c r="K23" i="35"/>
  <c r="O23" i="35"/>
  <c r="M24" i="35"/>
  <c r="L9" i="35"/>
  <c r="P9" i="35"/>
  <c r="L11" i="35"/>
  <c r="P11" i="35"/>
  <c r="L13" i="35"/>
  <c r="P13" i="35"/>
  <c r="L15" i="35"/>
  <c r="P15" i="35"/>
  <c r="L17" i="35"/>
  <c r="P17" i="35"/>
  <c r="L19" i="35"/>
  <c r="P19" i="35"/>
  <c r="L21" i="35"/>
  <c r="P21" i="35"/>
  <c r="L23" i="35"/>
  <c r="P23" i="35"/>
  <c r="K49" i="35"/>
  <c r="P10" i="35"/>
  <c r="L12" i="35"/>
  <c r="L14" i="35"/>
  <c r="P14" i="35"/>
  <c r="L16" i="35"/>
  <c r="P18" i="35"/>
  <c r="L20" i="35"/>
  <c r="P24" i="35"/>
  <c r="O9" i="35"/>
  <c r="K13" i="35"/>
  <c r="O13" i="35"/>
  <c r="K17" i="35"/>
  <c r="O17" i="35"/>
  <c r="K19" i="35"/>
  <c r="O19" i="35"/>
  <c r="M20" i="35"/>
  <c r="K21" i="35"/>
  <c r="O21" i="35"/>
  <c r="L12" i="34"/>
  <c r="L14" i="34"/>
  <c r="L18" i="34"/>
  <c r="L20" i="34"/>
  <c r="L22" i="34"/>
  <c r="K9" i="34"/>
  <c r="O9" i="34"/>
  <c r="M10" i="34"/>
  <c r="Q10" i="34"/>
  <c r="K11" i="34"/>
  <c r="O11" i="34"/>
  <c r="M12" i="34"/>
  <c r="Q12" i="34"/>
  <c r="K13" i="34"/>
  <c r="O13" i="34"/>
  <c r="M14" i="34"/>
  <c r="Q14" i="34"/>
  <c r="K15" i="34"/>
  <c r="O15" i="34"/>
  <c r="M16" i="34"/>
  <c r="Q16" i="34"/>
  <c r="K17" i="34"/>
  <c r="O17" i="34"/>
  <c r="M18" i="34"/>
  <c r="Q18" i="34"/>
  <c r="K19" i="34"/>
  <c r="O19" i="34"/>
  <c r="M20" i="34"/>
  <c r="Q20" i="34"/>
  <c r="K21" i="34"/>
  <c r="O21" i="34"/>
  <c r="M22" i="34"/>
  <c r="Q22" i="34"/>
  <c r="K23" i="34"/>
  <c r="O23" i="34"/>
  <c r="M24" i="34"/>
  <c r="Q24" i="34"/>
  <c r="M43" i="34"/>
  <c r="L16" i="34"/>
  <c r="L24" i="34"/>
  <c r="L9" i="34"/>
  <c r="L13" i="34"/>
  <c r="P13" i="34"/>
  <c r="L15" i="34"/>
  <c r="P15" i="34"/>
  <c r="L17" i="34"/>
  <c r="P17" i="34"/>
  <c r="L19" i="34"/>
  <c r="P19" i="34"/>
  <c r="L21" i="34"/>
  <c r="P21" i="34"/>
  <c r="L23" i="34"/>
  <c r="P23" i="34"/>
  <c r="K49" i="34"/>
  <c r="L10" i="34"/>
  <c r="P9" i="34"/>
  <c r="L11" i="34"/>
  <c r="P11" i="34"/>
  <c r="O44" i="22" l="1"/>
  <c r="R29" i="22"/>
  <c r="S29" i="22"/>
  <c r="T29" i="22"/>
  <c r="R30" i="22"/>
  <c r="S30" i="22"/>
  <c r="T30" i="22"/>
  <c r="R31" i="22"/>
  <c r="S31" i="22"/>
  <c r="T31" i="22"/>
  <c r="R32" i="22"/>
  <c r="S32" i="22"/>
  <c r="T32" i="22"/>
  <c r="R33" i="22"/>
  <c r="S33" i="22"/>
  <c r="T33" i="22"/>
  <c r="R34" i="22"/>
  <c r="S34" i="22"/>
  <c r="T34" i="22"/>
  <c r="R35" i="22"/>
  <c r="S35" i="22"/>
  <c r="T35" i="22"/>
  <c r="R36" i="22"/>
  <c r="S36" i="22"/>
  <c r="T36" i="22"/>
  <c r="R37" i="22"/>
  <c r="S37" i="22"/>
  <c r="T37" i="22"/>
  <c r="R38" i="22"/>
  <c r="S38" i="22"/>
  <c r="T38" i="22"/>
  <c r="R40" i="22"/>
  <c r="S40" i="22"/>
  <c r="T40" i="22"/>
  <c r="R41" i="22"/>
  <c r="S41" i="22"/>
  <c r="T41" i="22"/>
  <c r="R42" i="22"/>
  <c r="S42" i="22"/>
  <c r="T42" i="22"/>
  <c r="R44" i="22"/>
  <c r="S44" i="22"/>
  <c r="T44" i="22"/>
  <c r="R48" i="22"/>
  <c r="S48" i="22"/>
  <c r="T48" i="22"/>
  <c r="R49" i="22"/>
  <c r="S49" i="22"/>
  <c r="T49" i="22"/>
  <c r="R50" i="22"/>
  <c r="S50" i="22"/>
  <c r="T50" i="22"/>
  <c r="S51" i="22"/>
  <c r="T51" i="22"/>
  <c r="R52" i="22"/>
  <c r="S52" i="22"/>
  <c r="T52" i="22"/>
  <c r="R53" i="22"/>
  <c r="S53" i="22"/>
  <c r="T53" i="22"/>
  <c r="R54" i="22"/>
  <c r="S54" i="22"/>
  <c r="T54" i="22"/>
  <c r="R56" i="22"/>
  <c r="S56" i="22"/>
  <c r="T56" i="22"/>
  <c r="R57" i="22"/>
  <c r="S57" i="22"/>
  <c r="T57" i="22"/>
  <c r="R58" i="22"/>
  <c r="S58" i="22"/>
  <c r="T58" i="22"/>
  <c r="R59" i="22"/>
  <c r="S59" i="22"/>
  <c r="T59" i="22"/>
  <c r="R61" i="22"/>
  <c r="S61" i="22"/>
  <c r="T61" i="22"/>
  <c r="R62" i="22"/>
  <c r="S62" i="22"/>
  <c r="T62" i="22"/>
  <c r="R63" i="22"/>
  <c r="S63" i="22"/>
  <c r="T63" i="22"/>
  <c r="R64" i="22"/>
  <c r="S64" i="22"/>
  <c r="T64" i="22"/>
  <c r="R66" i="22"/>
  <c r="S66" i="22"/>
  <c r="T66" i="22"/>
  <c r="R67" i="22"/>
  <c r="S67" i="22"/>
  <c r="T67" i="22"/>
  <c r="R68" i="22"/>
  <c r="S68" i="22"/>
  <c r="T68" i="22"/>
  <c r="R69" i="22"/>
  <c r="S69" i="22"/>
  <c r="T69" i="22"/>
  <c r="R71" i="22"/>
  <c r="S71" i="22"/>
  <c r="T71" i="22"/>
  <c r="R72" i="22"/>
  <c r="S72" i="22"/>
  <c r="T72" i="22"/>
  <c r="R73" i="22"/>
  <c r="S73" i="22"/>
  <c r="T73" i="22"/>
  <c r="R74" i="22"/>
  <c r="S74" i="22"/>
  <c r="T74" i="22"/>
  <c r="R75" i="22"/>
  <c r="S75" i="22"/>
  <c r="T75" i="22"/>
  <c r="R76" i="22"/>
  <c r="S76" i="22"/>
  <c r="T76" i="22"/>
  <c r="R77" i="22"/>
  <c r="S77" i="22"/>
  <c r="T77" i="22"/>
  <c r="R79" i="22"/>
  <c r="S79" i="22"/>
  <c r="T79" i="22"/>
  <c r="R80" i="22"/>
  <c r="S80" i="22"/>
  <c r="T80" i="22"/>
  <c r="R81" i="22"/>
  <c r="S81" i="22"/>
  <c r="T81" i="22"/>
  <c r="R82" i="22"/>
  <c r="S82" i="22"/>
  <c r="T82" i="22"/>
  <c r="R83" i="22"/>
  <c r="S83" i="22"/>
  <c r="T83" i="22"/>
  <c r="R84" i="22"/>
  <c r="S84" i="22"/>
  <c r="T84" i="22"/>
  <c r="R85" i="22"/>
  <c r="S85" i="22"/>
  <c r="T85" i="22"/>
  <c r="R87" i="22"/>
  <c r="S87" i="22"/>
  <c r="T87" i="22"/>
  <c r="R89" i="22"/>
  <c r="S89" i="22"/>
  <c r="T89" i="22"/>
  <c r="R90" i="22"/>
  <c r="S90" i="22"/>
  <c r="T90" i="22"/>
  <c r="R91" i="22"/>
  <c r="S91" i="22"/>
  <c r="T91" i="22"/>
  <c r="R92" i="22"/>
  <c r="S92" i="22"/>
  <c r="T92" i="22"/>
  <c r="R93" i="22"/>
  <c r="S93" i="22"/>
  <c r="T93" i="22"/>
  <c r="R94" i="22"/>
  <c r="S94" i="22"/>
  <c r="T94" i="22"/>
  <c r="R95" i="22"/>
  <c r="S95" i="22"/>
  <c r="T95" i="22"/>
  <c r="R96" i="22"/>
  <c r="S96" i="22"/>
  <c r="T96" i="22"/>
  <c r="R97" i="22"/>
  <c r="S97" i="22"/>
  <c r="T97" i="22"/>
  <c r="R99" i="22"/>
  <c r="S99" i="22"/>
  <c r="T99" i="22"/>
  <c r="R100" i="22"/>
  <c r="S100" i="22"/>
  <c r="T100" i="22"/>
  <c r="R101" i="22"/>
  <c r="S101" i="22"/>
  <c r="T101" i="22"/>
  <c r="R102" i="22"/>
  <c r="S102" i="22"/>
  <c r="T102" i="22"/>
  <c r="R103" i="22"/>
  <c r="S103" i="22"/>
  <c r="T103" i="22"/>
  <c r="R104" i="22"/>
  <c r="S104" i="22"/>
  <c r="T104" i="22"/>
  <c r="R105" i="22"/>
  <c r="S105" i="22"/>
  <c r="T105" i="22"/>
  <c r="R106" i="22"/>
  <c r="S106" i="22"/>
  <c r="T106" i="22"/>
  <c r="R108" i="22"/>
  <c r="S108" i="22"/>
  <c r="T108" i="22"/>
  <c r="R109" i="22"/>
  <c r="S109" i="22"/>
  <c r="T109" i="22"/>
  <c r="R111" i="22"/>
  <c r="S111" i="22"/>
  <c r="T111" i="22"/>
  <c r="R112" i="22"/>
  <c r="S112" i="22"/>
  <c r="T112" i="22"/>
  <c r="R113" i="22"/>
  <c r="S113" i="22"/>
  <c r="T113" i="22"/>
  <c r="R114" i="22"/>
  <c r="S114" i="22"/>
  <c r="T114" i="22"/>
  <c r="R116" i="22"/>
  <c r="S116" i="22"/>
  <c r="T116" i="22"/>
  <c r="R117" i="22"/>
  <c r="S117" i="22"/>
  <c r="T117" i="22"/>
  <c r="R118" i="22"/>
  <c r="S118" i="22"/>
  <c r="T118" i="22"/>
  <c r="R119" i="22"/>
  <c r="S119" i="22"/>
  <c r="T119" i="22"/>
  <c r="R120" i="22"/>
  <c r="S120" i="22"/>
  <c r="T120" i="22"/>
  <c r="R121" i="22"/>
  <c r="S121" i="22"/>
  <c r="T121" i="22"/>
  <c r="R122" i="22"/>
  <c r="S122" i="22"/>
  <c r="T122" i="22"/>
  <c r="R123" i="22"/>
  <c r="S123" i="22"/>
  <c r="T123" i="22"/>
  <c r="R124" i="22"/>
  <c r="S124" i="22"/>
  <c r="T124" i="22"/>
  <c r="R125" i="22"/>
  <c r="S125" i="22"/>
  <c r="T125" i="22"/>
  <c r="R126" i="22"/>
  <c r="S126" i="22"/>
  <c r="T126" i="22"/>
  <c r="R127" i="22"/>
  <c r="S127" i="22"/>
  <c r="T127" i="22"/>
  <c r="R128" i="22"/>
  <c r="S128" i="22"/>
  <c r="T128" i="22"/>
  <c r="R129" i="22"/>
  <c r="S129" i="22"/>
  <c r="T129" i="22"/>
  <c r="R130" i="22"/>
  <c r="S130" i="22"/>
  <c r="T130" i="22"/>
  <c r="R131" i="22"/>
  <c r="S131" i="22"/>
  <c r="T131" i="22"/>
  <c r="R132" i="22"/>
  <c r="S132" i="22"/>
  <c r="T132" i="22"/>
  <c r="R134" i="22"/>
  <c r="S134" i="22"/>
  <c r="T134" i="22"/>
  <c r="R135" i="22"/>
  <c r="S135" i="22"/>
  <c r="T135" i="22"/>
  <c r="R136" i="22"/>
  <c r="S136" i="22"/>
  <c r="T136" i="22"/>
  <c r="R138" i="22"/>
  <c r="S138" i="22"/>
  <c r="T138" i="22"/>
  <c r="R139" i="22"/>
  <c r="S139" i="22"/>
  <c r="T139" i="22"/>
  <c r="R140" i="22"/>
  <c r="S140" i="22"/>
  <c r="T140" i="22"/>
  <c r="R141" i="22"/>
  <c r="S141" i="22"/>
  <c r="T141" i="22"/>
  <c r="R142" i="22"/>
  <c r="S142" i="22"/>
  <c r="T142" i="22"/>
  <c r="R143" i="22"/>
  <c r="S143" i="22"/>
  <c r="T143" i="22"/>
  <c r="R144" i="22"/>
  <c r="S144" i="22"/>
  <c r="T144" i="22"/>
  <c r="R145" i="22"/>
  <c r="S145" i="22"/>
  <c r="T145" i="22"/>
  <c r="R146" i="22"/>
  <c r="S146" i="22"/>
  <c r="T146" i="22"/>
  <c r="R147" i="22"/>
  <c r="S147" i="22"/>
  <c r="T147" i="22"/>
  <c r="R148" i="22"/>
  <c r="S148" i="22"/>
  <c r="T148" i="22"/>
  <c r="R149" i="22"/>
  <c r="S149" i="22"/>
  <c r="T149" i="22"/>
  <c r="R150" i="22"/>
  <c r="S150" i="22"/>
  <c r="T150" i="22"/>
  <c r="R151" i="22"/>
  <c r="S151" i="22"/>
  <c r="T151" i="22"/>
  <c r="R152" i="22"/>
  <c r="S152" i="22"/>
  <c r="T152" i="22"/>
  <c r="R153" i="22"/>
  <c r="S153" i="22"/>
  <c r="T153" i="22"/>
  <c r="R154" i="22"/>
  <c r="S154" i="22"/>
  <c r="T154" i="22"/>
  <c r="R155" i="22"/>
  <c r="S155" i="22"/>
  <c r="T155" i="22"/>
  <c r="R156" i="22"/>
  <c r="S156" i="22"/>
  <c r="T156" i="22"/>
  <c r="R28" i="22"/>
  <c r="T28" i="22"/>
  <c r="S28" i="22"/>
  <c r="N29" i="22"/>
  <c r="N30" i="22"/>
  <c r="N31" i="22"/>
  <c r="N32" i="22"/>
  <c r="N33" i="22"/>
  <c r="N34" i="22"/>
  <c r="N35" i="22"/>
  <c r="N36" i="22"/>
  <c r="N37" i="22"/>
  <c r="N38" i="22"/>
  <c r="N40" i="22"/>
  <c r="N41" i="22"/>
  <c r="N42" i="22"/>
  <c r="N44" i="22"/>
  <c r="N48" i="22"/>
  <c r="N49" i="22"/>
  <c r="N50" i="22"/>
  <c r="N52" i="22"/>
  <c r="N53" i="22"/>
  <c r="N54" i="22"/>
  <c r="N56" i="22"/>
  <c r="N57" i="22"/>
  <c r="N58" i="22"/>
  <c r="N59" i="22"/>
  <c r="N61" i="22"/>
  <c r="N62" i="22"/>
  <c r="N63" i="22"/>
  <c r="N64" i="22"/>
  <c r="N66" i="22"/>
  <c r="N67" i="22"/>
  <c r="N68" i="22"/>
  <c r="N69" i="22"/>
  <c r="N71" i="22"/>
  <c r="N72" i="22"/>
  <c r="N73" i="22"/>
  <c r="N74" i="22"/>
  <c r="N75" i="22"/>
  <c r="N76" i="22"/>
  <c r="N77" i="22"/>
  <c r="N79" i="22"/>
  <c r="N80" i="22"/>
  <c r="N81" i="22"/>
  <c r="N82" i="22"/>
  <c r="N83" i="22"/>
  <c r="N84" i="22"/>
  <c r="N85" i="22"/>
  <c r="N87" i="22"/>
  <c r="N89" i="22"/>
  <c r="N90" i="22"/>
  <c r="N91" i="22"/>
  <c r="N92" i="22"/>
  <c r="N93" i="22"/>
  <c r="N94" i="22"/>
  <c r="N95" i="22"/>
  <c r="N96" i="22"/>
  <c r="N97" i="22"/>
  <c r="N99" i="22"/>
  <c r="N100" i="22"/>
  <c r="N101" i="22"/>
  <c r="N102" i="22"/>
  <c r="N103" i="22"/>
  <c r="N104" i="22"/>
  <c r="N105" i="22"/>
  <c r="N106" i="22"/>
  <c r="N108" i="22"/>
  <c r="N109" i="22"/>
  <c r="N111" i="22"/>
  <c r="N112" i="22"/>
  <c r="N113" i="22"/>
  <c r="N114" i="22"/>
  <c r="N116" i="22"/>
  <c r="N117" i="22"/>
  <c r="N118" i="22"/>
  <c r="N119" i="22"/>
  <c r="N120" i="22"/>
  <c r="N121" i="22"/>
  <c r="N122" i="22"/>
  <c r="N123" i="22"/>
  <c r="N124" i="22"/>
  <c r="N125" i="22"/>
  <c r="N126" i="22"/>
  <c r="N127" i="22"/>
  <c r="N128" i="22"/>
  <c r="N129" i="22"/>
  <c r="N130" i="22"/>
  <c r="N131" i="22"/>
  <c r="N132" i="22"/>
  <c r="N134" i="22"/>
  <c r="N135" i="22"/>
  <c r="N136" i="22"/>
  <c r="N138" i="22"/>
  <c r="N139" i="22"/>
  <c r="N140" i="22"/>
  <c r="N141" i="22"/>
  <c r="N142" i="22"/>
  <c r="N143" i="22"/>
  <c r="N144" i="22"/>
  <c r="N145" i="22"/>
  <c r="N146" i="22"/>
  <c r="N147" i="22"/>
  <c r="N148" i="22"/>
  <c r="N149" i="22"/>
  <c r="N150" i="22"/>
  <c r="N151" i="22"/>
  <c r="N152" i="22"/>
  <c r="N153" i="22"/>
  <c r="N154" i="22"/>
  <c r="N155" i="22"/>
  <c r="N156" i="22"/>
  <c r="N28" i="22"/>
  <c r="O29" i="22"/>
  <c r="P29" i="22"/>
  <c r="O30" i="22"/>
  <c r="P30" i="22"/>
  <c r="O31" i="22"/>
  <c r="P31" i="22"/>
  <c r="O32" i="22"/>
  <c r="P32" i="22"/>
  <c r="O33" i="22"/>
  <c r="P33" i="22"/>
  <c r="O34" i="22"/>
  <c r="P34" i="22"/>
  <c r="O35" i="22"/>
  <c r="P35" i="22"/>
  <c r="O36" i="22"/>
  <c r="P36" i="22"/>
  <c r="O37" i="22"/>
  <c r="P37" i="22"/>
  <c r="O38" i="22"/>
  <c r="P38" i="22"/>
  <c r="O40" i="22"/>
  <c r="P40" i="22"/>
  <c r="O41" i="22"/>
  <c r="P41" i="22"/>
  <c r="O42" i="22"/>
  <c r="P42" i="22"/>
  <c r="P44" i="22"/>
  <c r="O48" i="22"/>
  <c r="P48" i="22"/>
  <c r="O49" i="22"/>
  <c r="P49" i="22"/>
  <c r="O50" i="22"/>
  <c r="P50" i="22"/>
  <c r="O51" i="22"/>
  <c r="P51" i="22"/>
  <c r="O52" i="22"/>
  <c r="P52" i="22"/>
  <c r="O53" i="22"/>
  <c r="P53" i="22"/>
  <c r="O54" i="22"/>
  <c r="P54" i="22"/>
  <c r="O56" i="22"/>
  <c r="P56" i="22"/>
  <c r="O57" i="22"/>
  <c r="P57" i="22"/>
  <c r="O58" i="22"/>
  <c r="P58" i="22"/>
  <c r="O59" i="22"/>
  <c r="P59" i="22"/>
  <c r="O61" i="22"/>
  <c r="P61" i="22"/>
  <c r="O62" i="22"/>
  <c r="P62" i="22"/>
  <c r="O63" i="22"/>
  <c r="P63" i="22"/>
  <c r="O64" i="22"/>
  <c r="P64" i="22"/>
  <c r="O66" i="22"/>
  <c r="P66" i="22"/>
  <c r="O67" i="22"/>
  <c r="P67" i="22"/>
  <c r="O68" i="22"/>
  <c r="P68" i="22"/>
  <c r="O69" i="22"/>
  <c r="P69" i="22"/>
  <c r="O71" i="22"/>
  <c r="P71" i="22"/>
  <c r="O72" i="22"/>
  <c r="P72" i="22"/>
  <c r="O73" i="22"/>
  <c r="P73" i="22"/>
  <c r="O74" i="22"/>
  <c r="P74" i="22"/>
  <c r="O75" i="22"/>
  <c r="P75" i="22"/>
  <c r="O76" i="22"/>
  <c r="P76" i="22"/>
  <c r="O77" i="22"/>
  <c r="P77" i="22"/>
  <c r="O79" i="22"/>
  <c r="P79" i="22"/>
  <c r="O80" i="22"/>
  <c r="P80" i="22"/>
  <c r="O81" i="22"/>
  <c r="P81" i="22"/>
  <c r="O82" i="22"/>
  <c r="P82" i="22"/>
  <c r="O83" i="22"/>
  <c r="P83" i="22"/>
  <c r="O84" i="22"/>
  <c r="P84" i="22"/>
  <c r="O85" i="22"/>
  <c r="P85" i="22"/>
  <c r="O87" i="22"/>
  <c r="P87" i="22"/>
  <c r="O89" i="22"/>
  <c r="P89" i="22"/>
  <c r="O90" i="22"/>
  <c r="P90" i="22"/>
  <c r="O91" i="22"/>
  <c r="P91" i="22"/>
  <c r="O92" i="22"/>
  <c r="P92" i="22"/>
  <c r="O93" i="22"/>
  <c r="P93" i="22"/>
  <c r="O94" i="22"/>
  <c r="P94" i="22"/>
  <c r="O95" i="22"/>
  <c r="P95" i="22"/>
  <c r="O96" i="22"/>
  <c r="P96" i="22"/>
  <c r="O97" i="22"/>
  <c r="P97" i="22"/>
  <c r="O99" i="22"/>
  <c r="P99" i="22"/>
  <c r="O100" i="22"/>
  <c r="P100" i="22"/>
  <c r="O101" i="22"/>
  <c r="P101" i="22"/>
  <c r="O102" i="22"/>
  <c r="P102" i="22"/>
  <c r="O103" i="22"/>
  <c r="P103" i="22"/>
  <c r="O104" i="22"/>
  <c r="P104" i="22"/>
  <c r="O105" i="22"/>
  <c r="P105" i="22"/>
  <c r="O106" i="22"/>
  <c r="P106" i="22"/>
  <c r="O108" i="22"/>
  <c r="P108" i="22"/>
  <c r="O109" i="22"/>
  <c r="P109" i="22"/>
  <c r="O111" i="22"/>
  <c r="P111" i="22"/>
  <c r="O112" i="22"/>
  <c r="P112" i="22"/>
  <c r="O113" i="22"/>
  <c r="P113" i="22"/>
  <c r="O114" i="22"/>
  <c r="P114" i="22"/>
  <c r="O116" i="22"/>
  <c r="P116" i="22"/>
  <c r="O117" i="22"/>
  <c r="P117" i="22"/>
  <c r="O118" i="22"/>
  <c r="P118" i="22"/>
  <c r="O119" i="22"/>
  <c r="P119" i="22"/>
  <c r="O120" i="22"/>
  <c r="P120" i="22"/>
  <c r="O121" i="22"/>
  <c r="P121" i="22"/>
  <c r="O122" i="22"/>
  <c r="P122" i="22"/>
  <c r="O123" i="22"/>
  <c r="P123" i="22"/>
  <c r="O124" i="22"/>
  <c r="P124" i="22"/>
  <c r="O125" i="22"/>
  <c r="P125" i="22"/>
  <c r="O126" i="22"/>
  <c r="P126" i="22"/>
  <c r="O127" i="22"/>
  <c r="P127" i="22"/>
  <c r="O128" i="22"/>
  <c r="P128" i="22"/>
  <c r="O129" i="22"/>
  <c r="P129" i="22"/>
  <c r="O130" i="22"/>
  <c r="P130" i="22"/>
  <c r="O131" i="22"/>
  <c r="P131" i="22"/>
  <c r="O132" i="22"/>
  <c r="P132" i="22"/>
  <c r="O134" i="22"/>
  <c r="P134" i="22"/>
  <c r="O135" i="22"/>
  <c r="P135" i="22"/>
  <c r="O136" i="22"/>
  <c r="P136" i="22"/>
  <c r="O138" i="22"/>
  <c r="P138" i="22"/>
  <c r="O139" i="22"/>
  <c r="P139" i="22"/>
  <c r="O140" i="22"/>
  <c r="P140" i="22"/>
  <c r="O141" i="22"/>
  <c r="P141" i="22"/>
  <c r="O142" i="22"/>
  <c r="P142" i="22"/>
  <c r="O143" i="22"/>
  <c r="P143" i="22"/>
  <c r="O144" i="22"/>
  <c r="P144" i="22"/>
  <c r="O145" i="22"/>
  <c r="P145" i="22"/>
  <c r="O146" i="22"/>
  <c r="P146" i="22"/>
  <c r="O147" i="22"/>
  <c r="P147" i="22"/>
  <c r="O148" i="22"/>
  <c r="P148" i="22"/>
  <c r="O149" i="22"/>
  <c r="P149" i="22"/>
  <c r="O150" i="22"/>
  <c r="P150" i="22"/>
  <c r="O151" i="22"/>
  <c r="P151" i="22"/>
  <c r="O152" i="22"/>
  <c r="P152" i="22"/>
  <c r="O153" i="22"/>
  <c r="P153" i="22"/>
  <c r="O154" i="22"/>
  <c r="P154" i="22"/>
  <c r="O155" i="22"/>
  <c r="P155" i="22"/>
  <c r="O156" i="22"/>
  <c r="P156" i="22"/>
  <c r="P28" i="22"/>
  <c r="O28" i="22"/>
  <c r="H25" i="22" l="1"/>
  <c r="H24" i="22"/>
  <c r="H23" i="22"/>
  <c r="H22" i="22"/>
  <c r="H21" i="22"/>
  <c r="H20" i="22"/>
  <c r="H19" i="22"/>
  <c r="H18" i="22"/>
  <c r="H17" i="22"/>
  <c r="H16" i="22"/>
  <c r="H15" i="22"/>
  <c r="H14" i="22"/>
  <c r="H13" i="22"/>
  <c r="H12" i="22"/>
  <c r="H11" i="22"/>
  <c r="H10" i="22"/>
  <c r="H9" i="22" s="1"/>
  <c r="G25" i="22"/>
  <c r="K25" i="22" s="1"/>
  <c r="G24" i="22"/>
  <c r="K24" i="22" s="1"/>
  <c r="G23" i="22"/>
  <c r="K23" i="22" s="1"/>
  <c r="G22" i="22"/>
  <c r="K22" i="22" s="1"/>
  <c r="G21" i="22"/>
  <c r="K21" i="22" s="1"/>
  <c r="G20" i="22"/>
  <c r="K20" i="22" s="1"/>
  <c r="G19" i="22"/>
  <c r="K19" i="22" s="1"/>
  <c r="G18" i="22"/>
  <c r="K18" i="22" s="1"/>
  <c r="G17" i="22"/>
  <c r="K17" i="22" s="1"/>
  <c r="G16" i="22"/>
  <c r="K16" i="22" s="1"/>
  <c r="G15" i="22"/>
  <c r="K15" i="22" s="1"/>
  <c r="G14" i="22"/>
  <c r="K14" i="22" s="1"/>
  <c r="G13" i="22"/>
  <c r="K13" i="22" s="1"/>
  <c r="G12" i="22"/>
  <c r="K12" i="22" s="1"/>
  <c r="G11" i="22"/>
  <c r="K11" i="22" s="1"/>
  <c r="G10" i="22"/>
  <c r="G9" i="22" l="1"/>
  <c r="K10" i="22"/>
  <c r="Q25" i="22"/>
  <c r="Q24" i="22"/>
  <c r="Q23" i="22"/>
  <c r="Q22" i="22"/>
  <c r="Q21" i="22"/>
  <c r="Q20" i="22"/>
  <c r="Q19" i="22"/>
  <c r="Q18" i="22"/>
  <c r="Q17" i="22"/>
  <c r="Q16" i="22"/>
  <c r="Q15" i="22"/>
  <c r="Q14" i="22"/>
  <c r="Q13" i="22"/>
  <c r="Q12" i="22"/>
  <c r="Q11" i="22"/>
  <c r="Q10" i="22"/>
  <c r="M25" i="22"/>
  <c r="L25" i="22" s="1"/>
  <c r="M24" i="22"/>
  <c r="L24" i="22" s="1"/>
  <c r="M23" i="22"/>
  <c r="L23" i="22" s="1"/>
  <c r="M22" i="22"/>
  <c r="L22" i="22" s="1"/>
  <c r="M21" i="22"/>
  <c r="L21" i="22" s="1"/>
  <c r="M20" i="22"/>
  <c r="L20" i="22" s="1"/>
  <c r="M19" i="22"/>
  <c r="L19" i="22" s="1"/>
  <c r="M18" i="22"/>
  <c r="L18" i="22" s="1"/>
  <c r="M17" i="22"/>
  <c r="L17" i="22" s="1"/>
  <c r="M16" i="22"/>
  <c r="L16" i="22" s="1"/>
  <c r="M15" i="22"/>
  <c r="L15" i="22" s="1"/>
  <c r="M14" i="22"/>
  <c r="L14" i="22" s="1"/>
  <c r="M13" i="22"/>
  <c r="L13" i="22" s="1"/>
  <c r="M12" i="22"/>
  <c r="L12" i="22" s="1"/>
  <c r="M11" i="22"/>
  <c r="L11" i="22" s="1"/>
  <c r="M10" i="22"/>
  <c r="M9" i="22" l="1"/>
  <c r="L10" i="22"/>
  <c r="L9" i="22" s="1"/>
  <c r="Q9" i="22"/>
  <c r="S10" i="22"/>
  <c r="T10" i="22"/>
  <c r="R10" i="22"/>
  <c r="T18" i="22"/>
  <c r="S18" i="22"/>
  <c r="R18" i="22"/>
  <c r="P15" i="22"/>
  <c r="O15" i="22"/>
  <c r="N15" i="22"/>
  <c r="P23" i="22"/>
  <c r="O23" i="22"/>
  <c r="N23" i="22"/>
  <c r="R11" i="22"/>
  <c r="T11" i="22"/>
  <c r="S11" i="22"/>
  <c r="R15" i="22"/>
  <c r="S15" i="22"/>
  <c r="T15" i="22"/>
  <c r="R19" i="22"/>
  <c r="T19" i="22"/>
  <c r="S19" i="22"/>
  <c r="T23" i="22"/>
  <c r="R23" i="22"/>
  <c r="S23" i="22"/>
  <c r="P14" i="22"/>
  <c r="O14" i="22"/>
  <c r="N14" i="22"/>
  <c r="P22" i="22"/>
  <c r="O22" i="22"/>
  <c r="N22" i="22"/>
  <c r="P11" i="22"/>
  <c r="O11" i="22"/>
  <c r="N11" i="22"/>
  <c r="P12" i="22"/>
  <c r="O12" i="22"/>
  <c r="N12" i="22"/>
  <c r="P16" i="22"/>
  <c r="O16" i="22"/>
  <c r="N16" i="22"/>
  <c r="O20" i="22"/>
  <c r="P20" i="22"/>
  <c r="N20" i="22"/>
  <c r="P24" i="22"/>
  <c r="O24" i="22"/>
  <c r="N24" i="22"/>
  <c r="T12" i="22"/>
  <c r="R12" i="22"/>
  <c r="S12" i="22"/>
  <c r="R16" i="22"/>
  <c r="T16" i="22"/>
  <c r="S16" i="22"/>
  <c r="T20" i="22"/>
  <c r="S20" i="22"/>
  <c r="R20" i="22"/>
  <c r="R24" i="22"/>
  <c r="S24" i="22"/>
  <c r="T24" i="22"/>
  <c r="P10" i="22"/>
  <c r="O10" i="22"/>
  <c r="N10" i="22"/>
  <c r="P18" i="22"/>
  <c r="O18" i="22"/>
  <c r="N18" i="22"/>
  <c r="T14" i="22"/>
  <c r="R14" i="22"/>
  <c r="S14" i="22"/>
  <c r="P19" i="22"/>
  <c r="O19" i="22"/>
  <c r="N19" i="22"/>
  <c r="P13" i="22"/>
  <c r="O13" i="22"/>
  <c r="N13" i="22"/>
  <c r="P17" i="22"/>
  <c r="P9" i="22" s="1"/>
  <c r="O17" i="22"/>
  <c r="N17" i="22"/>
  <c r="P21" i="22"/>
  <c r="O21" i="22"/>
  <c r="N21" i="22"/>
  <c r="P25" i="22"/>
  <c r="O25" i="22"/>
  <c r="N25" i="22"/>
  <c r="S13" i="22"/>
  <c r="R13" i="22"/>
  <c r="T13" i="22"/>
  <c r="S17" i="22"/>
  <c r="R17" i="22"/>
  <c r="T17" i="22"/>
  <c r="S21" i="22"/>
  <c r="R21" i="22"/>
  <c r="T21" i="22"/>
  <c r="R25" i="22"/>
  <c r="T25" i="22"/>
  <c r="S25" i="22"/>
  <c r="T22" i="22"/>
  <c r="R22" i="22"/>
  <c r="S22" i="22"/>
  <c r="O9" i="22" l="1"/>
</calcChain>
</file>

<file path=xl/sharedStrings.xml><?xml version="1.0" encoding="utf-8"?>
<sst xmlns="http://schemas.openxmlformats.org/spreadsheetml/2006/main" count="3354" uniqueCount="370">
  <si>
    <t>Prioritārais virziens</t>
  </si>
  <si>
    <t>1</t>
  </si>
  <si>
    <t>2</t>
  </si>
  <si>
    <t>3</t>
  </si>
  <si>
    <t>4</t>
  </si>
  <si>
    <t>5</t>
  </si>
  <si>
    <t>9</t>
  </si>
  <si>
    <t>6</t>
  </si>
  <si>
    <t>7</t>
  </si>
  <si>
    <t>8</t>
  </si>
  <si>
    <t>10</t>
  </si>
  <si>
    <t>11</t>
  </si>
  <si>
    <t>12</t>
  </si>
  <si>
    <t>13</t>
  </si>
  <si>
    <t>14</t>
  </si>
  <si>
    <t>[1] EM - Ekonomikas ministrija; FM - Finanšu ministrija; IZM - Izglītības un zinātnes ministrija; KM - Kultūras ministrija; LM - Labklājības ministrija; SM - Satiksmes ministrija; TM - Tieslietu ministrija; VARAM - Vides aizsardzības un reģionālās attīstības ministrija; VK - Valsts kanceleja; VM - Veselības ministrija; ZM - Zemkopības ministrija</t>
  </si>
  <si>
    <t>[2] ERAF - Eiropas Reģionālās attīstības fonds; ESF - Eiropas Sociālais fonds; KF - Kohēzijas fonds; JNI - ES budžeta speciālais piešķīrums jauniešu nodarbinātības iniciatīvas finansēšanai</t>
  </si>
  <si>
    <t>Specifiskā atbalsta mērķa numurs un nosaukums</t>
  </si>
  <si>
    <t>N.p.k.</t>
  </si>
  <si>
    <t>Tehniskā palīdzība</t>
  </si>
  <si>
    <t>1.1.1.1. Praktiskas ievirzes pētījumi</t>
  </si>
  <si>
    <t>1.1.1.2. Pēcdoktorantūras pētniecība</t>
  </si>
  <si>
    <t>1.1.1.3. Inovāciju granti studentiem</t>
  </si>
  <si>
    <t>1.1.1.4. P&amp;A infrastruktūras attīstība</t>
  </si>
  <si>
    <t>1.1.1.5. Starptautiskā sadarbība P&amp;I</t>
  </si>
  <si>
    <t>1.2.1.1. Kompetences centri</t>
  </si>
  <si>
    <t>1.2.1.2. Tehnoloģiju pārneses sistēma</t>
  </si>
  <si>
    <t xml:space="preserve">1.2.1.4. Jaunu produktu ieviešana </t>
  </si>
  <si>
    <t>1.2.2.1. Nodarbināto apmācības</t>
  </si>
  <si>
    <t>1.2.2.2. Inovāciju motivācijas programma</t>
  </si>
  <si>
    <t>1.2.2.3. IKT un netehnoloģiskām apmācības</t>
  </si>
  <si>
    <t xml:space="preserve">2.1.1. Platjoslas infrastruktūras attīstība </t>
  </si>
  <si>
    <t>2.2.1.2. Kultūras mantojuma digitalizācija</t>
  </si>
  <si>
    <t>3.1.1.1. Aizdevumu garantijas</t>
  </si>
  <si>
    <t>3.1.1.2. Mezanīna aizdevumi</t>
  </si>
  <si>
    <t>3.1.1.3. Biznesa enģeļi</t>
  </si>
  <si>
    <t>3.1.1.4. Mikrokredīti un starta aizdevumi</t>
  </si>
  <si>
    <t>3.1.1.5. Ražošanas telpas</t>
  </si>
  <si>
    <t>3.1.1.6. Biznesa inkubatori</t>
  </si>
  <si>
    <t>3.1.2.1. Riska kapitāls</t>
  </si>
  <si>
    <t>3.1.2.2. Tehnoloģiju akselerators</t>
  </si>
  <si>
    <t>3.2.1.1. Klasteru programma</t>
  </si>
  <si>
    <t>3.2.1.2. Starptautiskā konkurētspēja</t>
  </si>
  <si>
    <t>3.3.1. Publiskā infrastruktūra uzņēmējdarbībai</t>
  </si>
  <si>
    <t>3.4.1. Tiesu un tiesībsargājošo institūciju darbinieku apmācība</t>
  </si>
  <si>
    <t>3.4.2.1. Valsts pārvaldes darbinieku apmācības</t>
  </si>
  <si>
    <t>3.4.2.2. Sociālā dialoga veidošana</t>
  </si>
  <si>
    <t>3.4.2.3. Publisko pakalpojumu pārveides metodoloģijas izstrāde un aprobācija</t>
  </si>
  <si>
    <t>4.1.1. Apstrādes rūpniecības uzņēmumu energoefektivitāte</t>
  </si>
  <si>
    <t xml:space="preserve">4.2.1.1. Daudzīvokļu māju energoefektivitāte </t>
  </si>
  <si>
    <t>4.2.1.2. Valsts ēku energoefektivitāte</t>
  </si>
  <si>
    <t>4.2.2. Pašvaldību ēku energoefektivitāte</t>
  </si>
  <si>
    <t>4.3.1.  Centralizētās siltumapgādes energoefektivitāte</t>
  </si>
  <si>
    <t>4.5.1.1. Tramvaji</t>
  </si>
  <si>
    <t>4.5.1.2. Videi draudzīgi autobusi</t>
  </si>
  <si>
    <t>5.1.1. Plūdu risku samazināšana blīvi apdzīvotās teritorijās</t>
  </si>
  <si>
    <t>5.1.2. Plūdu risku samazināšana lauku teritorijās</t>
  </si>
  <si>
    <t>5.2.1.1. Atkritumu dalītā vākšana</t>
  </si>
  <si>
    <t xml:space="preserve">5.2.1.2. Atkritumu pārstrāde </t>
  </si>
  <si>
    <t>5.2.1.3. Atkritumu reģenerācija</t>
  </si>
  <si>
    <t>5.3.1. Ūdenssaimniecība</t>
  </si>
  <si>
    <t>5.4.1.1. Infrastruktūra Natura 2000 teritorijās</t>
  </si>
  <si>
    <t>5.4.2.1. Biotopu un sugu kartēšana</t>
  </si>
  <si>
    <t>5.4.2.2. Vides monitorings</t>
  </si>
  <si>
    <t>5.4.3. Biotopu un sugu atjaunošana</t>
  </si>
  <si>
    <t>5.5.1. Ieguldījumi kultūras un dabas mantojumā</t>
  </si>
  <si>
    <t>5.6.1. Rīgas revitalizācija</t>
  </si>
  <si>
    <t>5.6.2. Degradēto teritoriju atjaunošana</t>
  </si>
  <si>
    <t>5.6.3. Piesārņoto vietu sanācija</t>
  </si>
  <si>
    <t>6.1.1. Atbalsts lielo ostu attīstībai</t>
  </si>
  <si>
    <t>6.1.2. Atbalsts lidostas "Rīga" attīstībai</t>
  </si>
  <si>
    <t>6.1.3.1. Rīgas tiltu un pārvadu pārbūve</t>
  </si>
  <si>
    <t>6.1.3.2. Torņkalna multimodālais transporta mezgls</t>
  </si>
  <si>
    <t>6.1.4.1. Rīgas pilsētas integrēšana TEN-T tīklā</t>
  </si>
  <si>
    <t>6.1.4.2. Lielo pilsētu integrēšana TEN-T tīklā</t>
  </si>
  <si>
    <t>6.1.5. Galveno autoceļu pārbūve</t>
  </si>
  <si>
    <t>6.2.1.1. Dzelzceļa elektrifikācija</t>
  </si>
  <si>
    <t>6.2.1.2. Dzelzceļa infrastruktūra</t>
  </si>
  <si>
    <t>6.3.1. Reģionālo autoceļu pārbūve</t>
  </si>
  <si>
    <t>7.1.1. Atbalsts bezdarbnieku izglītībai</t>
  </si>
  <si>
    <t>7.1.2.1. EURES tīkla darbība Latvijā</t>
  </si>
  <si>
    <t xml:space="preserve">7.1.2.2. Darba tirgus prognozēšanas sistēmas pilnveide </t>
  </si>
  <si>
    <t>7.2.1.3. Jauniešu garantijas (aktīvās nodarbinātības pasākumi) pēc 2018.gada</t>
  </si>
  <si>
    <t>7.3.1. Darba drošības uzlabošana</t>
  </si>
  <si>
    <t>7.3.2. Gados vecāku nodarbināto darbspēju uzlabošana</t>
  </si>
  <si>
    <t>8.1.1. Ieguldījumi augstskolu STEM infrastruktūrā</t>
  </si>
  <si>
    <t>8.1.2. Ieguldījumi vispārējās izglītības infrastruktūrā</t>
  </si>
  <si>
    <t>8.1.3. Ieguldījumi profesionālās izglītības infrastruktūrā</t>
  </si>
  <si>
    <t>8.1.4. Ieguldījumi koledžu STEM infrastruktūrā</t>
  </si>
  <si>
    <t>8.2.1. Studiju programmu fragmentācijas samazināšana</t>
  </si>
  <si>
    <t>8.2.2. Akadēmiskā personāla stratēģiskās specializācijas stiprināšana</t>
  </si>
  <si>
    <t>8.2.3. Efektīvas pārvaldības nodrošināšana augstskolās</t>
  </si>
  <si>
    <t>8.2.4. Atbalsts EQAR aģentūrai</t>
  </si>
  <si>
    <t>8.3.1.1. Kompetenču pieejas satura aprobācija</t>
  </si>
  <si>
    <t>8.3.1.2. Digitālo, metodisko līdzekļu izstrāde</t>
  </si>
  <si>
    <t>8.3.2.1. Izglītojamo talantu attīstība</t>
  </si>
  <si>
    <t xml:space="preserve">8.3.2.2. Individuālo kompetenču attīstība </t>
  </si>
  <si>
    <t>8.3.3. NVA nereģistrēto NEET jauniešu prasmju attīstīšana</t>
  </si>
  <si>
    <t>8.3.4. Priekšlaicīgas mācību pārtraukšanas samazināšana</t>
  </si>
  <si>
    <t>8.3.5. Karjeras pieejas uzlabošana</t>
  </si>
  <si>
    <t>8.3.6.1. Starptautiskie un nacionālie pētījumi</t>
  </si>
  <si>
    <t>8.3.6.2. Izglītības kvalitātes monitoringa sistēma</t>
  </si>
  <si>
    <t xml:space="preserve">8.4.1. Mūžizglītība </t>
  </si>
  <si>
    <t>8.5.1. Darba vidē balstītās mācības un mācību prakses</t>
  </si>
  <si>
    <t>8.5.2. Profesionālās izglītības kvalifikācijas atbilstība Eiropas prasībām</t>
  </si>
  <si>
    <t xml:space="preserve">8.5.3. Profesionālās izglītības pārvaldība </t>
  </si>
  <si>
    <t>9.1.1.1. Subsidētās darbavietas bezdarbniekiem</t>
  </si>
  <si>
    <t>9.1.1.2. Atbalsts ilgstošajiem bezdarbniekiem</t>
  </si>
  <si>
    <t xml:space="preserve">9.1.1.3. Sociālā uzņēmējdarbība </t>
  </si>
  <si>
    <t>9.1.2. Bijušo ieslodzīto integrācija sabiedrībā</t>
  </si>
  <si>
    <t>9.1.3. Resocializācijas sistēmas efektivitātes paaugstināšana</t>
  </si>
  <si>
    <t>9.1.4.1. Profesionālā rehabilitācija</t>
  </si>
  <si>
    <t>9.1.4.2. Funkcionēšanas novērtēšanas un tehnisko palīglīdzekļu apmaiņas sistēmas izveide</t>
  </si>
  <si>
    <t>9.1.4.3. Bērnu invaliditātes noteikšanas sistēmas pilnveide</t>
  </si>
  <si>
    <t>9.1.4.4. Diskriminācijas novēršana</t>
  </si>
  <si>
    <t>9.2.1.1. Profesionāla sociālā darba attīstība</t>
  </si>
  <si>
    <t>9.2.1.2. Darba tirgus un nabadzības risku pētījumi</t>
  </si>
  <si>
    <t>9.2.1.3. Atbalsts speciālistiem darbam ar bērniem ar uzvedības traucējumiem</t>
  </si>
  <si>
    <t>9.2.2.2. Sociālo pakalpojumu sistēmas pilnveide</t>
  </si>
  <si>
    <t>9.2.3. Veselības tīklu attīstības vadlīnijas un kvalitātes  sistēma</t>
  </si>
  <si>
    <t>9.2.4.1. Kompleksā veselības veicināšana un slimību profilakse</t>
  </si>
  <si>
    <t>9.2.4.2. Veselības veicināšana un slimību profilakse pašvaldībās</t>
  </si>
  <si>
    <t>9.2.5. Ārstu un māsu piesaiste darbam reģioniem</t>
  </si>
  <si>
    <t>9.2.6. Ārstniecības personu tālākizglītība</t>
  </si>
  <si>
    <t>9.3.1.2. Infrastruktūra funkcionalitātes novērtēšanai un tehnisko palīglīdzekļu apmaiņas fonda izveidei</t>
  </si>
  <si>
    <t>9.3.2. Veselības aprūpes infrastruktūra</t>
  </si>
  <si>
    <t>IZM
ERAF</t>
  </si>
  <si>
    <t>EM
ERAF</t>
  </si>
  <si>
    <t>SM
ERAF</t>
  </si>
  <si>
    <t>VARAM
ERAF</t>
  </si>
  <si>
    <t>TM
ESF</t>
  </si>
  <si>
    <t>VK
ESF</t>
  </si>
  <si>
    <t>EM
KF</t>
  </si>
  <si>
    <t>SM
KF</t>
  </si>
  <si>
    <t>ZM
ERAF</t>
  </si>
  <si>
    <t>VARAM
KF</t>
  </si>
  <si>
    <t>KM
ERAF</t>
  </si>
  <si>
    <t>LM
ESF</t>
  </si>
  <si>
    <t>LM
JNI</t>
  </si>
  <si>
    <t>IZM
ESF</t>
  </si>
  <si>
    <t>VM
ESF</t>
  </si>
  <si>
    <t>LM
ERAF</t>
  </si>
  <si>
    <t>VM
ERAF</t>
  </si>
  <si>
    <t>1.PV ERAF</t>
  </si>
  <si>
    <t>2.PV ERAF</t>
  </si>
  <si>
    <t>3.PV ERAF</t>
  </si>
  <si>
    <t>3.PV ESF</t>
  </si>
  <si>
    <t>4.PV ERAF</t>
  </si>
  <si>
    <t>4.PV KF</t>
  </si>
  <si>
    <t>5.PV ERAF</t>
  </si>
  <si>
    <t>5.PV KF</t>
  </si>
  <si>
    <t>6.PV ERAF</t>
  </si>
  <si>
    <t>6.PV KF</t>
  </si>
  <si>
    <t>7.PV ESF</t>
  </si>
  <si>
    <t>7.PV JNI</t>
  </si>
  <si>
    <t>8.PV ERAF</t>
  </si>
  <si>
    <t>8.PV ESF</t>
  </si>
  <si>
    <t>9.PV ERAF</t>
  </si>
  <si>
    <t>9.PV ESF</t>
  </si>
  <si>
    <t>FM
TP</t>
  </si>
  <si>
    <t>10,11,12</t>
  </si>
  <si>
    <t>Prioritārais virziens (PV)</t>
  </si>
  <si>
    <t>2.2.1.1. Ieguldījumi IKT</t>
  </si>
  <si>
    <t>n/a</t>
  </si>
  <si>
    <t>7.2.1.1. ESF Jauniešu garantijas (aktīvās nodarbinātības pasākumi)</t>
  </si>
  <si>
    <t>7.2.1.2. ESF Jauniešu garantijas (profesionālās izglītības pasākumi)</t>
  </si>
  <si>
    <t>7.2.1.1. JNI Jauniešu garantijas (aktīvās nodarbinātības pasākumi)</t>
  </si>
  <si>
    <t>7.2.1.2. JNI Jauniešu garantijas (profesionālās izglītības pasākumi)</t>
  </si>
  <si>
    <t>Snieguma ietvara finanšu rādītāja izpildes prognoze prioritārajos virzienos SAM/SAMP dalījumā</t>
  </si>
  <si>
    <t>1.Atbildīgā iestāde [1];
2.Fonds</t>
  </si>
  <si>
    <t>Piesardzīgā/reālistiskā prognoze</t>
  </si>
  <si>
    <t>% no DP plānotā</t>
  </si>
  <si>
    <t>Riska robeža=minimālais mērķis (rezerves zaudēšanai), %</t>
  </si>
  <si>
    <t>&gt;Pētniecības pieteikuma atlases kārtas novēlotu izsludināšana, 
&gt;1. atlases kārtas pētniecības pieteikumu vēlāka īstenošanas uzsākšana (sakarā ar to, ka tika atlikta līgumu slēgšana un bija neskaidrības ar projekta ietvaros sasniedzamajiem rādītājiem, kas uz doto brīdi ir atrisinātas).</t>
  </si>
  <si>
    <t xml:space="preserve">&gt;Atlases izsludināšanas termiņš
Atlases dokumentācijas saskaņošanas laikā IZM kā Atbildīgā iestāde pieņēma lēmumu projektu iesniegumu atlasi izsludināt 2018.gada jūnijā, nosakot PI iesniegšanas termiņu 2018.gada septembra beigās. Atlase izsludināta 21.06.2018.  atlases termiņš - 01.10.2018., projekta iesniegumu vērtēšanas prognozētais laiks līdz 01.01.2019.Ņemot vērā iepriekšminēto 2018.gadā nav iespējama līgumu par projekta īstenošanu slēgšana un izdevumu attiecināšana.  </t>
  </si>
  <si>
    <t>&gt;Notiek projektu iesniegumu atlase. Attiecīgi ieguldījums finanšu rādītājos iespējams, sākot ar 2018.gada nogali vai 2019.gada sākumu</t>
  </si>
  <si>
    <t>&gt;Projekts tiek īstenots atbilstoši plānotajam, būtiskas problēmas nav konstatētas. FS jau vairāk kā pirms gada informēja, ka finanšu rādītājs netiks sasniegts, jo tas nav reālistiski plānots. Turklāt atbilstoši aktuālākajai informācijai projektā prognozējams finansējuma atlikums, un FS ir iesniedzis priekšlikumu IZM tā novirzīšanai papildu atbalstāmajām darbībām.</t>
  </si>
  <si>
    <t>&gt;Projektu atlase paredzēta 2019.gadā</t>
  </si>
  <si>
    <t>Projekta īstenošanu būtiski aizkavēja tas, ka Pieaugušo izglītības pārvaldības padome, kurā jāsaskaņo pieaugušo mācību piedāvājums, tika izveidota pusgadu vēlāk, nekā plānots, un tika pieņemts lēmums pirmo mācību piedāvājumu sagatavot, balstoties uz 4 nozaru mācību vajadzībām, kaut arī FS bija apkopojis informāciju par 12 nozarēm. Turklāt tika nolemts, ka mācību vajadzības ir jāsaskaņo ar nozaru ekspertu padomēm, bet tās ilgstoši nesniedz savus atzinumus. Līdz šim pieteikšanās mācībām izsludināta jau divas reizes, kur katrā mācībās iesaistīti ap 4000 dalībnieku; rudenī plānots izsludināt trešo pieteikšanos. Finansējuma apguvi ietekmē arī tas, ka samaksa sadarbības partneriem (izglītības iestādēm) par profesionālās tālākizglītības, profesionālās pilnveides un neformālās izglītības programmu īstenošanu tiek veikta atbilstoši vienas vienības izmaksām, līdz ar to izdevumi maksājuma pieprasījumā tiek iekļauti ar laika nobīdi, kad persona ir beigusi mācības.</t>
  </si>
  <si>
    <t>&gt;Kavējumi nepieciešamās dokumentācijas izstrādē, apstiprināšanā projektā
Projektā būtiskākās problēmas rada tas, ka sadarbības partneri (īpaši Latvijas Darba devēju konfederācija) kavē termiņus profesiju standartu izstrādē; nozaru ekspertu padomes savlaicīgi nesniedz atzinumus par izstrādātajiem profesiju standartu projektiem; vairāki iepirkumi par modulāro profesionālās izglītības programmu un mācību līdzekļu izstrādi beigušies bez rezultāta un izsludināti atkārtoti; vairākos gadījumos izstrādātie nodevumi bijuši nekvalitatīvi un nodoti atpakaļ pakalpojuma sniedzējiem pilnveidošanai.</t>
  </si>
  <si>
    <t xml:space="preserve">&gt;Projektu ieviešanas uzsākšanas laiks
Projektu īstenošana uzsākta tikai 2018.gadā, kā arī finansiāli ietilpīgāko projekta darbību, piemēram, gala saņēmēju Eiropas Pētniecības telpas izveides (ERA-Net) projektu administrēšana, īstenošana lielākoties paredzēta, sākot ar 2018.gada nogali un 2019.gadu.  </t>
  </si>
  <si>
    <t>&gt;Būtiskas problēmas projekta vadības kapacitātē 
Nekvalitatīvi sagatavoti maksājumu pieprasījumi, grūti izsekojami deklarēto izdevumu aprēķini, nesakritības starp norādītajiem izdevumiem un pamatojošiem dokumentiem, - šobrīd joprojām izskatīšanā ir maksājuma pieprasījums (MP) par periodu 2017.g. novembris-2018.g.janvāris un MP par periodu 2018.g. februāris-aprīlis. FS būtiski samazinājis 2018.g. izdevumu prognozi, jo sadarbības partneri darbības īsteno mazākā apjomā, nekā plānots (skolām trūkst kapacitātes, jo esošiem pedagogiem jau ir pilnas darba slodzes, ņemot vērā, ka skolas piedalās arī 8.3.2.1., 8.3.2.2. un 8.3.5.SAM projektos, vai trūkst pedagoģiskā un atbalsta personāla). Dati par projektā iesaistītajiem dalībniekiem, īstenotajām aktivitātēm un sadarbības partneru izdevumiem tiek apstrādāti manuāli, jo vēl nav izstrādāta datu operatīvās uzskaites sistēma (ir veikts centralizētais IZM iepirkums un uzsākta sistēmas izstrāde). Projektā arī aizkavējušies vairāki iepirkumi - iepirkumu dokumentācija nekvalitatīvi sagatavota un atbilstoši CFLA komentāriem tiek vairākkārt precizēta, pārtraucot iepirkumus un izsludinot tos atkārtoti.</t>
  </si>
  <si>
    <t>&gt;Kavējumi nepieciešamā normatīvā regulējuma izstrādē, apstiprināšanā 
&gt;Problēmas projekta vadības kapacitātē
Projekta uzsākšanu aizkavēja tas, ka nebija savlaicīgi izstrādāts normatīvais regulējums darba vidē balstīto mācību īstenošanai; projekta īstenošana faktiski tika uzsākta 2017.g. rudenī. Turklāt novērojamas būtiskas problēmas projekta vadības kapacitātē: nekvalitatīvi sagatavoti maksājumu pieprasījumi, trūkst izdevumus pamatojošie dokumenti, projekta īstenošanā konstatētas atkāpes no normatīvajiem aktiem, par kurām lūgts nozares ministrijas viedoklis, - šobrīd joprojām izskatīšanā ir maksājuma pieprasījums (MP) par periodu 2017.g. oktobris - decembris un MP par periodu 2018.g. janvāris - marts.</t>
  </si>
  <si>
    <t>Potenciālā prognoze ar optimālu maksājumu apjomu 2019.gada sākumā</t>
  </si>
  <si>
    <r>
      <rPr>
        <b/>
        <sz val="16"/>
        <rFont val="Calibri"/>
        <family val="2"/>
        <charset val="186"/>
        <scheme val="minor"/>
      </rPr>
      <t>Trūkst līdz 65% vērtībai</t>
    </r>
    <r>
      <rPr>
        <b/>
        <sz val="16"/>
        <color rgb="FFFF0000"/>
        <rFont val="Calibri"/>
        <family val="2"/>
        <charset val="186"/>
        <scheme val="minor"/>
      </rPr>
      <t xml:space="preserve">
(EK maksājumu apturēšana)</t>
    </r>
  </si>
  <si>
    <r>
      <rPr>
        <b/>
        <sz val="16"/>
        <rFont val="Calibri"/>
        <family val="2"/>
        <charset val="186"/>
        <scheme val="minor"/>
      </rPr>
      <t xml:space="preserve">Trūkst līdz riska robežai, 
</t>
    </r>
    <r>
      <rPr>
        <b/>
        <sz val="16"/>
        <color rgb="FFFF0000"/>
        <rFont val="Calibri"/>
        <family val="2"/>
        <charset val="186"/>
        <scheme val="minor"/>
      </rPr>
      <t>(rezerves zaudēšana)</t>
    </r>
  </si>
  <si>
    <t>Izpildes prognoze</t>
  </si>
  <si>
    <t>Snieguma ietvara mērķis, visi finansējuma avoti, milj. EUR</t>
  </si>
  <si>
    <t>Snieguma rezerve, ES fondu daļa, milj. EUR</t>
  </si>
  <si>
    <t>Snieguma ietvara finanšu rādītāja plānotā izpilde 2018.gadā
 (visi finansējuma avoti), milj. EUR</t>
  </si>
  <si>
    <t>10.07.2018.</t>
  </si>
  <si>
    <r>
      <t>&gt;</t>
    </r>
    <r>
      <rPr>
        <b/>
        <sz val="18"/>
        <rFont val="Calibri"/>
        <family val="2"/>
        <charset val="186"/>
        <scheme val="minor"/>
      </rPr>
      <t>Nekvalitatīvi sagatavoti maksājuma pieprasījumi. Sarežģīta attiecināmo izmaksu aprēķināšanas struktūra - paildzina procesus</t>
    </r>
    <r>
      <rPr>
        <sz val="18"/>
        <rFont val="Calibri"/>
        <family val="2"/>
        <charset val="186"/>
        <scheme val="minor"/>
      </rPr>
      <t>.
Projektu iesniegumu atlasē prasītā augstā projektu gatavības pakāpe rezultējās projektos, kur pēc vienošanās noslēgšanas liela daļa aktivitāšu jau ir pabeigtas un FS ir jāiesniedz maksājumu pieprasījumi (MP) par notikušām aktivitātēm. Šādā veidā iesniegtie MP un pamatojošie dokumenti bieži ir nekvalitatīvi sagatavoti un nenodrošina veikto izdevumu izsekojamību. Papildus MP sagatavošanas un izvērtēšanas procesu apgrūtina MK noteikumu sarežģītā attiecināmo izmaksu aprēķināšanas struktūra,  līdz ar to CFLA jāveic papildus analītisks darbs par jau veiktu izdevumu sadalīšanu attiecināmajos un neattiecināmajos izdevumos atbilstoši MK noteikumos iestrādātajiem ierobežojumiem.
&gt;</t>
    </r>
    <r>
      <rPr>
        <b/>
        <sz val="18"/>
        <rFont val="Calibri"/>
        <family val="2"/>
        <charset val="186"/>
        <scheme val="minor"/>
      </rPr>
      <t>Ar būvniecību saistītas problēmas (būvniecības nozares kapacitāte, sadārdzinājums)</t>
    </r>
    <r>
      <rPr>
        <sz val="18"/>
        <rFont val="Calibri"/>
        <family val="2"/>
        <charset val="186"/>
        <scheme val="minor"/>
      </rPr>
      <t xml:space="preserve">
Projektos, kuros paredzētas ar būvdarbiem saistītas aktivitātes, kuras netika uzsāktas jau 2015./2016.gadā, ietekmē ierobežotā būvniecības </t>
    </r>
    <r>
      <rPr>
        <b/>
        <sz val="18"/>
        <rFont val="Calibri"/>
        <family val="2"/>
        <charset val="186"/>
        <scheme val="minor"/>
      </rPr>
      <t>nozares kapacitāte</t>
    </r>
    <r>
      <rPr>
        <sz val="18"/>
        <rFont val="Calibri"/>
        <family val="2"/>
        <charset val="186"/>
        <scheme val="minor"/>
      </rPr>
      <t xml:space="preserve">, kas nespēj nodrošināt 2017./2018.gadā pieaugušā pieprasījuma apmierināšanu. Gan būvdarbu un būvuzraudzības iepirkumos, gan būvdarbu projektēšanas iepirkumu stadijā ir konstatēts </t>
    </r>
    <r>
      <rPr>
        <b/>
        <sz val="18"/>
        <rFont val="Calibri"/>
        <family val="2"/>
        <charset val="186"/>
        <scheme val="minor"/>
      </rPr>
      <t>izteikts konkurences trūkums un būtiski izmaksu pieaugumi.</t>
    </r>
    <r>
      <rPr>
        <sz val="18"/>
        <rFont val="Calibri"/>
        <family val="2"/>
        <charset val="186"/>
        <scheme val="minor"/>
      </rPr>
      <t xml:space="preserve"> Nepietiekamas konkurences apstākļos tiek </t>
    </r>
    <r>
      <rPr>
        <b/>
        <sz val="18"/>
        <rFont val="Calibri"/>
        <family val="2"/>
        <charset val="186"/>
        <scheme val="minor"/>
      </rPr>
      <t>kavēti projektēšanas līgumu izpildes termiņi</t>
    </r>
    <r>
      <rPr>
        <sz val="18"/>
        <rFont val="Calibri"/>
        <family val="2"/>
        <charset val="186"/>
        <scheme val="minor"/>
      </rPr>
      <t xml:space="preserve">, izstrādātie </t>
    </r>
    <r>
      <rPr>
        <b/>
        <sz val="18"/>
        <rFont val="Calibri"/>
        <family val="2"/>
        <charset val="186"/>
        <scheme val="minor"/>
      </rPr>
      <t>projekti ir zemā kvalitātē</t>
    </r>
    <r>
      <rPr>
        <sz val="18"/>
        <rFont val="Calibri"/>
        <family val="2"/>
        <charset val="186"/>
        <scheme val="minor"/>
      </rPr>
      <t xml:space="preserve"> un tiem tiek veiktas atkārtotas ekspertīzes, kas k</t>
    </r>
    <r>
      <rPr>
        <b/>
        <sz val="18"/>
        <rFont val="Calibri"/>
        <family val="2"/>
        <charset val="186"/>
        <scheme val="minor"/>
      </rPr>
      <t>avē būvdarbu iepirkumu uzsākšanu</t>
    </r>
    <r>
      <rPr>
        <sz val="18"/>
        <rFont val="Calibri"/>
        <family val="2"/>
        <charset val="186"/>
        <scheme val="minor"/>
      </rPr>
      <t xml:space="preserve"> un ietekmē FS spēju realizēt projektu paredzētā laika un budžeta ietvaros.</t>
    </r>
  </si>
  <si>
    <r>
      <t>&gt;</t>
    </r>
    <r>
      <rPr>
        <b/>
        <sz val="18"/>
        <rFont val="Calibri"/>
        <family val="2"/>
        <charset val="186"/>
        <scheme val="minor"/>
      </rPr>
      <t>Ar būvniecību saistītas problēmas (būvniecības nozares kapacitāte, sadārdzinājums)</t>
    </r>
    <r>
      <rPr>
        <sz val="18"/>
        <rFont val="Calibri"/>
        <family val="2"/>
        <charset val="186"/>
        <scheme val="minor"/>
      </rPr>
      <t xml:space="preserve">
Projektus, kuros paredzētas ar būvdarbiem saistītas aktivitātes, kuras netika uzsāktas jau 2015./2016.gadā, ietekmē ierobežotā būvniecības nozares kapacitāte, kas nespēj nodrošināt 2017/2018.gadā pieaugušā pieprasījuma apmierināšanu. Jau būvdarbu projektēšanas iepirkumu stadijā ir konstatēts </t>
    </r>
    <r>
      <rPr>
        <b/>
        <sz val="18"/>
        <rFont val="Calibri"/>
        <family val="2"/>
        <charset val="186"/>
        <scheme val="minor"/>
      </rPr>
      <t>izteikts konkurences trūkums un būtiski projektēšanas un autoruzraudzības izmaksu pieaugumi</t>
    </r>
    <r>
      <rPr>
        <sz val="18"/>
        <rFont val="Calibri"/>
        <family val="2"/>
        <charset val="186"/>
        <scheme val="minor"/>
      </rPr>
      <t xml:space="preserve">, nepietiekamas konkurences apstākļos tiek </t>
    </r>
    <r>
      <rPr>
        <b/>
        <sz val="18"/>
        <rFont val="Calibri"/>
        <family val="2"/>
        <charset val="186"/>
        <scheme val="minor"/>
      </rPr>
      <t>kavēti projektēšanas līgumu izpildes termiņ</t>
    </r>
    <r>
      <rPr>
        <sz val="18"/>
        <rFont val="Calibri"/>
        <family val="2"/>
        <charset val="186"/>
        <scheme val="minor"/>
      </rPr>
      <t xml:space="preserve">i, izstrādātie projekti bieži ir zemā kvalitātē un tiem tiek veiktas atkārtotas ekspertīzes, kas kavē būvdarbu iepirkumu procesa uzsākšanu. Ņemot vērā būvniecības nozares izteiktu sezonalitāti un </t>
    </r>
    <r>
      <rPr>
        <b/>
        <sz val="18"/>
        <rFont val="Calibri"/>
        <family val="2"/>
        <charset val="186"/>
        <scheme val="minor"/>
      </rPr>
      <t>novēloti izsludinātos būvdarbu iepirkumus</t>
    </r>
    <r>
      <rPr>
        <sz val="18"/>
        <rFont val="Calibri"/>
        <family val="2"/>
        <charset val="186"/>
        <scheme val="minor"/>
      </rPr>
      <t>, ir vērojams arī konkurences trūkums būvdarbu un būvuzraudzības iepirkumos, līdz ar to veidojas iepriekš neplānots būvdarbu sadārdzinājums, kas ietekmē iepirkumu rezultātus un FS (finansējuma saņēmējs) spēju realizēt projektu paredzētā laika un budžetā ietvaros.
&gt;</t>
    </r>
    <r>
      <rPr>
        <b/>
        <sz val="18"/>
        <rFont val="Calibri"/>
        <family val="2"/>
        <charset val="186"/>
        <scheme val="minor"/>
      </rPr>
      <t>Aprīkojuma iegāde</t>
    </r>
    <r>
      <rPr>
        <sz val="18"/>
        <rFont val="Calibri"/>
        <family val="2"/>
        <charset val="186"/>
        <scheme val="minor"/>
      </rPr>
      <t xml:space="preserve"> daudziem projektiem paredzēta pēc būvdarbu pabeigšanas - tieši </t>
    </r>
    <r>
      <rPr>
        <b/>
        <sz val="18"/>
        <rFont val="Calibri"/>
        <family val="2"/>
        <charset val="186"/>
        <scheme val="minor"/>
      </rPr>
      <t xml:space="preserve">atkarīga no būvniecības </t>
    </r>
    <r>
      <rPr>
        <sz val="18"/>
        <rFont val="Calibri"/>
        <family val="2"/>
        <charset val="186"/>
        <scheme val="minor"/>
      </rPr>
      <t>procesa norises progresa.</t>
    </r>
  </si>
  <si>
    <r>
      <t>&gt;</t>
    </r>
    <r>
      <rPr>
        <b/>
        <sz val="18"/>
        <rFont val="Calibri"/>
        <family val="2"/>
        <charset val="186"/>
        <scheme val="minor"/>
      </rPr>
      <t>Ar būvniecību saistītas problēmas (būvniecības nozares kapacitāte, sadārdzinājums)</t>
    </r>
    <r>
      <rPr>
        <sz val="18"/>
        <rFont val="Calibri"/>
        <family val="2"/>
        <charset val="186"/>
        <scheme val="minor"/>
      </rPr>
      <t xml:space="preserve">
Projektos, kuros paredzētas ar būvdarbiem saistītas aktivitātes, kuras netika uzsāktas jau 2015./2016.gadā, ietekmē ierobežotā </t>
    </r>
    <r>
      <rPr>
        <b/>
        <sz val="18"/>
        <rFont val="Calibri"/>
        <family val="2"/>
        <charset val="186"/>
        <scheme val="minor"/>
      </rPr>
      <t>būvniecības nozares kapacitāte,</t>
    </r>
    <r>
      <rPr>
        <sz val="18"/>
        <rFont val="Calibri"/>
        <family val="2"/>
        <charset val="186"/>
        <scheme val="minor"/>
      </rPr>
      <t xml:space="preserve"> kas nespēj nodrošināt 2017./2018.gadā pieaugošā pieprasījuma apmierināšanu. Jau būvdarbu projektēšanas iepirkumu stadijā ir konstatēts </t>
    </r>
    <r>
      <rPr>
        <b/>
        <sz val="18"/>
        <rFont val="Calibri"/>
        <family val="2"/>
        <charset val="186"/>
        <scheme val="minor"/>
      </rPr>
      <t>izteikts konkurences trūkums un būtiski projektēšanas un autoruzraudzības izmaksu pieaugumi</t>
    </r>
    <r>
      <rPr>
        <sz val="18"/>
        <rFont val="Calibri"/>
        <family val="2"/>
        <charset val="186"/>
        <scheme val="minor"/>
      </rPr>
      <t>, nepietiekamas konkurences apstākļos tiek k</t>
    </r>
    <r>
      <rPr>
        <b/>
        <sz val="18"/>
        <rFont val="Calibri"/>
        <family val="2"/>
        <charset val="186"/>
        <scheme val="minor"/>
      </rPr>
      <t>avēti projektēšanas līgumu izpildes termiņi</t>
    </r>
    <r>
      <rPr>
        <sz val="18"/>
        <rFont val="Calibri"/>
        <family val="2"/>
        <charset val="186"/>
        <scheme val="minor"/>
      </rPr>
      <t xml:space="preserve">, izstrādātie projekti bieži ir </t>
    </r>
    <r>
      <rPr>
        <b/>
        <sz val="18"/>
        <rFont val="Calibri"/>
        <family val="2"/>
        <charset val="186"/>
        <scheme val="minor"/>
      </rPr>
      <t>zemā kvalitātē</t>
    </r>
    <r>
      <rPr>
        <sz val="18"/>
        <rFont val="Calibri"/>
        <family val="2"/>
        <charset val="186"/>
        <scheme val="minor"/>
      </rPr>
      <t xml:space="preserve"> un tiem tiek veiktas atkārtotas ekspertīzes, kas kavē būvdarbu iepirkumu procesa uzsākšanu. Ņemot vērā būvniecības nozares izteiktu sezonalitāti un novēloti izsludinātos būvdarbu iepirkumus ir vērojams arī konkurences trūkums būvdarbu un būvuzraudzības iepirkumos, līdz ar to veidojas iepriekš neplānots </t>
    </r>
    <r>
      <rPr>
        <b/>
        <sz val="18"/>
        <rFont val="Calibri"/>
        <family val="2"/>
        <charset val="186"/>
        <scheme val="minor"/>
      </rPr>
      <t>būvdarbu sadārdzinājums</t>
    </r>
    <r>
      <rPr>
        <sz val="18"/>
        <rFont val="Calibri"/>
        <family val="2"/>
        <charset val="186"/>
        <scheme val="minor"/>
      </rPr>
      <t xml:space="preserve">, kas ietekmē iepirkumu rezultātus un FS spēju realizēt projektu paredzētā laika un budžetā ietvaros.
</t>
    </r>
    <r>
      <rPr>
        <b/>
        <sz val="18"/>
        <rFont val="Calibri"/>
        <family val="2"/>
        <charset val="186"/>
        <scheme val="minor"/>
      </rPr>
      <t>&gt;Aprīkojuma iegāde daudziem projektiem paredzēta pēc būvdarbu pabeigšanas - tieši atkarīga no būvniecības procesa norises progresa.</t>
    </r>
  </si>
  <si>
    <t xml:space="preserve">Prioritārais virziens
/
Finansējums kopā, visi finansējuma avoti, milj. EUR
</t>
  </si>
  <si>
    <t>4.4.1. Elektrotransport-
līdzekļu infrastruktūra</t>
  </si>
  <si>
    <t>9.3.1.1. Infrastruktūra deinstitucionali-
zācijai</t>
  </si>
  <si>
    <t>9.2.2.1. Deinstitucionali-
zācija</t>
  </si>
  <si>
    <r>
      <t>Projektu ieviešanu ietekmē izmaksu sadārdzinājums (</t>
    </r>
    <r>
      <rPr>
        <b/>
        <sz val="18"/>
        <rFont val="Calibri"/>
        <family val="2"/>
        <charset val="186"/>
        <scheme val="minor"/>
      </rPr>
      <t>būvdarbu izmaksas 30-50% apmērā pārsniedz iepriekš prognozētās summas</t>
    </r>
    <r>
      <rPr>
        <sz val="18"/>
        <rFont val="Calibri"/>
        <family val="2"/>
        <charset val="186"/>
        <scheme val="minor"/>
      </rPr>
      <t xml:space="preserve">). </t>
    </r>
    <r>
      <rPr>
        <b/>
        <sz val="18"/>
        <rFont val="Calibri"/>
        <family val="2"/>
        <charset val="186"/>
        <scheme val="minor"/>
      </rPr>
      <t>Finansējuma saņēmēji spiesti pārtraukt iepirkumus bez rezultātiem</t>
    </r>
    <r>
      <rPr>
        <sz val="18"/>
        <rFont val="Calibri"/>
        <family val="2"/>
        <charset val="186"/>
        <scheme val="minor"/>
      </rPr>
      <t xml:space="preserve">, pārskatīt tehnisko projektu risinājumus un sludināt iepirkumus atkārtoti, bet atsevišķos gadījumos pat atteikties no projektu tālākas realizācijas. 
Progresu ietekmēja arī ilgstošās </t>
    </r>
    <r>
      <rPr>
        <b/>
        <sz val="18"/>
        <rFont val="Calibri"/>
        <family val="2"/>
        <charset val="186"/>
        <scheme val="minor"/>
      </rPr>
      <t>neskaidrības par finansējumu ilgtermiņa aprūpes iestādēm.</t>
    </r>
  </si>
  <si>
    <r>
      <rPr>
        <b/>
        <sz val="18"/>
        <rFont val="Calibri"/>
        <family val="2"/>
        <charset val="186"/>
        <scheme val="minor"/>
      </rPr>
      <t>Ogres projektā</t>
    </r>
    <r>
      <rPr>
        <sz val="18"/>
        <rFont val="Calibri"/>
        <family val="2"/>
        <charset val="186"/>
        <scheme val="minor"/>
      </rPr>
      <t xml:space="preserve"> tehnisku apstākļu dēļ </t>
    </r>
    <r>
      <rPr>
        <b/>
        <sz val="18"/>
        <rFont val="Calibri"/>
        <family val="2"/>
        <charset val="186"/>
        <scheme val="minor"/>
      </rPr>
      <t>nācās izstrādāt citu tehnoloģisko risinājumu</t>
    </r>
    <r>
      <rPr>
        <sz val="18"/>
        <rFont val="Calibri"/>
        <family val="2"/>
        <charset val="186"/>
        <scheme val="minor"/>
      </rPr>
      <t xml:space="preserve">, kas bija gan laikietilpīgi un pārbīdīja sākotnēji plānotos maksājumu pieprasījumu iesniegšanas datumus. </t>
    </r>
  </si>
  <si>
    <r>
      <t xml:space="preserve">Gandrīz visos projektos iepirkumu veikšanu plāno 2019. un 2020. gadā. Šajā gadā plānotie </t>
    </r>
    <r>
      <rPr>
        <b/>
        <sz val="18"/>
        <rFont val="Calibri"/>
        <family val="2"/>
        <charset val="186"/>
        <scheme val="minor"/>
      </rPr>
      <t>iepirkumi aizkavējušies, jo</t>
    </r>
    <r>
      <rPr>
        <sz val="18"/>
        <rFont val="Calibri"/>
        <family val="2"/>
        <charset val="186"/>
        <scheme val="minor"/>
      </rPr>
      <t xml:space="preserve"> finansējuma saņēmējam bija </t>
    </r>
    <r>
      <rPr>
        <b/>
        <sz val="18"/>
        <rFont val="Calibri"/>
        <family val="2"/>
        <charset val="186"/>
        <scheme val="minor"/>
      </rPr>
      <t>nepieciešams izpētīt dažādus risinājumus tehnoloģiskās līnijas tehniskajam izpildījumam.</t>
    </r>
  </si>
  <si>
    <r>
      <t>Finanšu rādītāja sasniegšanu ļoti ietekmē iepirkumu gaita (</t>
    </r>
    <r>
      <rPr>
        <b/>
        <sz val="18"/>
        <rFont val="Calibri"/>
        <family val="2"/>
        <charset val="186"/>
        <scheme val="minor"/>
      </rPr>
      <t>pārsūdzības, iepirkums bez rezultāta, sadārdzinājums, aizkavēšanās darbu izpildē</t>
    </r>
    <r>
      <rPr>
        <sz val="18"/>
        <rFont val="Calibri"/>
        <family val="2"/>
        <charset val="186"/>
        <scheme val="minor"/>
      </rPr>
      <t xml:space="preserve">) un attiecīgi būvniecības sezonalitāte. </t>
    </r>
  </si>
  <si>
    <r>
      <t xml:space="preserve">Būtiskākās problēmas ir iepirkumu rezultātā konstatētie </t>
    </r>
    <r>
      <rPr>
        <b/>
        <sz val="18"/>
        <rFont val="Calibri"/>
        <family val="2"/>
        <charset val="186"/>
        <scheme val="minor"/>
      </rPr>
      <t>izmaksu pieaugumi gan projektēšanai un būvuzraudzībai, gan būvdarbiem</t>
    </r>
    <r>
      <rPr>
        <sz val="18"/>
        <rFont val="Calibri"/>
        <family val="2"/>
        <charset val="186"/>
        <scheme val="minor"/>
      </rPr>
      <t xml:space="preserve">, kā arī saistību neizpilde un termiņu neievērošana no pakalpojuma sniedzēju puses.
</t>
    </r>
    <r>
      <rPr>
        <b/>
        <sz val="18"/>
        <rFont val="Calibri"/>
        <family val="2"/>
        <charset val="186"/>
        <scheme val="minor"/>
      </rPr>
      <t>Pilsētu Integrēti teritoriālo investīciju projektu komisijām bieži vien nepieciešams ilgāks laiks projektu izvērtēšanai.</t>
    </r>
  </si>
  <si>
    <r>
      <t xml:space="preserve">1.PV "Pētniecība un inovācijas" ERAF - riska robeža rezerves zaudēšanai </t>
    </r>
    <r>
      <rPr>
        <b/>
        <u/>
        <sz val="22"/>
        <rFont val="Calibri"/>
        <family val="2"/>
        <charset val="186"/>
        <scheme val="minor"/>
      </rPr>
      <t>75%</t>
    </r>
  </si>
  <si>
    <r>
      <t xml:space="preserve">4.PV "Energoefektivitāte" KF - riska robeža rezerves zaudēšanai </t>
    </r>
    <r>
      <rPr>
        <b/>
        <u/>
        <sz val="22"/>
        <rFont val="Calibri"/>
        <family val="2"/>
        <charset val="186"/>
        <scheme val="minor"/>
      </rPr>
      <t>75%</t>
    </r>
  </si>
  <si>
    <r>
      <t xml:space="preserve">5.PV "Vide un teritoriālā attīstība" ERAF - riska robeža rezerves zaudēšanai </t>
    </r>
    <r>
      <rPr>
        <b/>
        <u/>
        <sz val="22"/>
        <rFont val="Calibri"/>
        <family val="2"/>
        <charset val="186"/>
        <scheme val="minor"/>
      </rPr>
      <t>75%</t>
    </r>
  </si>
  <si>
    <r>
      <t xml:space="preserve">5.PV "Vide un teritoriālā attīstība" KF - riska robeža rezerves zaudēšanai </t>
    </r>
    <r>
      <rPr>
        <b/>
        <u/>
        <sz val="22"/>
        <rFont val="Calibri"/>
        <family val="2"/>
        <charset val="186"/>
        <scheme val="minor"/>
      </rPr>
      <t>85%</t>
    </r>
  </si>
  <si>
    <r>
      <t xml:space="preserve">6.PV "Transports" ERAF - riska robeža rezerves zaudēšanai </t>
    </r>
    <r>
      <rPr>
        <b/>
        <u/>
        <sz val="22"/>
        <rFont val="Calibri"/>
        <family val="2"/>
        <charset val="186"/>
        <scheme val="minor"/>
      </rPr>
      <t>75%</t>
    </r>
  </si>
  <si>
    <r>
      <t xml:space="preserve">6.PV "Transports" KF - riska robeža rezerves zaudēšanai </t>
    </r>
    <r>
      <rPr>
        <b/>
        <u/>
        <sz val="22"/>
        <rFont val="Calibri"/>
        <family val="2"/>
        <charset val="186"/>
        <scheme val="minor"/>
      </rPr>
      <t>75%</t>
    </r>
  </si>
  <si>
    <r>
      <t xml:space="preserve">7.PV "Nodarbinātība" ESF - riska robeža rezerves zaudēšanai </t>
    </r>
    <r>
      <rPr>
        <b/>
        <u/>
        <sz val="22"/>
        <rFont val="Calibri"/>
        <family val="2"/>
        <charset val="186"/>
        <scheme val="minor"/>
      </rPr>
      <t>85%</t>
    </r>
  </si>
  <si>
    <r>
      <t xml:space="preserve">7.PV "Nodarbinātība" JNI - riska robeža rezerves zaudēšanai </t>
    </r>
    <r>
      <rPr>
        <b/>
        <u/>
        <sz val="22"/>
        <rFont val="Calibri"/>
        <family val="2"/>
        <charset val="186"/>
        <scheme val="minor"/>
      </rPr>
      <t>85%</t>
    </r>
  </si>
  <si>
    <r>
      <t xml:space="preserve">8.PV "Izglītība" ERAF - riska robeža rezerves zaudēšanai </t>
    </r>
    <r>
      <rPr>
        <b/>
        <u/>
        <sz val="22"/>
        <rFont val="Calibri"/>
        <family val="2"/>
        <charset val="186"/>
        <scheme val="minor"/>
      </rPr>
      <t>85%</t>
    </r>
  </si>
  <si>
    <r>
      <t xml:space="preserve">8.PV "Izglītība" ESF - riska robeža rezerves zaudēšanai </t>
    </r>
    <r>
      <rPr>
        <b/>
        <u/>
        <sz val="22"/>
        <rFont val="Calibri"/>
        <family val="2"/>
        <charset val="186"/>
        <scheme val="minor"/>
      </rPr>
      <t>75%</t>
    </r>
  </si>
  <si>
    <r>
      <t xml:space="preserve">9.PV "Sociālā iekļaušana" ERAF - riska robeža rezerves zaudēšanai </t>
    </r>
    <r>
      <rPr>
        <b/>
        <u/>
        <sz val="22"/>
        <rFont val="Calibri"/>
        <family val="2"/>
        <charset val="186"/>
        <scheme val="minor"/>
      </rPr>
      <t>75%</t>
    </r>
  </si>
  <si>
    <r>
      <t xml:space="preserve">9.PV "Sociālā iekļaušana" ESF - riska robeža rezerves zaudēšanai </t>
    </r>
    <r>
      <rPr>
        <b/>
        <u/>
        <sz val="22"/>
        <rFont val="Calibri"/>
        <family val="2"/>
        <charset val="186"/>
        <scheme val="minor"/>
      </rPr>
      <t>75%</t>
    </r>
  </si>
  <si>
    <r>
      <t xml:space="preserve">Daudzdzīvokļu energoefektivitātes programmas finanšu instrumenta izmantošanas </t>
    </r>
    <r>
      <rPr>
        <b/>
        <sz val="18"/>
        <rFont val="Calibri"/>
        <family val="2"/>
        <charset val="186"/>
        <scheme val="minor"/>
      </rPr>
      <t>tempu kritumu ietekmēja bezmaksas Eiropas Investīciju fonda Eiropas mazo un vidējo uzņēmumu konkurētspējas veicināšanas programmas (COSME) garantijas</t>
    </r>
    <r>
      <rPr>
        <sz val="18"/>
        <rFont val="Calibri"/>
        <family val="2"/>
        <charset val="186"/>
        <scheme val="minor"/>
      </rPr>
      <t xml:space="preserve">, kuras izmanto viens no lielākajiem energoefektivitātes projektu finansētājiem. Līdz ar to būtiski mainījās iepriekšējā gada prognoze par 60% no kopējā projektu skaita ar Altum garantijām, šogad ir tikai 40%. 
Savukārt daudzdzīvokļu energoefektivitātes granta projekta īstenošanas </t>
    </r>
    <r>
      <rPr>
        <b/>
        <sz val="18"/>
        <rFont val="Calibri"/>
        <family val="2"/>
        <charset val="186"/>
        <scheme val="minor"/>
      </rPr>
      <t>aizkavēšanos ietekmē Altum iekšējās informācijas apmaiņas mehānisms ar komercbankām (informācija tiek iegūta ar vairāku mēnešu aizkavēšanos), kā arī ar būvmateriālu (akmensvates) trūkums tirgū.</t>
    </r>
  </si>
  <si>
    <r>
      <t xml:space="preserve">Progresu ietekmē tirgus nesabalansētība </t>
    </r>
    <r>
      <rPr>
        <b/>
        <sz val="18"/>
        <rFont val="Calibri"/>
        <family val="2"/>
        <charset val="186"/>
        <scheme val="minor"/>
      </rPr>
      <t>projektēšanas, būvniecības, būvuzraudzības un būvmateriālu piegādes jomās - pieprasījums ievērojami pārsniedz piedāvājumu</t>
    </r>
    <r>
      <rPr>
        <sz val="18"/>
        <rFont val="Calibri"/>
        <family val="2"/>
        <charset val="186"/>
        <scheme val="minor"/>
      </rPr>
      <t xml:space="preserve">.
No šī brīža iepirkumu rezultātiem redzams, ka </t>
    </r>
    <r>
      <rPr>
        <b/>
        <sz val="18"/>
        <rFont val="Calibri"/>
        <family val="2"/>
        <charset val="186"/>
        <scheme val="minor"/>
      </rPr>
      <t>būvdarbu izmaksas 30-50% apmērā pārsniedz iepriekš prognozētās summas.</t>
    </r>
    <r>
      <rPr>
        <sz val="18"/>
        <rFont val="Calibri"/>
        <family val="2"/>
        <charset val="186"/>
        <scheme val="minor"/>
      </rPr>
      <t xml:space="preserve"> </t>
    </r>
    <r>
      <rPr>
        <b/>
        <sz val="18"/>
        <rFont val="Calibri"/>
        <family val="2"/>
        <charset val="186"/>
        <scheme val="minor"/>
      </rPr>
      <t xml:space="preserve">Finansējuma saņēmēji spiesti pārtraukt iepirkumus </t>
    </r>
    <r>
      <rPr>
        <sz val="18"/>
        <rFont val="Calibri"/>
        <family val="2"/>
        <charset val="186"/>
        <scheme val="minor"/>
      </rPr>
      <t xml:space="preserve">bez rezultātiem, pārskatīt tehnisko projektu risinājumus un sludināt iepirkumus atkārtoti, bet </t>
    </r>
    <r>
      <rPr>
        <b/>
        <sz val="18"/>
        <rFont val="Calibri"/>
        <family val="2"/>
        <charset val="186"/>
        <scheme val="minor"/>
      </rPr>
      <t>atsevišķos gadījumos pat atteikties no projektu tālākas realizācijas</t>
    </r>
    <r>
      <rPr>
        <sz val="18"/>
        <rFont val="Calibri"/>
        <family val="2"/>
        <charset val="186"/>
        <scheme val="minor"/>
      </rPr>
      <t>. Minētie faktori tiešā veidā ietekmē arī projektu ieviešanas termiņus.
Šobrīd tiek virzīti SAM MK noteikumu grozījumi, kas pieļaus attiecināmo izmaksu palielināšanu ministriju kvotu ietvaros.
Progresu ietekmēja arī ilgstošās neskaidrības par finansējumu ilgtermiņa aprūpes iestādēm.</t>
    </r>
  </si>
  <si>
    <r>
      <t xml:space="preserve">2.PV "IKT" ERAF - riska robeža rezerves zaudēšanai </t>
    </r>
    <r>
      <rPr>
        <b/>
        <u/>
        <sz val="22"/>
        <rFont val="Calibri"/>
        <family val="2"/>
        <charset val="186"/>
        <scheme val="minor"/>
      </rPr>
      <t>75%</t>
    </r>
  </si>
  <si>
    <r>
      <t xml:space="preserve">3.PV "MVK konkurētspēja" ERAF - riska robeža rezerves zaudēšanai </t>
    </r>
    <r>
      <rPr>
        <b/>
        <u/>
        <sz val="22"/>
        <rFont val="Calibri"/>
        <family val="2"/>
        <charset val="186"/>
        <scheme val="minor"/>
      </rPr>
      <t>85%</t>
    </r>
  </si>
  <si>
    <r>
      <t xml:space="preserve">3.PV "MVK konkurētspēja" ESF - riska robeža rezerves zaudēšanai </t>
    </r>
    <r>
      <rPr>
        <b/>
        <u/>
        <sz val="22"/>
        <rFont val="Calibri"/>
        <family val="2"/>
        <charset val="186"/>
        <scheme val="minor"/>
      </rPr>
      <t>85%</t>
    </r>
  </si>
  <si>
    <r>
      <t xml:space="preserve">4.PV "Energoefektivitāte" ERAF - riska robeža rezerves zaudēšanai </t>
    </r>
    <r>
      <rPr>
        <b/>
        <u/>
        <sz val="22"/>
        <rFont val="Calibri"/>
        <family val="2"/>
        <charset val="186"/>
        <scheme val="minor"/>
      </rPr>
      <t>75%</t>
    </r>
  </si>
  <si>
    <r>
      <t xml:space="preserve">Iemesli progresa problēmām - </t>
    </r>
    <r>
      <rPr>
        <b/>
        <sz val="26"/>
        <rFont val="Calibri"/>
        <family val="2"/>
        <charset val="186"/>
        <scheme val="minor"/>
      </rPr>
      <t>ministru sarunas tēmas izceltas</t>
    </r>
    <r>
      <rPr>
        <sz val="26"/>
        <rFont val="Calibri"/>
        <family val="2"/>
        <charset val="186"/>
        <scheme val="minor"/>
      </rPr>
      <t xml:space="preserve"> - Jautājums, </t>
    </r>
    <r>
      <rPr>
        <b/>
        <sz val="26"/>
        <rFont val="Calibri"/>
        <family val="2"/>
        <charset val="186"/>
        <scheme val="minor"/>
      </rPr>
      <t>kā EM vai FM un CFLA varam palīdzēt</t>
    </r>
    <r>
      <rPr>
        <sz val="26"/>
        <rFont val="Calibri"/>
        <family val="2"/>
        <charset val="186"/>
        <scheme val="minor"/>
      </rPr>
      <t xml:space="preserve"> uzlabot ieviešanas progresu, atrisināt kādas problēmas?</t>
    </r>
  </si>
  <si>
    <r>
      <t xml:space="preserve">&gt;Jau 2017.gadā tika identificēti  </t>
    </r>
    <r>
      <rPr>
        <b/>
        <sz val="18"/>
        <rFont val="Calibri"/>
        <family val="2"/>
        <charset val="186"/>
        <scheme val="minor"/>
      </rPr>
      <t>vairāki faktori, kas kavē komersantus pieteikties inovāciju vaučeru atbalstam.</t>
    </r>
    <r>
      <rPr>
        <sz val="18"/>
        <rFont val="Calibri"/>
        <family val="2"/>
        <charset val="186"/>
        <scheme val="minor"/>
      </rPr>
      <t xml:space="preserve"> </t>
    </r>
    <r>
      <rPr>
        <b/>
        <sz val="18"/>
        <rFont val="Calibri"/>
        <family val="2"/>
        <charset val="186"/>
        <scheme val="minor"/>
      </rPr>
      <t>Kā galvenais</t>
    </r>
    <r>
      <rPr>
        <sz val="18"/>
        <rFont val="Calibri"/>
        <family val="2"/>
        <charset val="186"/>
        <scheme val="minor"/>
      </rPr>
      <t xml:space="preserve"> ir jāmin MK Nr.692 noteiktais nosacījums, ka </t>
    </r>
    <r>
      <rPr>
        <b/>
        <sz val="18"/>
        <rFont val="Calibri"/>
        <family val="2"/>
        <charset val="186"/>
        <scheme val="minor"/>
      </rPr>
      <t>LIAA ir jānodrošina komersantiem nepieciešamais ārpakalpojums, veicot iepirkumu</t>
    </r>
    <r>
      <rPr>
        <sz val="18"/>
        <rFont val="Calibri"/>
        <family val="2"/>
        <charset val="186"/>
        <scheme val="minor"/>
      </rPr>
      <t xml:space="preserve"> - kas ir problēma. Lai gan konsultācijas tiek sniegtas regulāri un komersantiem ir interese par šo atbalstu, šobrīd ir iesniegti 15 projekta pieteikumi un noslēgti 10 atbalsta līgumi. Ir arī uzklausīts komersantu viedoklis par esošo atbalstu, apzinātas vēl to papildus vajadzības, kas saistītas ar jaunu produktu izstrādi  un komersanta attīstību.
&gt;Veiktie uzlabojumi rādītāju sasniegšanai - </t>
    </r>
    <r>
      <rPr>
        <b/>
        <sz val="18"/>
        <rFont val="Calibri"/>
        <family val="2"/>
        <charset val="186"/>
        <scheme val="minor"/>
      </rPr>
      <t>pieņemti MK Nr.692 grozījumi</t>
    </r>
    <r>
      <rPr>
        <sz val="18"/>
        <rFont val="Calibri"/>
        <family val="2"/>
        <charset val="186"/>
        <scheme val="minor"/>
      </rPr>
      <t>, kuri paredz jaunu atbalstāmo darbību, jaunu uzņēmumu dalību izstādēs un konferencēs, kā arī tiešajās vizītēs pie potenciālā investora vai sadarbības partnera ārvalstīs.
&gt;</t>
    </r>
    <r>
      <rPr>
        <b/>
        <sz val="18"/>
        <rFont val="Calibri"/>
        <family val="2"/>
        <charset val="186"/>
        <scheme val="minor"/>
      </rPr>
      <t>Šobrīd saskaņošana ir MK noteikumu Nr.692 kārtējie grozījumi, lai uzlabotu vaučeru programmas nosacījumus un pieprasījumu pēc vaučeriem.</t>
    </r>
  </si>
  <si>
    <r>
      <rPr>
        <b/>
        <sz val="18"/>
        <rFont val="Calibri"/>
        <family val="2"/>
        <charset val="186"/>
        <scheme val="minor"/>
      </rPr>
      <t>Projekta īstenošana sākotnēji tika iekavēta</t>
    </r>
    <r>
      <rPr>
        <sz val="18"/>
        <rFont val="Calibri"/>
        <family val="2"/>
        <charset val="186"/>
        <scheme val="minor"/>
      </rPr>
      <t xml:space="preserve">, kā arī </t>
    </r>
    <r>
      <rPr>
        <b/>
        <sz val="18"/>
        <rFont val="Calibri"/>
        <family val="2"/>
        <charset val="186"/>
        <scheme val="minor"/>
      </rPr>
      <t>finansējuma saņēmējam atbalsta sniegšanai ir jārīko iepirkumi atbilstoši PIL - plānojot visu 15 inkubatoru vajadzības</t>
    </r>
    <r>
      <rPr>
        <sz val="18"/>
        <rFont val="Calibri"/>
        <family val="2"/>
        <charset val="186"/>
        <scheme val="minor"/>
      </rPr>
      <t>, atbalsta sniegšana gala labuma guvējiem iekavējās. Taču 2018.gadā ir uzsākta grantu piešķiršana, taču ne tādā apmērā, lai izpildītu prognozēs paredzēto.</t>
    </r>
  </si>
  <si>
    <r>
      <rPr>
        <b/>
        <sz val="18"/>
        <rFont val="Calibri"/>
        <family val="2"/>
        <charset val="186"/>
        <scheme val="minor"/>
      </rPr>
      <t>Progresu lielā mērā ietekmē valsts atbalsta nepilnības SAM MK noteikumu līmenī.</t>
    </r>
    <r>
      <rPr>
        <sz val="18"/>
        <rFont val="Calibri"/>
        <family val="2"/>
        <charset val="186"/>
        <scheme val="minor"/>
      </rPr>
      <t xml:space="preserve">
</t>
    </r>
    <r>
      <rPr>
        <b/>
        <sz val="18"/>
        <rFont val="Calibri"/>
        <family val="2"/>
        <charset val="186"/>
        <scheme val="minor"/>
      </rPr>
      <t>Pašvaldības nedrīkst sniegt atbalstu siltumapgādes uzņēmumiem</t>
    </r>
    <r>
      <rPr>
        <sz val="18"/>
        <rFont val="Calibri"/>
        <family val="2"/>
        <charset val="186"/>
        <scheme val="minor"/>
      </rPr>
      <t xml:space="preserve"> (valsts atbalsta maksimālais apmērs 40% kopā ar KF) un procentu likmes aizņēmumiem bez pašvaldības atbalsta ir ļoti augstas. 
Šobrīd tiek virzīti MK noteikumu grozījumi, kas varētu pieļaut valsts atbalstu pat 100% apmērā. 
Minēto nepilnību dēļ </t>
    </r>
    <r>
      <rPr>
        <b/>
        <sz val="18"/>
        <rFont val="Calibri"/>
        <family val="2"/>
        <charset val="186"/>
        <scheme val="minor"/>
      </rPr>
      <t>virknei projektu tiks pagarināti projektu īstenošanas termiņi, jo būvdarbus siltumapgādes jomā var veikt tikai vasaras sezonā.</t>
    </r>
  </si>
  <si>
    <r>
      <t xml:space="preserve">Iemesli progresa problēmām - </t>
    </r>
    <r>
      <rPr>
        <b/>
        <sz val="26"/>
        <rFont val="Calibri"/>
        <family val="2"/>
        <charset val="186"/>
        <scheme val="minor"/>
      </rPr>
      <t>ministru sarunas tēmas izceltas</t>
    </r>
    <r>
      <rPr>
        <sz val="26"/>
        <rFont val="Calibri"/>
        <family val="2"/>
        <charset val="186"/>
        <scheme val="minor"/>
      </rPr>
      <t xml:space="preserve"> - Jautājums, </t>
    </r>
    <r>
      <rPr>
        <b/>
        <sz val="26"/>
        <rFont val="Calibri"/>
        <family val="2"/>
        <charset val="186"/>
        <scheme val="minor"/>
      </rPr>
      <t>kā VARAM vai FM un CFLA varam palīdzēt</t>
    </r>
    <r>
      <rPr>
        <sz val="26"/>
        <rFont val="Calibri"/>
        <family val="2"/>
        <charset val="186"/>
        <scheme val="minor"/>
      </rPr>
      <t xml:space="preserve"> uzlabot ieviešanas progresu, atrisināt kādas problēmas?</t>
    </r>
  </si>
  <si>
    <t>Snieguma ietvara finanšu rādītāja izpildes prognoze 5.Prioritārajā virzienā "Vide un teritoriālā attīstība" KF SAM/SAMP dalījumā</t>
  </si>
  <si>
    <t>Snieguma ietvara finanšu rādītāja izpildes prognoze 4.Prioritārajā virzienā "Energoefektivitāte" ERAF SAM/SAMP dalījumā</t>
  </si>
  <si>
    <r>
      <t>Projektu ieviešanu ietekmē izmaksu sadārdzinājums (</t>
    </r>
    <r>
      <rPr>
        <b/>
        <sz val="18"/>
        <color theme="0" tint="-0.499984740745262"/>
        <rFont val="Calibri"/>
        <family val="2"/>
        <charset val="186"/>
        <scheme val="minor"/>
      </rPr>
      <t>būvdarbu izmaksas 30-50% apmērā pārsniedz iepriekš prognozētās summas</t>
    </r>
    <r>
      <rPr>
        <sz val="18"/>
        <color theme="0" tint="-0.499984740745262"/>
        <rFont val="Calibri"/>
        <family val="2"/>
        <charset val="186"/>
        <scheme val="minor"/>
      </rPr>
      <t xml:space="preserve">). </t>
    </r>
    <r>
      <rPr>
        <b/>
        <sz val="18"/>
        <color theme="0" tint="-0.499984740745262"/>
        <rFont val="Calibri"/>
        <family val="2"/>
        <charset val="186"/>
        <scheme val="minor"/>
      </rPr>
      <t>Finansējuma saņēmēji spiesti pārtraukt iepirkumus bez rezultātiem</t>
    </r>
    <r>
      <rPr>
        <sz val="18"/>
        <color theme="0" tint="-0.499984740745262"/>
        <rFont val="Calibri"/>
        <family val="2"/>
        <charset val="186"/>
        <scheme val="minor"/>
      </rPr>
      <t xml:space="preserve">, pārskatīt tehnisko projektu risinājumus un sludināt iepirkumus atkārtoti, bet atsevišķos gadījumos pat atteikties no projektu tālākas realizācijas. 
Progresu ietekmēja arī ilgstošās </t>
    </r>
    <r>
      <rPr>
        <b/>
        <sz val="18"/>
        <color theme="0" tint="-0.499984740745262"/>
        <rFont val="Calibri"/>
        <family val="2"/>
        <charset val="186"/>
        <scheme val="minor"/>
      </rPr>
      <t>neskaidrības par finansējumu ilgtermiņa aprūpes iestādēm.</t>
    </r>
  </si>
  <si>
    <t>Potenciālā prognoze ar optimālu maksājumu apjomu 2019.gada sākumā var uzlabot sniegumu</t>
  </si>
  <si>
    <t>Snieguma ietvara finanšu rādītāja izpildes prognoze 5.Prioritārajā virzienā "Vide un teritoriālā attīstība" ERAF SAM/SAMP dalījumā</t>
  </si>
  <si>
    <t>Iemesli progresa problēmām</t>
  </si>
  <si>
    <t>Otrajā atlases kārtā projektu līgumus noslēdza/noslēgs nedaudz vēlāk, nekā iepriekš bija plānots, projekta iesniegumu precizējumu dēļ, tomēr šajos projektos šogad vēl ir paredzēti deklarējami izdevumi.
Projektiem netika prasīta augsta gatavības pakāpe, līdz ar to daudzos projektos noris projektēšana, kuras izmaksas iepirkumu rezultātā pieaugušas un pakalpojumu sniedzēji neievēro termiņus.
Kopumā SAM ieviešanā būtiskas problēmas nav konstatētas.</t>
  </si>
  <si>
    <t>Atbilstoši plānotajiem grozījumiem saistībā ar Akustiskās koncertzāles izbūves pārcelšanu no 5.6.1.SAM uz 5.5.1. SAM III kārtu, 5.6.1. SAM ietvaros plānots samazināt pieejamo ERAF finansējumu un snieguma rezervi, atbildīgās ministrijas kompetencē būtu lemt, vai snieguma ietvara mērķis 5.6.1. SAM saglabājams esošajā apjomā. Būtiskas projektu īstenošanas problēmas nav konstatētas.</t>
  </si>
  <si>
    <t>Projektu īstenošanā kavējošie faktori: 
1) aizkavējās mērķa grupas personu individuālo vajadzību izvērtēšana un atbalsta plānu izstrāde; 
2)infrastruktūras trūkuma dēļ nav sākta plaša sabiedrībā balstīto sociālo pakalpojumu sniegšana un līdz ar to aizkavēta izdevumu kompensācija projekta sadarbības partneriem; 
3) projektā nepiedalās Rīgas Jaunjelgavas, Līvānu un Ciblas pašvaldības;
4) pamatojoties uz DI plānu sarežģīto un laika ietilpīgo izstrādes, sabiedriskās apspriešanas un apstiprināšanas procesu, ar MK noteikumiem tika pagarināts DI plāna izstrādes termiņš</t>
  </si>
  <si>
    <t>Finanšu rādītāja izpildi kavē iepirkumu izsludināšana (to izsludināšanas termiņi tiek pārcelti, kas rada būtisku finansiālu ietekmi uz projektu, jo nepiesakās atbilstoši pretendenti), kā arī ir nepietiekama personāla kapacitāte. Tāpat  plānotajos apmēros neīstenojas galvenais projekta darbības virziens - konsultatīvā atbalsta sniegšana uzņēmumiem, jo potenciālie uzņēmumi nepiesakās konsultācijām.</t>
  </si>
  <si>
    <t>Projekta sākuma fāzē tika konstatētas problēmas ar īstenošanas personāla kapacitāti, kvalificētu speciālistu trūkums kavēja projekta uzsākšanai nepieciešamā iepirkuma dokumentācijas sagatavošanu un iepirkuma izsludināšanu. Ņemot vērā, ka projekta darbības paredzēts ieviest secīgi, radās būtiskas nobīdes arī saistīto projekta aktivitāšu ieviešanā.</t>
  </si>
  <si>
    <t xml:space="preserve">Ir aizkavējusies projekta darbība: “Sociālo uzņēmumu atbalsta instrumentu piemērošana un pasākuma dalībnieku un sociālās uzņēmējdarbības uzsācēju biznesa plānu īstenošana”, kā rezultātā aizkavējās arī finanšu atbalsta piešķiršana pasākuma dalībniekiem un sociālās uzņēmējdarbības uzsācējiem,  kā arī faktiski tiek piešķirti mazāki finanšu atbalsti, nekā plānots. </t>
  </si>
  <si>
    <t>Projekta galvenais iepirkums, kurš pirmreizēji tika izsludināts  27.02.2017. vairākkārt ticis pārtraukts un līgums noslēgts tikai 9.05.2018., līdz ar to aizkavējusies arī līdzekļu apguve un snieguma ietvara sasniegšana. 
Intensīva finanšu rādītāju izpilde iespējama sākot ar 2018.gada beigām 2019.gada sākumu.</t>
  </si>
  <si>
    <t>Finanšu rādītāja sasniegšanu kavē sociālā darbinieka un sociālā mentora pakalpojuma līguma pārtraukšana, kā arī jaunā iepirkuma norise atpalika no plānotā (IUB sūdzība).  Papildus kavējas arī mērķa grupas motivācijas paaugstināšanas un atbalsta pakalpojumu īstenošanas iepirkums, jo netika iesniegti piedāvājumi visās iepirkuma daļās.</t>
  </si>
  <si>
    <t>Projekta īstenošanā kavējošie faktori: 
1) izmaiņas iepirkumu plānā (kavējas iepirkumu izsludināšana, iepirkumi tika vairākkārtīgi precizēti un sludināti atkārtoti, iepirkumi beidzas bez rezultāta); 
2) ne visas pašvaldības izmanto projekta ietvaros piedāvātās apmācības un supervīzijas jo pašvaldībai jāveic līdzmaksājums, taču tajā pašā laikā ir pieejamas bezmaksas apmācības (ir novadi, kuri nekad nav iesaistījušies projektā, piem., Ādažu, Carnikavas u.c); 
3) pašvaldības projekta ietvaros piedāvātās apmācības un supervīzijas izmanto mazākā apmērā, nekā sākotnēji bija plānots.</t>
  </si>
  <si>
    <t>Ņemot vērā projektu sarežģītību un saistību ar 9.2.2.1. deinstitucionalizācijas pasākumuma īstenošanu, projektu iesniegumu atlase tika uzskāta un izsludināta vēlāk - projektu iesniegšanas laiks no 28.06.2018. līdz 30.06.2019.  Līgumu slēgšana varētu uzsākties 2019.gadā.</t>
  </si>
  <si>
    <t>Pasākums tiek īstenots sinerģijā ar 9.1.4.2. funkcionēšanas novērtēšanas un tehnisko palīglīdzekļu apmaiņas sistēmas izveides pasākumu.
Pasākuma ietvaros jāveic situācijas izpēte un jāsniedz rezultāti, kuri LM uzraudzības padomei jāsaskaņo. Pēc tam var uzsākt  9.3.1.2. pasākuma darbības.Izpēte šobrīd vēl nav veikta un LM uzraudzības padomes saskaņojums nav saņemts, tādēļ ir aizkavējusies projekta ieviešana.</t>
  </si>
  <si>
    <t>Projekta sākuma posmā viens no izsludinātajiem projektēšanas un būvniecības iepirkumiem bija jāpārtrauc ierobežojošo prasību attiecībā uz ārvalstu speciālistiem dēļ un jāsludina atkārtoti, kā arī izsludināto 4 iepirkumu piedāvājumu ilgstošas izvērtēšanas dēļ aizkavējās līgumu slēgšana par projektēšanas un būvniecības darbiem. Pašreiz notiek projektēšanas darbi.</t>
  </si>
  <si>
    <t xml:space="preserve">Rīgas satiksmes projektā IUB iesniegto sūdzību dēļ aizkavējās projektēšanas iepirkums un projektēšanas darbu uzsākšana. Pastāv augsts risks pārsūdzībai gan rudenī būvautļaujas izsniegšanā, gan tramvaju iepirkumam.
Daugavpils tramvaju projektā jaunās tramvaju līnijas izbūves būvdarbu uzsākšana aizkavējās par ~ 4 mēnešiem, jo ilgstoši nevarēja saņemt saskaņojumu darbu veikšanai no vienas zemes īpašnieces (ārvalstnieces). Esošās tramvaju līnijas būvniecības līguma noslēgšana ir aizkavējusies gan IUB iesniegto sūdzību dēļ (iepirkums tika izsludināts atkārtoti), gan arī tā iemesla dēļ, ka pretendnetu iesniegtie piedāvājumi pārsniedza projekta ieviesēja rīcībā esošo finansējumu. </t>
  </si>
  <si>
    <t>Projektā bija nepieciešams saņemt EK saskaņojumu valsts atbalsta darbībām. Minētais saskaņojums tika saņemts ar 4 mēnešu kavēšanos pret sakotnēji plānoto. Ņemot vērā, ka izdevumi, kas tiktu veikti pirms EK lēmuma nevar būt  attiecināmi finansēšanai no publiskā finansējuma, projekta darbības tika uzsāktas tikai pēc EK saskaņojuma saņemšanas.</t>
  </si>
  <si>
    <t>Salu tilta 1.kārtas projektā ir apturēts iesniegtais maksājuma pieprasījums līdz RI veiktā audita gala ziņojuma saņemšanai. Iespējama finanšu korekcija. 
Salu tilta 2.kārtas projektā ar aizkavējušies projektēšnas darbi, līdz ar to arī būvniecības darbu uzsākšana aizkavējās (2.kārtas uzsākšana bija atkarīga no 1.kārtas projekta un projektēšanas).</t>
  </si>
  <si>
    <t>Izmaksu sadārdzinājuma dēļ netika realizēts sākotnēji plānotais projekts par Ziemeļu koridora izbūves 1.kārtu, tā vietā SM izvērtēja pārējos Rīgas domes piedāvātos projektus un nolēma veikt MK noteikumu grozījumus, lai finansējumu var paredzēt citiem mērķiem. Tika rīkota jauna atlase un apstiprināts Zemgales pārvada projekta iesniegums.</t>
  </si>
  <si>
    <t>Jelgavas loka maģistrāles pārbūves veiksmīgu uzsākšanu kavē IUB atkārtoti iesniegta sūdzība.</t>
  </si>
  <si>
    <t>Projektos parezēto projektēšanas darbu uzsākšana aizkavējusies, jo visu trīs projektu izsludinātajos apvienotajos projektēšanas un būvniecības iepirkumos gan par iepirkuma nolikuma, gan arī par kandidātu atlasi vairākkārtīgi ir iesniegtas sūdzības. Tā kā iepirkums tiek veikts kā slēgts konkurss, tad pastāv risks, ka pēc iesniegto piedāvājumu iesniegšanas un uzvarētāja noteikšanas arī šajā posmā varētu būt sūdzības IUB. Šādā gadījumā finanšu rādītāji SAM ietvaros netiks sasniegti.</t>
  </si>
  <si>
    <t>Projekta īstenošana notiek ciešā sasaitē ar 9.1.2. SAM "Bijušo ieslodzīto integrācija sabiedrībā" projektu un projektā plānotās darbības nav iespējams intensificēt, jo tās saistītas ar otra projekta darbībām. Noteiktais starpposma finanšu rādītājs ir pārāk augsts un nav sasniedzams.</t>
  </si>
  <si>
    <t>Aktivitāšu ieviešana ir iekavēta personāla piesaistes dēļ projekta vadībā un īstenošanā (vairākkārt iepirkuma speciālisti ir mainījušies vai periodiski nebija vispār, lielākā daļa projekta darbinieku nodarbināti daļlaikā un nespēj efektīvi īstenot projektu) un iepirkumi (uz vairākiem iepirkumiem neviens pretendents nepieteicās vai pieteicās neatbilstoši, tika pārstrādāti nolikumi, pārrakstītas tehniskās specifikācijas, nepilnīgi iesniegti pretendentu piedāvājumi u.c. problēmas).</t>
  </si>
  <si>
    <t>Ņemot vērā, ka lielākā daļa projektu iesniegumu bija nekvalitatīvi sagatavoti, aizkavējās līgumuslēgšana un faktisko darbību uzsākšana, vēlāka iepirkumu noslēgšana (bieži iepirkuma procedūra vai cenu aptauja beidzās bez rezultāta, jo nebija pieteicies neviens pretendents vai pretendents neatbilda izvirzītajām prasībām).
Šobrīd projektu īstenošana tiek intensificēta.</t>
  </si>
  <si>
    <t>Ieviešanu būtiski kavēja tikai š.g. maijā apstiprinātais Cilvēkresursu piesaistes plāns un kārtība, kā rezultātā nebija iespējams uzsākt pretendentu atlasi un kompensāciju izmaksu. Kā arī iepriekš apzināto ~ 300 personu vietā, iesniegumus ir iesniegušas tikai 3 personas. 
Projekta personāls šobrīd dodas izbraukuma vizītēs uz iestādēm, lai informētu potenciālos pretendentus par iespējām saņemt kompensācijas.</t>
  </si>
  <si>
    <t>Projekta uzsākšanas kavējošie faktori:
1. Ilgstoši nav nokomplektēts pilns projekta personāls, trūkst 1 no 2 iepirkumu speciālistiem un juriskonsults, kas sākotnēji kavēja iepirkumu sagatavošanu, šobrīd kavē piedāvājumu izvērtēšanu un līgumu slēgšanu.                                                                                                                                                                                                                                                                  2. Piedāvājumi tiek iesniegti par zemākām līguma cenām kā plānots sākotnēji, tas ietekmē gan avansu apjomu, gan kopējo finanšu apguvi.</t>
  </si>
  <si>
    <t>Ņemot vērā, ka 2.kārtas projekts (Stradiņu universitārte) ir lielais projekts un pēc finansējuma saņēmēja lūguma projekta iesniegums tika iesniegts vēlāk, bija nepieciešami precizējumi projekta iesniegumam un vēl nepieciešams saņemt neatkarīgo kvalitātes novērtējumu (IQR) no JASPERS (tika sniegti arī skaidrojumi), līguma parakstīšana tiek plānota 2018.gada novembrī/decembrī (ja EK atzinumā nebūs ietverti nosacījumi projekta apstiprināšanai).</t>
  </si>
  <si>
    <t>Projektu realizācija atkarīga no laikapstākļiem, kā arī dažādu sugu augu un dzīvnieku aizsardzības lieguma laika, jo tad nevar veikt būvdarbus. 
Finanējuma saņēmējs (visiem projektiem viens) maksimāli intensificē projektu īstenošanu.</t>
  </si>
  <si>
    <t xml:space="preserve"> </t>
  </si>
  <si>
    <t>PV numurs un nosaukums</t>
  </si>
  <si>
    <t>PV numurs</t>
  </si>
  <si>
    <t>Atbildīgā iestāde</t>
  </si>
  <si>
    <t>Fonds</t>
  </si>
  <si>
    <r>
      <t xml:space="preserve">SI 2018.gada </t>
    </r>
    <r>
      <rPr>
        <b/>
        <sz val="12"/>
        <color theme="1"/>
        <rFont val="Calibri"/>
        <family val="2"/>
        <charset val="186"/>
        <scheme val="minor"/>
      </rPr>
      <t>mērķis</t>
    </r>
    <r>
      <rPr>
        <sz val="12"/>
        <color theme="1"/>
        <rFont val="Calibri"/>
        <family val="2"/>
        <charset val="186"/>
        <scheme val="minor"/>
      </rPr>
      <t xml:space="preserve"> atbilstoši </t>
    </r>
    <r>
      <rPr>
        <b/>
        <sz val="12"/>
        <color theme="1"/>
        <rFont val="Calibri"/>
        <family val="2"/>
        <charset val="186"/>
        <scheme val="minor"/>
      </rPr>
      <t>DP 3. grozījumiem</t>
    </r>
  </si>
  <si>
    <t>Rezerve, M, EUR</t>
  </si>
  <si>
    <t>Riska robeža=minimālais mērķis (rezerves zaudēšanai), % [1]</t>
  </si>
  <si>
    <t>Starpība</t>
  </si>
  <si>
    <t>M, EUR</t>
  </si>
  <si>
    <t>% no DP 3.groz.</t>
  </si>
  <si>
    <t>Trūkst līdz riska robežai, EUR
(rezerves zaudēšana)</t>
  </si>
  <si>
    <t>Trūkst līdz 65% robežai, EUR
(maksājumu apturēšana)</t>
  </si>
  <si>
    <t>7=6/3</t>
  </si>
  <si>
    <t>8=6-(3*5)</t>
  </si>
  <si>
    <t>9=6-(3*65%)</t>
  </si>
  <si>
    <t>11=10/3</t>
  </si>
  <si>
    <t>12=10-(3*5)</t>
  </si>
  <si>
    <t>13=10-(3*65%)</t>
  </si>
  <si>
    <t>14=10-6</t>
  </si>
  <si>
    <t>15=11-7</t>
  </si>
  <si>
    <t>Kopā</t>
  </si>
  <si>
    <t>-</t>
  </si>
  <si>
    <t>1.Pētniecība un inovācijas</t>
  </si>
  <si>
    <t>1.</t>
  </si>
  <si>
    <t>ERAF</t>
  </si>
  <si>
    <t>IZM</t>
  </si>
  <si>
    <t>EM</t>
  </si>
  <si>
    <t>2.IKT</t>
  </si>
  <si>
    <t>2.</t>
  </si>
  <si>
    <t>SM</t>
  </si>
  <si>
    <t>VARAM</t>
  </si>
  <si>
    <t>3.MVK konkurētspēja</t>
  </si>
  <si>
    <t>3.</t>
  </si>
  <si>
    <t>ESF</t>
  </si>
  <si>
    <t>TM</t>
  </si>
  <si>
    <t>VK</t>
  </si>
  <si>
    <t>4.Energoefektivitāte</t>
  </si>
  <si>
    <t>4.</t>
  </si>
  <si>
    <t>KF</t>
  </si>
  <si>
    <t>5.Vide un teritoriālā attīstība</t>
  </si>
  <si>
    <t>5.</t>
  </si>
  <si>
    <t>ZM</t>
  </si>
  <si>
    <t>KM</t>
  </si>
  <si>
    <t>6.Transports</t>
  </si>
  <si>
    <t>6.</t>
  </si>
  <si>
    <t>7.Nodarbinātība</t>
  </si>
  <si>
    <t>7.</t>
  </si>
  <si>
    <t>LM</t>
  </si>
  <si>
    <t>ESF/JNI [3]</t>
  </si>
  <si>
    <t>ESF/JNI</t>
  </si>
  <si>
    <t>8.Izglītība</t>
  </si>
  <si>
    <t>8.</t>
  </si>
  <si>
    <t>9.Sociālā iekļaušana</t>
  </si>
  <si>
    <t>9.</t>
  </si>
  <si>
    <t>VM</t>
  </si>
  <si>
    <t>[1] Gadījumā, ja Pvsnieguma ietvara fonda līmenī ir divi rādītāji, tad snieguma rezervi var tikt zaudēta, ja kaut viens rādītājs nesasniedz 85%, bet, ja rādītāju ir 3 vai vairāk, tad rezerve var tikt zaudēta, ja vismaz viens rādītājs nesasniedz 75% vai 2 rādītāji - 85%.</t>
  </si>
  <si>
    <t>11.07.2018. izpildes prognoze</t>
  </si>
  <si>
    <t xml:space="preserve">Šobrīd gan Ventspils brīvostas pārvaldes, gan Liepājas speciālās ekonomiskās zonas pārvaldes lielajos projektos norit iepirkumu vērtēšana. Pastāv augsts risks par pārsūdzībām.
Rīgas Brīvostas pārvaldes projektā problēmas saistītas ar publiskajā telpā izskanējušo informāciju, ka Tvaika ielas rekonstrukcijas projekta rezultātā būs izmaiņas kustības joslu skaitam – nevis 4, bet gan 2. Tādēļ Rīgas dome uz nenoteiktu laiku ir atlikusi Tvaika ielas rekonstrukcijas projekta uzsākšanu, projektā veicamo tehniskā projekta izstrādes darbu ietvaros ir nepieciešams tehniski pārdomāt optimālāko saslēgšanos ar Rīgas  - Skultes pārvadu. </t>
  </si>
  <si>
    <r>
      <rPr>
        <b/>
        <sz val="16"/>
        <rFont val="Calibri"/>
        <family val="2"/>
        <charset val="186"/>
        <scheme val="minor"/>
      </rPr>
      <t xml:space="preserve">Pieņēmumi:
</t>
    </r>
    <r>
      <rPr>
        <sz val="16"/>
        <rFont val="Calibri"/>
        <family val="2"/>
        <charset val="186"/>
        <scheme val="minor"/>
      </rPr>
      <t>(</t>
    </r>
    <r>
      <rPr>
        <i/>
        <sz val="16"/>
        <rFont val="Calibri"/>
        <family val="2"/>
        <charset val="186"/>
        <scheme val="minor"/>
      </rPr>
      <t>Prognozes balstītas uz maksājumu pieprasījumu iesniegšanas grafikiem projektos par kuru īstenošanu ir noslēgti līgumi ar CFLA</t>
    </r>
    <r>
      <rPr>
        <sz val="16"/>
        <rFont val="Calibri"/>
        <family val="2"/>
        <charset val="186"/>
        <scheme val="minor"/>
      </rPr>
      <t xml:space="preserve">)
</t>
    </r>
    <r>
      <rPr>
        <i/>
        <sz val="16"/>
        <rFont val="Calibri"/>
        <family val="2"/>
        <charset val="186"/>
        <scheme val="minor"/>
      </rPr>
      <t xml:space="preserve">
</t>
    </r>
    <r>
      <rPr>
        <b/>
        <sz val="16"/>
        <rFont val="Calibri"/>
        <family val="2"/>
        <charset val="186"/>
        <scheme val="minor"/>
      </rPr>
      <t>"Piesardzīgā/reālistiskā prognoze"</t>
    </r>
    <r>
      <rPr>
        <sz val="16"/>
        <rFont val="Calibri"/>
        <family val="2"/>
        <charset val="186"/>
        <scheme val="minor"/>
      </rPr>
      <t xml:space="preserve"> -  līdz 2018.gada 31. decembrim CFLA apstiprinātie maksājuma pieprasījumi, ko plānots deklarēt EK līdz 2019. gada 30.jūnijam.
</t>
    </r>
    <r>
      <rPr>
        <b/>
        <sz val="16"/>
        <rFont val="Calibri"/>
        <family val="2"/>
        <charset val="186"/>
        <scheme val="minor"/>
      </rPr>
      <t>"Potenciālā prognoze ar optimālu maksājumu apjomu 2019.gada sākumā"</t>
    </r>
    <r>
      <rPr>
        <sz val="16"/>
        <rFont val="Calibri"/>
        <family val="2"/>
        <charset val="186"/>
        <scheme val="minor"/>
      </rPr>
      <t xml:space="preserve"> - līdz 2019.gada 31.janvārim CFLA iesniegtie finansējuma saņēmēja maksājuma pieprasījumi (faktiskie finansējuma saņēmēju izdevumi līdz 2018.gada 31. decembrim) ko plānots deklarēt EK līdz 2019.gada 30.jūnijam.</t>
    </r>
  </si>
  <si>
    <t>Kopsumma</t>
  </si>
  <si>
    <t>15</t>
  </si>
  <si>
    <t>Faktiskā izpilde līdz 31.07.2018.
(apstiprinātie maksājumi),
%</t>
  </si>
  <si>
    <t>24.08.2018.</t>
  </si>
  <si>
    <t>Faktiskā izpilde līdz 31.07.2018.
(apstiprinātie maksājumi),
milj. EUR</t>
  </si>
  <si>
    <t>Atlikums līdz piesardzīgās prognozes izpildei,
milj. EUR</t>
  </si>
  <si>
    <t>24.08.2018. izpildes prognoze, ņemot vērā jūlija faktiskās izpildes ietekmi uz 11.07.2018. prognozi</t>
  </si>
  <si>
    <r>
      <t xml:space="preserve">Snieguma ietvara (SI) finanšu rādītāja izpildes 2014.-2020. ES fondu plānošanas periodā, sertificētie (deklarētie) izdevumi visi finansējuma avoti, </t>
    </r>
    <r>
      <rPr>
        <b/>
        <i/>
        <sz val="14"/>
        <color rgb="FF000000"/>
        <rFont val="Arial"/>
        <family val="2"/>
        <charset val="186"/>
      </rPr>
      <t>euro.</t>
    </r>
    <r>
      <rPr>
        <b/>
        <sz val="14"/>
        <color rgb="FF000000"/>
        <rFont val="Arial"/>
        <family val="2"/>
        <charset val="186"/>
      </rPr>
      <t xml:space="preserve">
</t>
    </r>
    <r>
      <rPr>
        <i/>
        <sz val="12"/>
        <color rgb="FF000000"/>
        <rFont val="Arial"/>
        <family val="2"/>
        <charset val="186"/>
      </rPr>
      <t>Salīdzinājums starp (VI)/CFLA prognozēm 11.07.2018. un 24.08.2018. prognozi, ņemot vērā jūlija faktiskās izpildes ietekmi uz 11.07.2018. prognozi. Vienlaikus ņemot vērā EK 16.06.2018. vadlīnijās par snieguma ietvara izvērtēšanu minēto labvēlīgāko pieeju aprēķiniem - snieguma ietvarā var iekļaut visus FS līdz 31.12.2018. radušos izdevumus, ja tie tiek deklarēti EK līdz 30.06.2019.</t>
    </r>
  </si>
  <si>
    <t>Atlikums līdz prognozes izpildei,
milj. EUR</t>
  </si>
  <si>
    <t>Prognoze, iekļaujot maksājumus līdz 28.02.2019.</t>
  </si>
  <si>
    <t>Snieguma ietvara finanšu rādītāja plānotā starpposma izpilde
 (visi finansējuma avoti), milj. EUR</t>
  </si>
  <si>
    <t>Faktiskā DP mērķa izpilde līdz 31.10.2018.
(apstiprinātie maksājumi),
%</t>
  </si>
  <si>
    <r>
      <t>Snieguma ietvara mērķis</t>
    </r>
    <r>
      <rPr>
        <u/>
        <sz val="16"/>
        <rFont val="Calibri"/>
        <family val="2"/>
        <charset val="186"/>
        <scheme val="minor"/>
      </rPr>
      <t xml:space="preserve"> </t>
    </r>
    <r>
      <rPr>
        <b/>
        <u/>
        <sz val="16"/>
        <rFont val="Calibri"/>
        <family val="2"/>
        <charset val="186"/>
        <scheme val="minor"/>
      </rPr>
      <t>atbilstoši DP</t>
    </r>
    <r>
      <rPr>
        <b/>
        <sz val="16"/>
        <rFont val="Calibri"/>
        <family val="2"/>
        <charset val="186"/>
        <scheme val="minor"/>
      </rPr>
      <t>, visi finansējuma avoti, milj. EUR</t>
    </r>
  </si>
  <si>
    <t>Prognoze, iekļaujot maksājumus līdz 31.12.2018.</t>
  </si>
  <si>
    <r>
      <t xml:space="preserve">VI/CFLA snieguma ietvara finanšu rādītāja izpildes </t>
    </r>
    <r>
      <rPr>
        <b/>
        <u/>
        <sz val="26"/>
        <color theme="1"/>
        <rFont val="Calibri"/>
        <family val="2"/>
        <charset val="186"/>
      </rPr>
      <t>piesardzīgā</t>
    </r>
    <r>
      <rPr>
        <b/>
        <sz val="26"/>
        <color theme="1"/>
        <rFont val="Calibri"/>
        <family val="2"/>
        <charset val="186"/>
        <scheme val="minor"/>
      </rPr>
      <t xml:space="preserve"> prognoze prioritārajos virzienos SAM/SAMP dalījumā, iekļaujot prognozētos maksājumus finansējuma saņēmējiem līdz 31.12.2018.</t>
    </r>
  </si>
  <si>
    <t>Krāsojums:</t>
  </si>
  <si>
    <t>Prioritārajam virzienam ir snieguma rezerves zaudēšanas risks</t>
  </si>
  <si>
    <t>Prioritārajam virzienam ir EK maksājumu apturēšanas un snieguma rezerves zaudēšanas risks</t>
  </si>
  <si>
    <t>VI/CFLA snieguma ietvara finanšu rādītāja optimālā izpildes prognoze prioritārajos virzienos SAM/SAMP dalījumā, iekļaujot prognozētos maksājumus finansējuma saņēmējiem līdz 28.02.2019.</t>
  </si>
  <si>
    <t>Riska robeža=minimālais mērķis (rezerves zaudēšana), %</t>
  </si>
  <si>
    <t>04.12.2018.</t>
  </si>
  <si>
    <t>Piezīmes:
1. Aprēķinā izmantoti KP VIS norādītie maksājumu pieprasījumu (MP) grafiki uz 26.11.2018. Datiem nav piemēroti piesardzības koeficienti (maksājumu apjoms = plānotais MP).
2. Ņemot vērā, ka snieguma ietvara finanšu mērķa izpildē var iekļaut visas attiecināmās izmaksas, kas radušās FS līdz 31.12.2018., pieņemts, ka CFLA atmaksas par šiem izdevumiem veiks līdz 28.02.2018. Maksājumu pieprasījumu kvalitātes un iesniegšanas kavēšanās iespējamības dēļ piesardzīgā prognoze pieņem, ka līdz 28.02.2018. CFLA spēs izskatīt un samaksāt maksājumus, kurus pēc MP grafikiem vajadzētu izmaksāt līdz 31.12.2018.
3. No prognozes un faktiskās izpildes atņemti EK maksājuma pieteikumu pagaidu ieturējumi (redzami izklājlapā "MPEK ieturējumi")</t>
  </si>
  <si>
    <t>Faktiskā izpilde līdz 30.11.2018.
(apstiprinātie maksājumi),
milj. EUR</t>
  </si>
  <si>
    <t>Faktiskā izpilde līdz 31.12.2018.
(deklarējamie izdevumi),
milj. EUR</t>
  </si>
  <si>
    <t>02.01.2019.</t>
  </si>
  <si>
    <t>Faktiskā DP mērķa izpilde līdz 31.12.2018.
(deklarējamie izdevumi),
%</t>
  </si>
  <si>
    <t>Atlikums minimālā mērķa (rezerves zaudēšana) sasniegšanai, milj. EUR</t>
  </si>
  <si>
    <t>Piezīmes:
1. Aprēķinā izmantoti KP VIS norādītie maksājumu pieprasījumu (MP) grafiki uz 26.11.2018. Datiem nav piemēroti piesardzības koeficienti (maksājumu apjoms = plānotais MP).
2. Ņemot vērā, ka snieguma ietvara finanšu mērķa izpildē var iekļaut visas attiecināmās izmaksas, kas radušās FS līdz 31.12.2018., pieņemts, ka CFLA atmaksas par šiem izdevumiem veiks līdz 28.02.2018.</t>
  </si>
  <si>
    <t>Prioritārais virziens
/
Finansējums kopā, visi finansējuma avoti, milj. EUR</t>
  </si>
  <si>
    <t>%</t>
  </si>
  <si>
    <t>milj. EUR</t>
  </si>
  <si>
    <t>16</t>
  </si>
  <si>
    <t>milj EUR</t>
  </si>
  <si>
    <t>Dzelzkalējs, 67083940</t>
  </si>
  <si>
    <t xml:space="preserve">Reinis.Dzelzkalejs@fm.gov.lv </t>
  </si>
  <si>
    <t>Finanšu ministrs</t>
  </si>
  <si>
    <t>J.Reirs</t>
  </si>
  <si>
    <t>4. Pielikums
informatīvajam ziņojumam "Informatīvais ziņojums par Kohēzijas politikas Eiropas Savienības fondu investīciju aktualitātēm līdz 2018. gada 31. decembrim un 2019. gada februāra ikmēneša operatīvā informācija"</t>
  </si>
  <si>
    <t>Snieguma rezerve, ES fondu daļa, milj. EUR
(atbilstoši MK noteikumiem)</t>
  </si>
  <si>
    <r>
      <t xml:space="preserve">(-) </t>
    </r>
    <r>
      <rPr>
        <b/>
        <sz val="16"/>
        <rFont val="Calibri"/>
        <family val="2"/>
        <charset val="186"/>
        <scheme val="minor"/>
      </rPr>
      <t xml:space="preserve">Trūkst līdz riska robežai, 
</t>
    </r>
    <r>
      <rPr>
        <b/>
        <sz val="16"/>
        <color rgb="FFFF0000"/>
        <rFont val="Calibri"/>
        <family val="2"/>
        <charset val="186"/>
        <scheme val="minor"/>
      </rPr>
      <t>(rezerves zaudēšana)</t>
    </r>
  </si>
  <si>
    <r>
      <t xml:space="preserve">(-) </t>
    </r>
    <r>
      <rPr>
        <b/>
        <sz val="16"/>
        <rFont val="Calibri"/>
        <family val="2"/>
        <charset val="186"/>
        <scheme val="minor"/>
      </rPr>
      <t>Trūkst līdz 65% vērtībai</t>
    </r>
    <r>
      <rPr>
        <b/>
        <sz val="16"/>
        <color rgb="FFFF0000"/>
        <rFont val="Calibri"/>
        <family val="2"/>
        <charset val="186"/>
        <scheme val="minor"/>
      </rPr>
      <t xml:space="preserve">
(EK maksājumu apturēšana)</t>
    </r>
  </si>
  <si>
    <t>CFLA apstiprinātie attiecināmie (deklarējamie) izdevumi līdz 31.01.2019
[2]</t>
  </si>
  <si>
    <t>17</t>
  </si>
  <si>
    <t>CFLA 2019.gada janvārī apstiprinātie attiecināmie (deklarējamie) izdevumi, milj. EUR</t>
  </si>
  <si>
    <t>Eiropas Komisijai deklarētie izdevumi līdz 31.12.2018</t>
  </si>
  <si>
    <r>
      <rPr>
        <b/>
        <sz val="16"/>
        <color rgb="FFFF0000"/>
        <rFont val="Calibri"/>
        <family val="2"/>
        <charset val="186"/>
        <scheme val="minor"/>
      </rPr>
      <t>(-)</t>
    </r>
    <r>
      <rPr>
        <b/>
        <sz val="16"/>
        <rFont val="Calibri"/>
        <family val="2"/>
        <charset val="186"/>
        <scheme val="minor"/>
      </rPr>
      <t xml:space="preserve"> Trūkst līdz minimālā mērķa (rezerves zaudēšana) sasniegšanai, milj. EUR</t>
    </r>
  </si>
  <si>
    <r>
      <rPr>
        <b/>
        <sz val="16"/>
        <color rgb="FFFF0000"/>
        <rFont val="Calibri"/>
        <family val="2"/>
        <charset val="186"/>
        <scheme val="minor"/>
      </rPr>
      <t>(-)</t>
    </r>
    <r>
      <rPr>
        <b/>
        <sz val="16"/>
        <rFont val="Calibri"/>
        <family val="2"/>
        <charset val="186"/>
        <scheme val="minor"/>
      </rPr>
      <t xml:space="preserve"> Trūkst līdz CFLA 11.01.2019. prognozes izpildei,
milj. EUR</t>
    </r>
  </si>
  <si>
    <t xml:space="preserve">Snieguma ietvara finanšu rādītāja optimālā izpildes prognoze prioritārajos virzienos SAM/SAMP dalījumā, visi finansējuma avoti </t>
  </si>
  <si>
    <t>Snieguma ietvara finanšu rādītāja plānotā starpposma izpilde,
milj. EUR</t>
  </si>
  <si>
    <t>[2] Maksājumos iekļauti tikai tie izdevumi, kas projektu ieviesējiem radušies līdz 31.12.2018. Vienalaikus atsevišķi maksājumi var netikt iekļauti maksājuma pieteikumā EK pilnā apjomā pagadu ieturējumu vai korekciju dēļ.</t>
  </si>
  <si>
    <t>Piezīmes: 
1. Iekļaujot prognozētos maksājumus finansējuma saņēmējiem līdz 31.03.2019., visi finansējuma avoti. Aprēķinā izmantoti KP VIS norādītie maksājumu pieprasījumu (MP) grafiki uz 01.02.2019. Datiem nav piemēroti piesardzības koeficienti (maksājumu apjoms = plānotais MP).
2. Ņemot vērā, ka snieguma ietvara finanšu mērķa izpildē var iekļaut visas attiecināmās izmaksas, kas radušās FS līdz 31.12.2018., pieņemts, ka CFLA atmaksas par šiem izdevumiem veiks līdz 31.03.2019.
3. No prognozes un faktiskās izpildes atņemti EK maksājuma pieteikumu pagaidu ieturējumi uz 31.12.2018.</t>
  </si>
  <si>
    <t>15.02.2019.</t>
  </si>
  <si>
    <t>CFLA prognoze (15.02.2019.), iekļaujot maksājumus līdz 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</si>
</sst>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0,,"/>
    <numFmt numFmtId="166" formatCode="#,##0.0,,"/>
    <numFmt numFmtId="167" formatCode="#,##0.0"/>
    <numFmt numFmtId="168" formatCode="#.0,,&quot; M&quot;"/>
    <numFmt numFmtId="169" formatCode="#.0,,"/>
    <numFmt numFmtId="170" formatCode="0.0%"/>
    <numFmt numFmtId="171" formatCode="0#.0,,&quot; M&quot;"/>
    <numFmt numFmtId="172" formatCode="0#.00,,"/>
    <numFmt numFmtId="173" formatCode="0#.0,,"/>
  </numFmts>
  <fonts count="69" x14ac:knownFonts="1">
    <font>
      <sz val="12"/>
      <color theme="1"/>
      <name val="Times New Roman"/>
      <family val="2"/>
      <charset val="186"/>
    </font>
    <font>
      <sz val="12"/>
      <color theme="1"/>
      <name val="Times New Roman"/>
      <family val="2"/>
      <charset val="186"/>
    </font>
    <font>
      <sz val="10"/>
      <color theme="1"/>
      <name val="Calibri"/>
      <family val="2"/>
      <charset val="186"/>
      <scheme val="minor"/>
    </font>
    <font>
      <b/>
      <sz val="18"/>
      <color theme="1"/>
      <name val="Calibri"/>
      <family val="2"/>
      <charset val="186"/>
      <scheme val="minor"/>
    </font>
    <font>
      <b/>
      <sz val="15"/>
      <name val="Calibri"/>
      <family val="2"/>
      <charset val="186"/>
      <scheme val="minor"/>
    </font>
    <font>
      <b/>
      <sz val="15"/>
      <color theme="0"/>
      <name val="Calibri"/>
      <family val="2"/>
      <charset val="186"/>
      <scheme val="minor"/>
    </font>
    <font>
      <sz val="15"/>
      <color theme="0"/>
      <name val="Calibri"/>
      <family val="2"/>
      <charset val="186"/>
      <scheme val="minor"/>
    </font>
    <font>
      <sz val="15"/>
      <name val="Calibri"/>
      <family val="2"/>
      <charset val="186"/>
      <scheme val="minor"/>
    </font>
    <font>
      <sz val="11"/>
      <color theme="1"/>
      <name val="Calibri"/>
      <family val="2"/>
      <charset val="186"/>
      <scheme val="minor"/>
    </font>
    <font>
      <b/>
      <sz val="16"/>
      <name val="Calibri"/>
      <family val="2"/>
      <charset val="186"/>
      <scheme val="minor"/>
    </font>
    <font>
      <sz val="10"/>
      <name val="Calibri"/>
      <family val="2"/>
      <charset val="186"/>
      <scheme val="minor"/>
    </font>
    <font>
      <sz val="16"/>
      <color theme="1"/>
      <name val="Calibri"/>
      <family val="2"/>
      <charset val="186"/>
      <scheme val="minor"/>
    </font>
    <font>
      <sz val="14"/>
      <color theme="1"/>
      <name val="Calibri"/>
      <family val="2"/>
      <charset val="186"/>
      <scheme val="minor"/>
    </font>
    <font>
      <b/>
      <sz val="20"/>
      <color theme="1"/>
      <name val="Times New Roman"/>
      <family val="1"/>
      <charset val="186"/>
    </font>
    <font>
      <sz val="13"/>
      <name val="Times New Roman"/>
      <family val="1"/>
      <charset val="186"/>
    </font>
    <font>
      <b/>
      <sz val="18"/>
      <name val="Calibri"/>
      <family val="2"/>
      <charset val="186"/>
      <scheme val="minor"/>
    </font>
    <font>
      <u/>
      <sz val="12"/>
      <color theme="10"/>
      <name val="Times New Roman"/>
      <family val="2"/>
      <charset val="186"/>
    </font>
    <font>
      <sz val="10"/>
      <color rgb="FF000000"/>
      <name val="Arial"/>
      <family val="2"/>
      <charset val="186"/>
    </font>
    <font>
      <i/>
      <sz val="10"/>
      <color theme="1"/>
      <name val="Calibri"/>
      <family val="2"/>
      <charset val="186"/>
      <scheme val="minor"/>
    </font>
    <font>
      <sz val="18"/>
      <color theme="1"/>
      <name val="Calibri"/>
      <family val="2"/>
      <charset val="186"/>
      <scheme val="minor"/>
    </font>
    <font>
      <sz val="24"/>
      <color theme="1"/>
      <name val="Calibri"/>
      <family val="2"/>
      <charset val="186"/>
      <scheme val="minor"/>
    </font>
    <font>
      <sz val="10"/>
      <color rgb="FF000000"/>
      <name val="Arial"/>
      <family val="2"/>
      <charset val="186"/>
    </font>
    <font>
      <b/>
      <sz val="26"/>
      <color theme="1"/>
      <name val="Times New Roman"/>
      <family val="1"/>
      <charset val="186"/>
    </font>
    <font>
      <b/>
      <sz val="22"/>
      <name val="Calibri"/>
      <family val="2"/>
      <charset val="186"/>
      <scheme val="minor"/>
    </font>
    <font>
      <sz val="22"/>
      <color theme="1"/>
      <name val="Calibri"/>
      <family val="2"/>
      <charset val="186"/>
      <scheme val="minor"/>
    </font>
    <font>
      <b/>
      <sz val="16"/>
      <color rgb="FFFF0000"/>
      <name val="Calibri"/>
      <family val="2"/>
      <charset val="186"/>
      <scheme val="minor"/>
    </font>
    <font>
      <sz val="16"/>
      <color rgb="FFFF0000"/>
      <name val="Calibri"/>
      <family val="2"/>
      <charset val="186"/>
      <scheme val="minor"/>
    </font>
    <font>
      <sz val="26"/>
      <name val="Calibri"/>
      <family val="2"/>
      <charset val="186"/>
      <scheme val="minor"/>
    </font>
    <font>
      <b/>
      <sz val="26"/>
      <name val="Calibri"/>
      <family val="2"/>
      <charset val="186"/>
      <scheme val="minor"/>
    </font>
    <font>
      <sz val="18"/>
      <name val="Calibri"/>
      <family val="2"/>
      <charset val="186"/>
      <scheme val="minor"/>
    </font>
    <font>
      <sz val="18"/>
      <color theme="0"/>
      <name val="Calibri"/>
      <family val="2"/>
      <charset val="186"/>
      <scheme val="minor"/>
    </font>
    <font>
      <sz val="18"/>
      <color theme="0" tint="-0.499984740745262"/>
      <name val="Calibri"/>
      <family val="2"/>
      <charset val="186"/>
      <scheme val="minor"/>
    </font>
    <font>
      <b/>
      <u/>
      <sz val="22"/>
      <name val="Calibri"/>
      <family val="2"/>
      <charset val="186"/>
      <scheme val="minor"/>
    </font>
    <font>
      <b/>
      <sz val="18"/>
      <color theme="0" tint="-0.499984740745262"/>
      <name val="Calibri"/>
      <family val="2"/>
      <charset val="186"/>
      <scheme val="minor"/>
    </font>
    <font>
      <sz val="12"/>
      <color theme="1"/>
      <name val="Calibri"/>
      <family val="2"/>
      <charset val="186"/>
      <scheme val="minor"/>
    </font>
    <font>
      <b/>
      <sz val="14"/>
      <color rgb="FF000000"/>
      <name val="Arial"/>
      <family val="2"/>
      <charset val="186"/>
    </font>
    <font>
      <b/>
      <i/>
      <sz val="14"/>
      <color rgb="FF000000"/>
      <name val="Arial"/>
      <family val="2"/>
      <charset val="186"/>
    </font>
    <font>
      <i/>
      <sz val="12"/>
      <color rgb="FF000000"/>
      <name val="Arial"/>
      <family val="2"/>
      <charset val="186"/>
    </font>
    <font>
      <b/>
      <u/>
      <sz val="16"/>
      <color theme="1"/>
      <name val="Calibri"/>
      <family val="2"/>
      <charset val="186"/>
      <scheme val="minor"/>
    </font>
    <font>
      <b/>
      <sz val="16"/>
      <color theme="1"/>
      <name val="Calibri"/>
      <family val="2"/>
      <charset val="186"/>
      <scheme val="minor"/>
    </font>
    <font>
      <b/>
      <sz val="12"/>
      <color theme="1"/>
      <name val="Calibri"/>
      <family val="2"/>
      <charset val="186"/>
      <scheme val="minor"/>
    </font>
    <font>
      <sz val="12"/>
      <color rgb="FFFF0000"/>
      <name val="Calibri"/>
      <family val="2"/>
      <charset val="186"/>
      <scheme val="minor"/>
    </font>
    <font>
      <b/>
      <sz val="14"/>
      <color theme="1"/>
      <name val="Calibri"/>
      <family val="2"/>
      <charset val="186"/>
      <scheme val="minor"/>
    </font>
    <font>
      <b/>
      <u/>
      <sz val="14"/>
      <color theme="1"/>
      <name val="Calibri"/>
      <family val="2"/>
      <charset val="186"/>
      <scheme val="minor"/>
    </font>
    <font>
      <b/>
      <sz val="12"/>
      <name val="Calibri"/>
      <family val="2"/>
      <charset val="186"/>
      <scheme val="minor"/>
    </font>
    <font>
      <sz val="12"/>
      <name val="Calibri"/>
      <family val="2"/>
      <charset val="186"/>
      <scheme val="minor"/>
    </font>
    <font>
      <b/>
      <sz val="10"/>
      <color rgb="FF000000"/>
      <name val="Arial"/>
      <family val="2"/>
      <charset val="186"/>
    </font>
    <font>
      <b/>
      <sz val="12"/>
      <color rgb="FFFF0000"/>
      <name val="Calibri"/>
      <family val="2"/>
      <charset val="186"/>
      <scheme val="minor"/>
    </font>
    <font>
      <sz val="10"/>
      <color rgb="FFFF0000"/>
      <name val="Arial"/>
      <family val="2"/>
      <charset val="186"/>
    </font>
    <font>
      <sz val="16"/>
      <name val="Calibri"/>
      <family val="2"/>
      <charset val="186"/>
      <scheme val="minor"/>
    </font>
    <font>
      <i/>
      <sz val="16"/>
      <name val="Calibri"/>
      <family val="2"/>
      <charset val="186"/>
      <scheme val="minor"/>
    </font>
    <font>
      <u/>
      <sz val="16"/>
      <name val="Calibri"/>
      <family val="2"/>
      <charset val="186"/>
      <scheme val="minor"/>
    </font>
    <font>
      <b/>
      <u/>
      <sz val="16"/>
      <name val="Calibri"/>
      <family val="2"/>
      <charset val="186"/>
      <scheme val="minor"/>
    </font>
    <font>
      <b/>
      <i/>
      <sz val="18"/>
      <name val="Calibri"/>
      <family val="2"/>
      <charset val="186"/>
      <scheme val="minor"/>
    </font>
    <font>
      <i/>
      <sz val="18"/>
      <name val="Calibri"/>
      <family val="2"/>
      <charset val="186"/>
      <scheme val="minor"/>
    </font>
    <font>
      <b/>
      <sz val="24"/>
      <name val="Calibri"/>
      <family val="2"/>
      <charset val="186"/>
      <scheme val="minor"/>
    </font>
    <font>
      <b/>
      <sz val="26"/>
      <color theme="1"/>
      <name val="Calibri"/>
      <family val="2"/>
      <charset val="186"/>
      <scheme val="minor"/>
    </font>
    <font>
      <i/>
      <sz val="20"/>
      <color theme="1"/>
      <name val="Calibri"/>
      <family val="2"/>
      <charset val="186"/>
      <scheme val="minor"/>
    </font>
    <font>
      <b/>
      <u/>
      <sz val="26"/>
      <color theme="1"/>
      <name val="Calibri"/>
      <family val="2"/>
      <charset val="186"/>
    </font>
    <font>
      <sz val="20"/>
      <color theme="1"/>
      <name val="Calibri"/>
      <family val="2"/>
      <charset val="186"/>
      <scheme val="minor"/>
    </font>
    <font>
      <b/>
      <sz val="18"/>
      <color rgb="FF00B050"/>
      <name val="Calibri"/>
      <family val="2"/>
      <charset val="186"/>
      <scheme val="minor"/>
    </font>
    <font>
      <b/>
      <sz val="18"/>
      <color rgb="FFFF0000"/>
      <name val="Calibri"/>
      <family val="2"/>
      <charset val="186"/>
      <scheme val="minor"/>
    </font>
    <font>
      <sz val="11"/>
      <color rgb="FF000000"/>
      <name val="Calibri"/>
      <family val="2"/>
      <scheme val="minor"/>
    </font>
    <font>
      <sz val="11"/>
      <color theme="1"/>
      <name val="Calibri"/>
      <family val="2"/>
      <scheme val="minor"/>
    </font>
    <font>
      <sz val="22"/>
      <name val="Calibri"/>
      <family val="2"/>
      <charset val="186"/>
      <scheme val="minor"/>
    </font>
    <font>
      <sz val="16"/>
      <color theme="1"/>
      <name val="Times New Roman"/>
      <family val="1"/>
      <charset val="186"/>
    </font>
    <font>
      <sz val="22"/>
      <color theme="1"/>
      <name val="Times New Roman"/>
      <family val="1"/>
      <charset val="186"/>
    </font>
    <font>
      <u/>
      <sz val="16"/>
      <color theme="10"/>
      <name val="Times New Roman"/>
      <family val="2"/>
      <charset val="186"/>
    </font>
    <font>
      <sz val="20"/>
      <name val="Times New Roman"/>
      <family val="1"/>
      <charset val="186"/>
    </font>
  </fonts>
  <fills count="17">
    <fill>
      <patternFill patternType="none"/>
    </fill>
    <fill>
      <patternFill patternType="gray125"/>
    </fill>
    <fill>
      <gradientFill degree="90">
        <stop position="0">
          <color theme="0"/>
        </stop>
        <stop position="1">
          <color rgb="FFFF0000"/>
        </stop>
      </gradientFill>
    </fill>
    <fill>
      <gradientFill degree="90">
        <stop position="0">
          <color theme="0"/>
        </stop>
        <stop position="1">
          <color theme="0" tint="-0.25098422193060094"/>
        </stop>
      </gradientFill>
    </fill>
    <fill>
      <patternFill patternType="solid">
        <fgColor rgb="FFFFFF00"/>
        <bgColor indexed="64"/>
      </patternFill>
    </fill>
    <fill>
      <gradientFill degree="90">
        <stop position="0">
          <color theme="0"/>
        </stop>
        <stop position="1">
          <color rgb="FFFFC000"/>
        </stop>
      </gradient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rgb="FFFFDCB9"/>
        <bgColor indexed="64"/>
      </patternFill>
    </fill>
    <fill>
      <patternFill patternType="solid">
        <fgColor theme="5" tint="0.39997558519241921"/>
        <bgColor indexed="64"/>
      </patternFill>
    </fill>
    <fill>
      <gradientFill degree="90">
        <stop position="0">
          <color theme="0"/>
        </stop>
        <stop position="1">
          <color rgb="FFC00000"/>
        </stop>
      </gradientFill>
    </fill>
    <fill>
      <patternFill patternType="solid">
        <fgColor rgb="FFFFC000"/>
        <bgColor indexed="64"/>
      </patternFill>
    </fill>
    <fill>
      <gradientFill degree="90">
        <stop position="0">
          <color theme="0"/>
        </stop>
        <stop position="1">
          <color theme="7"/>
        </stop>
      </gradientFill>
    </fill>
  </fills>
  <borders count="4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16" fillId="0" borderId="0" applyNumberFormat="0" applyFill="0" applyBorder="0" applyAlignment="0" applyProtection="0"/>
    <xf numFmtId="0" fontId="17" fillId="0" borderId="0"/>
    <xf numFmtId="0" fontId="21" fillId="0" borderId="0"/>
    <xf numFmtId="9" fontId="17" fillId="0" borderId="0" applyFont="0" applyFill="0" applyBorder="0" applyAlignment="0" applyProtection="0"/>
    <xf numFmtId="0" fontId="17" fillId="0" borderId="0"/>
    <xf numFmtId="9" fontId="1" fillId="0" borderId="0" applyFont="0" applyFill="0" applyBorder="0" applyAlignment="0" applyProtection="0"/>
    <xf numFmtId="0" fontId="1" fillId="0" borderId="0"/>
    <xf numFmtId="0" fontId="17" fillId="0" borderId="0"/>
    <xf numFmtId="0" fontId="62" fillId="0" borderId="0"/>
    <xf numFmtId="0" fontId="63" fillId="0" borderId="0"/>
  </cellStyleXfs>
  <cellXfs count="470">
    <xf numFmtId="0" fontId="0" fillId="0" borderId="0" xfId="0"/>
    <xf numFmtId="0" fontId="2" fillId="0" borderId="0" xfId="0" applyFont="1"/>
    <xf numFmtId="0" fontId="5" fillId="0" borderId="0" xfId="0" applyFont="1" applyAlignment="1">
      <alignment horizontal="center" vertical="center" wrapText="1"/>
    </xf>
    <xf numFmtId="0" fontId="6" fillId="0" borderId="0" xfId="0" applyFont="1"/>
    <xf numFmtId="0" fontId="2" fillId="0" borderId="0" xfId="0" applyFont="1" applyAlignment="1" applyProtection="1">
      <alignment wrapText="1"/>
    </xf>
    <xf numFmtId="49" fontId="7" fillId="3" borderId="3" xfId="3" applyNumberFormat="1" applyFont="1" applyFill="1" applyBorder="1" applyAlignment="1">
      <alignment horizontal="center" vertical="center"/>
    </xf>
    <xf numFmtId="0" fontId="2" fillId="0" borderId="0" xfId="0" applyFont="1" applyAlignment="1">
      <alignment wrapText="1"/>
    </xf>
    <xf numFmtId="3" fontId="2" fillId="0" borderId="0" xfId="0" applyNumberFormat="1" applyFont="1" applyFill="1"/>
    <xf numFmtId="0" fontId="2" fillId="0" borderId="0" xfId="0" applyFont="1" applyFill="1"/>
    <xf numFmtId="0" fontId="10" fillId="0" borderId="0" xfId="0" applyFont="1" applyFill="1"/>
    <xf numFmtId="0" fontId="2" fillId="4" borderId="0" xfId="0" applyFont="1" applyFill="1"/>
    <xf numFmtId="0" fontId="2" fillId="0" borderId="0" xfId="0" applyFont="1" applyFill="1" applyBorder="1"/>
    <xf numFmtId="0" fontId="12" fillId="0" borderId="0" xfId="0" applyFont="1" applyFill="1"/>
    <xf numFmtId="3" fontId="12" fillId="0" borderId="0" xfId="0" applyNumberFormat="1" applyFont="1" applyFill="1"/>
    <xf numFmtId="10" fontId="12" fillId="0" borderId="0" xfId="2" applyNumberFormat="1" applyFont="1" applyFill="1"/>
    <xf numFmtId="1" fontId="12" fillId="0" borderId="0" xfId="0" applyNumberFormat="1" applyFont="1" applyFill="1"/>
    <xf numFmtId="0" fontId="0" fillId="0" borderId="0" xfId="0" applyAlignment="1">
      <alignment horizontal="left" vertical="center"/>
    </xf>
    <xf numFmtId="0" fontId="14" fillId="0" borderId="0" xfId="0" applyFont="1" applyFill="1" applyAlignment="1"/>
    <xf numFmtId="0" fontId="16" fillId="0" borderId="0" xfId="6" applyFill="1" applyAlignment="1"/>
    <xf numFmtId="3" fontId="7" fillId="0" borderId="0" xfId="0" applyNumberFormat="1" applyFont="1" applyFill="1" applyBorder="1" applyAlignment="1" applyProtection="1">
      <alignment horizontal="center" vertical="center" wrapText="1"/>
    </xf>
    <xf numFmtId="4" fontId="4" fillId="0" borderId="0" xfId="0" applyNumberFormat="1" applyFont="1" applyAlignment="1">
      <alignment horizontal="center" vertical="center" wrapText="1"/>
    </xf>
    <xf numFmtId="0" fontId="7" fillId="0" borderId="0" xfId="3"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9" fontId="7" fillId="0" borderId="0" xfId="2" applyFont="1" applyFill="1" applyBorder="1" applyAlignment="1" applyProtection="1">
      <alignment horizontal="center" vertical="center" wrapText="1"/>
    </xf>
    <xf numFmtId="0" fontId="3" fillId="0" borderId="0" xfId="0" applyFont="1" applyAlignment="1">
      <alignment horizontal="center" vertical="center" wrapText="1"/>
    </xf>
    <xf numFmtId="3" fontId="11" fillId="0" borderId="0" xfId="0" applyNumberFormat="1" applyFont="1" applyFill="1"/>
    <xf numFmtId="0" fontId="18" fillId="0" borderId="0" xfId="0" applyFont="1" applyFill="1"/>
    <xf numFmtId="0" fontId="4" fillId="0" borderId="0" xfId="0" applyFont="1" applyAlignment="1">
      <alignment horizontal="center" vertical="center" wrapText="1"/>
    </xf>
    <xf numFmtId="4" fontId="5" fillId="0" borderId="0" xfId="0" applyNumberFormat="1" applyFont="1" applyAlignment="1">
      <alignment horizontal="center" vertical="center" wrapText="1"/>
    </xf>
    <xf numFmtId="0" fontId="20" fillId="0" borderId="0" xfId="0" applyFont="1" applyFill="1"/>
    <xf numFmtId="0" fontId="13" fillId="0" borderId="0" xfId="0" applyFont="1" applyBorder="1" applyAlignment="1">
      <alignment vertical="center"/>
    </xf>
    <xf numFmtId="0" fontId="22" fillId="0" borderId="0" xfId="12" applyFont="1" applyAlignment="1">
      <alignment vertical="center" wrapText="1"/>
    </xf>
    <xf numFmtId="0" fontId="18" fillId="4" borderId="0" xfId="0" applyFont="1" applyFill="1"/>
    <xf numFmtId="0" fontId="11" fillId="4" borderId="0" xfId="0" applyFont="1" applyFill="1"/>
    <xf numFmtId="164" fontId="11" fillId="0" borderId="0" xfId="1" applyFont="1" applyFill="1" applyAlignment="1" applyProtection="1">
      <alignment wrapText="1"/>
    </xf>
    <xf numFmtId="3" fontId="19" fillId="0" borderId="0" xfId="0" applyNumberFormat="1" applyFont="1" applyFill="1"/>
    <xf numFmtId="0" fontId="14" fillId="0" borderId="0" xfId="0" applyFont="1" applyFill="1" applyAlignment="1">
      <alignment horizontal="left"/>
    </xf>
    <xf numFmtId="3" fontId="7" fillId="0" borderId="2" xfId="0" applyNumberFormat="1" applyFont="1" applyFill="1" applyBorder="1" applyAlignment="1" applyProtection="1">
      <alignment horizontal="center" vertical="center" wrapText="1"/>
    </xf>
    <xf numFmtId="164" fontId="24" fillId="0" borderId="0" xfId="1" applyFont="1" applyAlignment="1" applyProtection="1">
      <alignment wrapText="1"/>
    </xf>
    <xf numFmtId="0" fontId="9" fillId="0" borderId="2" xfId="0" applyFont="1" applyFill="1" applyBorder="1" applyAlignment="1" applyProtection="1">
      <alignment horizontal="center" vertical="center" wrapText="1"/>
    </xf>
    <xf numFmtId="9" fontId="25" fillId="0" borderId="2" xfId="11" applyFont="1" applyFill="1" applyBorder="1" applyAlignment="1" applyProtection="1">
      <alignment horizontal="center" vertical="center" wrapText="1"/>
    </xf>
    <xf numFmtId="0" fontId="2" fillId="0" borderId="0" xfId="0" applyFont="1" applyAlignment="1">
      <alignment horizontal="left"/>
    </xf>
    <xf numFmtId="0" fontId="13" fillId="0" borderId="0" xfId="0" applyFont="1" applyBorder="1" applyAlignment="1">
      <alignment horizontal="left" vertical="center"/>
    </xf>
    <xf numFmtId="3" fontId="7" fillId="0" borderId="0" xfId="0" applyNumberFormat="1" applyFont="1" applyFill="1" applyBorder="1" applyAlignment="1" applyProtection="1">
      <alignment horizontal="left" vertical="center" wrapText="1"/>
    </xf>
    <xf numFmtId="9" fontId="7" fillId="0" borderId="0" xfId="2" applyFont="1" applyFill="1" applyBorder="1" applyAlignment="1" applyProtection="1">
      <alignment horizontal="left" vertical="center" wrapText="1"/>
    </xf>
    <xf numFmtId="0" fontId="2" fillId="0" borderId="0" xfId="0" applyFont="1" applyFill="1" applyAlignment="1">
      <alignment horizontal="left"/>
    </xf>
    <xf numFmtId="0" fontId="12" fillId="0" borderId="0" xfId="0" applyFont="1" applyFill="1" applyAlignment="1">
      <alignment horizontal="left"/>
    </xf>
    <xf numFmtId="10" fontId="12" fillId="0" borderId="0" xfId="2" applyNumberFormat="1" applyFont="1" applyFill="1" applyAlignment="1">
      <alignment horizontal="left"/>
    </xf>
    <xf numFmtId="3" fontId="12" fillId="0" borderId="0" xfId="0" applyNumberFormat="1" applyFont="1" applyFill="1" applyAlignment="1">
      <alignment horizontal="left"/>
    </xf>
    <xf numFmtId="1" fontId="12" fillId="0" borderId="0" xfId="0" applyNumberFormat="1" applyFont="1" applyFill="1" applyAlignment="1">
      <alignment horizontal="left"/>
    </xf>
    <xf numFmtId="9" fontId="25" fillId="0" borderId="10" xfId="11" applyFont="1" applyFill="1" applyBorder="1" applyAlignment="1" applyProtection="1">
      <alignment horizontal="center" vertical="center" wrapText="1"/>
    </xf>
    <xf numFmtId="9" fontId="9" fillId="0" borderId="19" xfId="11" applyFont="1" applyFill="1" applyBorder="1" applyAlignment="1" applyProtection="1">
      <alignment horizontal="center" vertical="center" wrapText="1"/>
    </xf>
    <xf numFmtId="9" fontId="25" fillId="0" borderId="20" xfId="11" applyFont="1" applyFill="1" applyBorder="1" applyAlignment="1" applyProtection="1">
      <alignment horizontal="center" vertical="center" wrapText="1"/>
    </xf>
    <xf numFmtId="49" fontId="7" fillId="3" borderId="4" xfId="3" applyNumberFormat="1" applyFont="1" applyFill="1" applyBorder="1" applyAlignment="1">
      <alignment horizontal="center" vertical="center"/>
    </xf>
    <xf numFmtId="9" fontId="9" fillId="0" borderId="2" xfId="11" applyFont="1" applyFill="1" applyBorder="1" applyAlignment="1" applyProtection="1">
      <alignment horizontal="center" vertical="center" wrapText="1"/>
    </xf>
    <xf numFmtId="3" fontId="7" fillId="0" borderId="3" xfId="0" applyNumberFormat="1" applyFont="1" applyFill="1" applyBorder="1" applyAlignment="1" applyProtection="1">
      <alignment horizontal="center" vertical="center" wrapText="1"/>
    </xf>
    <xf numFmtId="3" fontId="7" fillId="0" borderId="15" xfId="0" applyNumberFormat="1" applyFont="1" applyFill="1" applyBorder="1" applyAlignment="1" applyProtection="1">
      <alignment horizontal="center" vertical="center" wrapText="1"/>
    </xf>
    <xf numFmtId="9" fontId="7" fillId="0" borderId="3" xfId="2" applyFont="1" applyFill="1" applyBorder="1" applyAlignment="1" applyProtection="1">
      <alignment horizontal="center" vertical="center" wrapText="1"/>
    </xf>
    <xf numFmtId="49" fontId="7" fillId="3" borderId="14" xfId="3" applyNumberFormat="1" applyFont="1" applyFill="1" applyBorder="1" applyAlignment="1">
      <alignment horizontal="center" vertical="center"/>
    </xf>
    <xf numFmtId="49" fontId="7" fillId="3" borderId="7" xfId="3" applyNumberFormat="1" applyFont="1" applyFill="1" applyBorder="1" applyAlignment="1">
      <alignment horizontal="center" vertical="center"/>
    </xf>
    <xf numFmtId="0" fontId="7" fillId="0" borderId="3" xfId="3" applyNumberFormat="1" applyFont="1" applyFill="1" applyBorder="1" applyAlignment="1" applyProtection="1">
      <alignment horizontal="center" vertical="center"/>
    </xf>
    <xf numFmtId="0" fontId="7" fillId="0" borderId="3" xfId="0" applyFont="1" applyFill="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3" fontId="6" fillId="0" borderId="3" xfId="0" applyNumberFormat="1" applyFont="1" applyFill="1" applyBorder="1" applyAlignment="1" applyProtection="1">
      <alignment horizontal="center" vertical="center" wrapText="1"/>
    </xf>
    <xf numFmtId="3" fontId="7" fillId="0" borderId="27" xfId="0"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center" vertical="center" wrapText="1"/>
    </xf>
    <xf numFmtId="3" fontId="7" fillId="0" borderId="29" xfId="0" applyNumberFormat="1" applyFont="1" applyFill="1" applyBorder="1" applyAlignment="1" applyProtection="1">
      <alignment horizontal="center" vertical="center" wrapText="1"/>
    </xf>
    <xf numFmtId="49" fontId="7" fillId="3" borderId="30" xfId="3" applyNumberFormat="1" applyFont="1" applyFill="1" applyBorder="1" applyAlignment="1">
      <alignment horizontal="center" vertical="center"/>
    </xf>
    <xf numFmtId="49" fontId="7" fillId="3" borderId="31" xfId="3" applyNumberFormat="1" applyFont="1" applyFill="1" applyBorder="1" applyAlignment="1">
      <alignment horizontal="center" vertical="center"/>
    </xf>
    <xf numFmtId="49" fontId="7" fillId="3" borderId="32" xfId="3" applyNumberFormat="1" applyFont="1" applyFill="1" applyBorder="1" applyAlignment="1">
      <alignment horizontal="center" vertical="center"/>
    </xf>
    <xf numFmtId="0" fontId="29" fillId="0" borderId="2" xfId="0" applyFont="1" applyFill="1" applyBorder="1" applyAlignment="1" applyProtection="1">
      <alignment horizontal="left" vertical="center" wrapText="1"/>
    </xf>
    <xf numFmtId="166" fontId="29" fillId="0" borderId="3" xfId="1" applyNumberFormat="1" applyFont="1" applyFill="1" applyBorder="1" applyAlignment="1" applyProtection="1">
      <alignment horizontal="center" vertical="center" wrapText="1"/>
    </xf>
    <xf numFmtId="9" fontId="29" fillId="0" borderId="2" xfId="2" applyFont="1" applyFill="1" applyBorder="1" applyAlignment="1" applyProtection="1">
      <alignment horizontal="center" vertical="center" wrapText="1"/>
    </xf>
    <xf numFmtId="166" fontId="29" fillId="0" borderId="15" xfId="1" applyNumberFormat="1" applyFont="1" applyFill="1" applyBorder="1" applyAlignment="1" applyProtection="1">
      <alignment horizontal="center" vertical="center" wrapText="1"/>
    </xf>
    <xf numFmtId="166" fontId="29" fillId="0" borderId="19" xfId="1" applyNumberFormat="1" applyFont="1" applyFill="1" applyBorder="1" applyAlignment="1" applyProtection="1">
      <alignment horizontal="center" vertical="center" wrapText="1"/>
    </xf>
    <xf numFmtId="166" fontId="29" fillId="0" borderId="2" xfId="1" applyNumberFormat="1" applyFont="1" applyFill="1" applyBorder="1" applyAlignment="1" applyProtection="1">
      <alignment horizontal="center" vertical="center" wrapText="1"/>
    </xf>
    <xf numFmtId="166" fontId="29" fillId="0" borderId="20" xfId="1" applyNumberFormat="1" applyFont="1" applyFill="1" applyBorder="1" applyAlignment="1" applyProtection="1">
      <alignment horizontal="center" vertical="center" wrapText="1"/>
    </xf>
    <xf numFmtId="0" fontId="29" fillId="0" borderId="2" xfId="0" applyFont="1" applyFill="1" applyBorder="1" applyAlignment="1" applyProtection="1">
      <alignment vertical="center" wrapText="1"/>
    </xf>
    <xf numFmtId="9" fontId="15" fillId="2" borderId="2" xfId="2" applyFont="1" applyFill="1" applyBorder="1" applyAlignment="1" applyProtection="1">
      <alignment horizontal="center" vertical="center" wrapText="1"/>
    </xf>
    <xf numFmtId="9" fontId="15" fillId="5" borderId="2" xfId="2" applyFont="1" applyFill="1" applyBorder="1" applyAlignment="1" applyProtection="1">
      <alignment horizontal="center" vertical="center" wrapText="1"/>
    </xf>
    <xf numFmtId="0" fontId="29" fillId="0" borderId="3" xfId="3" applyNumberFormat="1" applyFont="1" applyFill="1" applyBorder="1" applyAlignment="1" applyProtection="1">
      <alignment horizontal="center" vertical="center"/>
    </xf>
    <xf numFmtId="0" fontId="15" fillId="0" borderId="3" xfId="3" applyNumberFormat="1" applyFont="1" applyFill="1" applyBorder="1" applyAlignment="1" applyProtection="1">
      <alignment horizontal="center" vertical="center"/>
    </xf>
    <xf numFmtId="0" fontId="29" fillId="0" borderId="3" xfId="0" applyFont="1" applyFill="1" applyBorder="1" applyAlignment="1" applyProtection="1">
      <alignment horizontal="left" vertical="center" wrapText="1"/>
    </xf>
    <xf numFmtId="0" fontId="29" fillId="0" borderId="3" xfId="0" applyFont="1" applyFill="1" applyBorder="1" applyAlignment="1" applyProtection="1">
      <alignment horizontal="center" vertical="center" wrapText="1"/>
    </xf>
    <xf numFmtId="9" fontId="30" fillId="0" borderId="3" xfId="2" applyFont="1" applyFill="1" applyBorder="1" applyAlignment="1" applyProtection="1">
      <alignment horizontal="center" vertical="center" wrapText="1"/>
    </xf>
    <xf numFmtId="9" fontId="29" fillId="0" borderId="3" xfId="2" applyFont="1" applyFill="1" applyBorder="1" applyAlignment="1" applyProtection="1">
      <alignment horizontal="center" vertical="center" wrapText="1"/>
    </xf>
    <xf numFmtId="9" fontId="29" fillId="0" borderId="9" xfId="2" applyFont="1" applyFill="1" applyBorder="1" applyAlignment="1" applyProtection="1">
      <alignment horizontal="center" vertical="center" wrapText="1"/>
    </xf>
    <xf numFmtId="166" fontId="29" fillId="0" borderId="26" xfId="1" applyNumberFormat="1" applyFont="1" applyFill="1" applyBorder="1" applyAlignment="1" applyProtection="1">
      <alignment horizontal="center" vertical="center" wrapText="1"/>
    </xf>
    <xf numFmtId="0" fontId="29" fillId="0" borderId="2" xfId="3" applyNumberFormat="1" applyFont="1" applyFill="1" applyBorder="1" applyAlignment="1" applyProtection="1">
      <alignment horizontal="center" vertical="center"/>
    </xf>
    <xf numFmtId="0" fontId="15" fillId="0" borderId="2" xfId="3" applyNumberFormat="1" applyFont="1" applyFill="1" applyBorder="1" applyAlignment="1" applyProtection="1">
      <alignment horizontal="center" vertical="center"/>
    </xf>
    <xf numFmtId="0" fontId="29" fillId="0" borderId="2" xfId="0" applyFont="1" applyFill="1" applyBorder="1" applyAlignment="1" applyProtection="1">
      <alignment horizontal="center" vertical="center" wrapText="1"/>
    </xf>
    <xf numFmtId="9" fontId="30" fillId="0" borderId="2" xfId="2" applyFont="1" applyFill="1" applyBorder="1" applyAlignment="1" applyProtection="1">
      <alignment horizontal="center" vertical="center" wrapText="1"/>
    </xf>
    <xf numFmtId="9" fontId="29" fillId="2" borderId="2" xfId="2" applyFont="1" applyFill="1" applyBorder="1" applyAlignment="1" applyProtection="1">
      <alignment horizontal="center" vertical="center" wrapText="1"/>
    </xf>
    <xf numFmtId="9" fontId="29" fillId="0" borderId="11" xfId="2" applyFont="1" applyFill="1" applyBorder="1" applyAlignment="1" applyProtection="1">
      <alignment horizontal="center" vertical="center" wrapText="1"/>
    </xf>
    <xf numFmtId="0" fontId="31" fillId="0" borderId="2" xfId="3" applyNumberFormat="1" applyFont="1" applyFill="1" applyBorder="1" applyAlignment="1" applyProtection="1">
      <alignment horizontal="center" vertical="center"/>
    </xf>
    <xf numFmtId="0" fontId="29" fillId="0" borderId="5" xfId="3" applyNumberFormat="1" applyFont="1" applyFill="1" applyBorder="1" applyAlignment="1" applyProtection="1">
      <alignment horizontal="center" vertical="center"/>
    </xf>
    <xf numFmtId="0" fontId="31" fillId="0" borderId="5" xfId="3" applyNumberFormat="1" applyFont="1" applyFill="1" applyBorder="1" applyAlignment="1" applyProtection="1">
      <alignment horizontal="center" vertical="center"/>
    </xf>
    <xf numFmtId="0" fontId="29" fillId="0" borderId="5" xfId="0" applyFont="1" applyFill="1" applyBorder="1" applyAlignment="1" applyProtection="1">
      <alignment horizontal="left" vertical="center" wrapText="1"/>
    </xf>
    <xf numFmtId="0" fontId="29" fillId="0" borderId="5" xfId="0" applyFont="1" applyFill="1" applyBorder="1" applyAlignment="1" applyProtection="1">
      <alignment horizontal="center" vertical="center" wrapText="1"/>
    </xf>
    <xf numFmtId="9" fontId="30" fillId="0" borderId="5" xfId="2" applyFont="1" applyFill="1" applyBorder="1" applyAlignment="1" applyProtection="1">
      <alignment horizontal="center" vertical="center" wrapText="1"/>
    </xf>
    <xf numFmtId="9" fontId="29" fillId="0" borderId="5" xfId="2" applyFont="1" applyFill="1" applyBorder="1" applyAlignment="1" applyProtection="1">
      <alignment horizontal="center" vertical="center" wrapText="1"/>
    </xf>
    <xf numFmtId="9" fontId="29" fillId="0" borderId="8" xfId="2" applyFont="1" applyFill="1" applyBorder="1" applyAlignment="1" applyProtection="1">
      <alignment horizontal="center" vertical="center" wrapText="1"/>
    </xf>
    <xf numFmtId="3" fontId="29" fillId="0" borderId="2" xfId="0" applyNumberFormat="1" applyFont="1" applyFill="1" applyBorder="1" applyAlignment="1" applyProtection="1">
      <alignment horizontal="center" vertical="center" wrapText="1"/>
    </xf>
    <xf numFmtId="3" fontId="29" fillId="0" borderId="2" xfId="0" applyNumberFormat="1" applyFont="1" applyFill="1" applyBorder="1" applyAlignment="1" applyProtection="1">
      <alignment vertical="center" wrapText="1"/>
    </xf>
    <xf numFmtId="0" fontId="29" fillId="0" borderId="4" xfId="3" applyNumberFormat="1" applyFont="1" applyFill="1" applyBorder="1" applyAlignment="1" applyProtection="1">
      <alignment horizontal="center" vertical="center"/>
    </xf>
    <xf numFmtId="0" fontId="29" fillId="0" borderId="4" xfId="0" applyFont="1" applyFill="1" applyBorder="1" applyAlignment="1" applyProtection="1">
      <alignment horizontal="left" vertical="center" wrapText="1"/>
    </xf>
    <xf numFmtId="0" fontId="29" fillId="0" borderId="4" xfId="0" applyFont="1" applyFill="1" applyBorder="1" applyAlignment="1" applyProtection="1">
      <alignment horizontal="center" vertical="center" wrapText="1"/>
    </xf>
    <xf numFmtId="165" fontId="29" fillId="0" borderId="2" xfId="0" applyNumberFormat="1" applyFont="1" applyFill="1" applyBorder="1" applyAlignment="1" applyProtection="1">
      <alignment horizontal="center" vertical="center" wrapText="1"/>
    </xf>
    <xf numFmtId="9" fontId="30" fillId="0" borderId="4" xfId="2" applyFont="1" applyFill="1" applyBorder="1" applyAlignment="1" applyProtection="1">
      <alignment horizontal="center" vertical="center" wrapText="1"/>
    </xf>
    <xf numFmtId="9" fontId="29" fillId="0" borderId="4" xfId="2" applyFont="1" applyFill="1" applyBorder="1" applyAlignment="1" applyProtection="1">
      <alignment horizontal="center" vertical="center" wrapText="1"/>
    </xf>
    <xf numFmtId="166" fontId="29" fillId="0" borderId="5" xfId="1" applyNumberFormat="1" applyFont="1" applyFill="1" applyBorder="1" applyAlignment="1" applyProtection="1">
      <alignment horizontal="center" vertical="center" wrapText="1"/>
    </xf>
    <xf numFmtId="166" fontId="29" fillId="0" borderId="24" xfId="1" applyNumberFormat="1" applyFont="1" applyFill="1" applyBorder="1" applyAlignment="1" applyProtection="1">
      <alignment horizontal="center" vertical="center" wrapText="1"/>
    </xf>
    <xf numFmtId="9" fontId="29" fillId="2" borderId="3" xfId="2" applyFont="1" applyFill="1" applyBorder="1" applyAlignment="1" applyProtection="1">
      <alignment horizontal="center" vertical="center" wrapText="1"/>
    </xf>
    <xf numFmtId="9" fontId="29" fillId="5" borderId="2" xfId="2" applyFont="1" applyFill="1" applyBorder="1" applyAlignment="1" applyProtection="1">
      <alignment horizontal="center" vertical="center" wrapText="1"/>
    </xf>
    <xf numFmtId="0" fontId="15" fillId="0" borderId="5" xfId="3" applyNumberFormat="1" applyFont="1" applyFill="1" applyBorder="1" applyAlignment="1" applyProtection="1">
      <alignment horizontal="center" vertical="center"/>
    </xf>
    <xf numFmtId="3" fontId="29" fillId="0" borderId="16" xfId="0" applyNumberFormat="1" applyFont="1" applyFill="1" applyBorder="1" applyAlignment="1" applyProtection="1">
      <alignment horizontal="left" vertical="center" wrapText="1"/>
    </xf>
    <xf numFmtId="3" fontId="29" fillId="0" borderId="6" xfId="0" applyNumberFormat="1" applyFont="1" applyFill="1" applyBorder="1" applyAlignment="1" applyProtection="1">
      <alignment horizontal="left" vertical="center" wrapText="1"/>
    </xf>
    <xf numFmtId="3" fontId="29" fillId="0" borderId="13" xfId="0" applyNumberFormat="1" applyFont="1" applyFill="1" applyBorder="1" applyAlignment="1" applyProtection="1">
      <alignment horizontal="left" vertical="center" wrapText="1"/>
    </xf>
    <xf numFmtId="3" fontId="29" fillId="0" borderId="7" xfId="0" applyNumberFormat="1" applyFont="1" applyFill="1" applyBorder="1" applyAlignment="1" applyProtection="1">
      <alignment horizontal="left" vertical="center" wrapText="1"/>
    </xf>
    <xf numFmtId="9" fontId="29" fillId="2" borderId="2" xfId="2" applyFont="1" applyFill="1" applyBorder="1" applyAlignment="1" applyProtection="1">
      <alignment vertical="center" wrapText="1"/>
    </xf>
    <xf numFmtId="9" fontId="29" fillId="5" borderId="2" xfId="2" applyFont="1" applyFill="1" applyBorder="1" applyAlignment="1" applyProtection="1">
      <alignment vertical="center" wrapText="1"/>
    </xf>
    <xf numFmtId="9" fontId="29" fillId="5" borderId="3" xfId="2" applyFont="1" applyFill="1" applyBorder="1" applyAlignment="1" applyProtection="1">
      <alignment horizontal="center" vertical="center" wrapText="1"/>
    </xf>
    <xf numFmtId="9" fontId="29" fillId="2" borderId="5" xfId="2" applyFont="1" applyFill="1" applyBorder="1" applyAlignment="1" applyProtection="1">
      <alignment horizontal="center" vertical="center" wrapText="1"/>
    </xf>
    <xf numFmtId="0" fontId="29" fillId="2" borderId="2"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wrapText="1"/>
    </xf>
    <xf numFmtId="9" fontId="29" fillId="5" borderId="3" xfId="2" applyFont="1" applyFill="1" applyBorder="1" applyAlignment="1" applyProtection="1">
      <alignment horizontal="left" vertical="center" wrapText="1"/>
    </xf>
    <xf numFmtId="167" fontId="2" fillId="0" borderId="0" xfId="0" applyNumberFormat="1" applyFont="1" applyFill="1"/>
    <xf numFmtId="9" fontId="9" fillId="0" borderId="2" xfId="11" applyFont="1" applyFill="1" applyBorder="1" applyAlignment="1" applyProtection="1">
      <alignment horizontal="center" vertical="center" wrapText="1"/>
    </xf>
    <xf numFmtId="9" fontId="29" fillId="0" borderId="4" xfId="2" applyFont="1" applyFill="1" applyBorder="1" applyAlignment="1" applyProtection="1">
      <alignment horizontal="center" vertical="center" wrapText="1"/>
    </xf>
    <xf numFmtId="9" fontId="29" fillId="0" borderId="3" xfId="2" applyFont="1" applyFill="1" applyBorder="1" applyAlignment="1" applyProtection="1">
      <alignment horizontal="center" vertical="center" wrapText="1"/>
    </xf>
    <xf numFmtId="166" fontId="29" fillId="0" borderId="3" xfId="1" applyNumberFormat="1" applyFont="1" applyFill="1" applyBorder="1" applyAlignment="1" applyProtection="1">
      <alignment horizontal="center" vertical="center" wrapText="1"/>
    </xf>
    <xf numFmtId="166" fontId="29" fillId="0" borderId="15" xfId="1" applyNumberFormat="1" applyFont="1" applyFill="1" applyBorder="1" applyAlignment="1" applyProtection="1">
      <alignment horizontal="center" vertical="center" wrapText="1"/>
    </xf>
    <xf numFmtId="166" fontId="29" fillId="0" borderId="25" xfId="1" applyNumberFormat="1" applyFont="1" applyFill="1" applyBorder="1" applyAlignment="1" applyProtection="1">
      <alignment horizontal="center" vertical="center" wrapText="1"/>
    </xf>
    <xf numFmtId="9" fontId="30" fillId="0" borderId="4" xfId="2" applyFont="1" applyFill="1" applyBorder="1" applyAlignment="1" applyProtection="1">
      <alignment horizontal="center" vertical="center" wrapText="1"/>
    </xf>
    <xf numFmtId="9" fontId="30" fillId="0" borderId="3" xfId="2" applyFont="1" applyFill="1" applyBorder="1" applyAlignment="1" applyProtection="1">
      <alignment horizontal="center" vertical="center" wrapText="1"/>
    </xf>
    <xf numFmtId="166" fontId="29" fillId="0" borderId="26" xfId="1" applyNumberFormat="1" applyFont="1" applyFill="1" applyBorder="1" applyAlignment="1" applyProtection="1">
      <alignment horizontal="center" vertical="center" wrapText="1"/>
    </xf>
    <xf numFmtId="9" fontId="30" fillId="0" borderId="5" xfId="2" applyFont="1" applyFill="1" applyBorder="1" applyAlignment="1" applyProtection="1">
      <alignment horizontal="center" vertical="center" wrapText="1"/>
    </xf>
    <xf numFmtId="9" fontId="29" fillId="0" borderId="5" xfId="2" applyFont="1" applyFill="1" applyBorder="1" applyAlignment="1" applyProtection="1">
      <alignment horizontal="center" vertical="center" wrapText="1"/>
    </xf>
    <xf numFmtId="3" fontId="29" fillId="0" borderId="13" xfId="0" applyNumberFormat="1" applyFont="1" applyFill="1" applyBorder="1" applyAlignment="1" applyProtection="1">
      <alignment horizontal="left" vertical="center" wrapText="1"/>
    </xf>
    <xf numFmtId="3" fontId="29" fillId="0" borderId="16" xfId="0" applyNumberFormat="1" applyFont="1" applyFill="1" applyBorder="1" applyAlignment="1" applyProtection="1">
      <alignment horizontal="left" vertical="center" wrapText="1"/>
    </xf>
    <xf numFmtId="3" fontId="29" fillId="0" borderId="7" xfId="0" applyNumberFormat="1" applyFont="1" applyFill="1" applyBorder="1" applyAlignment="1" applyProtection="1">
      <alignment horizontal="left" vertical="center" wrapText="1"/>
    </xf>
    <xf numFmtId="3" fontId="29" fillId="0" borderId="13" xfId="0" applyNumberFormat="1" applyFont="1" applyFill="1" applyBorder="1" applyAlignment="1" applyProtection="1">
      <alignment horizontal="left" vertical="center" wrapText="1"/>
    </xf>
    <xf numFmtId="3" fontId="29" fillId="0" borderId="16" xfId="0" applyNumberFormat="1" applyFont="1" applyFill="1" applyBorder="1" applyAlignment="1" applyProtection="1">
      <alignment horizontal="left" vertical="center" wrapText="1"/>
    </xf>
    <xf numFmtId="3" fontId="29" fillId="0" borderId="7" xfId="0" applyNumberFormat="1" applyFont="1" applyFill="1" applyBorder="1" applyAlignment="1" applyProtection="1">
      <alignment horizontal="left" vertical="center" wrapText="1"/>
    </xf>
    <xf numFmtId="9" fontId="30" fillId="0" borderId="5" xfId="2" applyFont="1" applyFill="1" applyBorder="1" applyAlignment="1" applyProtection="1">
      <alignment horizontal="center" vertical="center" wrapText="1"/>
    </xf>
    <xf numFmtId="9" fontId="30" fillId="0" borderId="3" xfId="2" applyFont="1" applyFill="1" applyBorder="1" applyAlignment="1" applyProtection="1">
      <alignment horizontal="center" vertical="center" wrapText="1"/>
    </xf>
    <xf numFmtId="9" fontId="29" fillId="0" borderId="5" xfId="2" applyFont="1" applyFill="1" applyBorder="1" applyAlignment="1" applyProtection="1">
      <alignment horizontal="center" vertical="center" wrapText="1"/>
    </xf>
    <xf numFmtId="9" fontId="29" fillId="0" borderId="3" xfId="2" applyFont="1" applyFill="1" applyBorder="1" applyAlignment="1" applyProtection="1">
      <alignment horizontal="center" vertical="center" wrapText="1"/>
    </xf>
    <xf numFmtId="166" fontId="29" fillId="0" borderId="25" xfId="1" applyNumberFormat="1" applyFont="1" applyFill="1" applyBorder="1" applyAlignment="1" applyProtection="1">
      <alignment horizontal="center" vertical="center" wrapText="1"/>
    </xf>
    <xf numFmtId="9" fontId="30" fillId="0" borderId="4" xfId="2" applyFont="1" applyFill="1" applyBorder="1" applyAlignment="1" applyProtection="1">
      <alignment horizontal="center" vertical="center" wrapText="1"/>
    </xf>
    <xf numFmtId="9" fontId="29" fillId="0" borderId="4" xfId="2" applyFont="1" applyFill="1" applyBorder="1" applyAlignment="1" applyProtection="1">
      <alignment horizontal="center" vertical="center" wrapText="1"/>
    </xf>
    <xf numFmtId="166" fontId="29" fillId="0" borderId="3" xfId="1" applyNumberFormat="1" applyFont="1" applyFill="1" applyBorder="1" applyAlignment="1" applyProtection="1">
      <alignment horizontal="center" vertical="center" wrapText="1"/>
    </xf>
    <xf numFmtId="166" fontId="29" fillId="0" borderId="26" xfId="1" applyNumberFormat="1" applyFont="1" applyFill="1" applyBorder="1" applyAlignment="1" applyProtection="1">
      <alignment horizontal="center" vertical="center" wrapText="1"/>
    </xf>
    <xf numFmtId="166" fontId="29" fillId="0" borderId="15" xfId="1" applyNumberFormat="1" applyFont="1" applyFill="1" applyBorder="1" applyAlignment="1" applyProtection="1">
      <alignment horizontal="center" vertical="center" wrapText="1"/>
    </xf>
    <xf numFmtId="9" fontId="9" fillId="0" borderId="2" xfId="11"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1" fillId="0" borderId="2" xfId="0" applyFont="1" applyFill="1" applyBorder="1" applyAlignment="1" applyProtection="1">
      <alignment horizontal="center" vertical="center" wrapText="1"/>
    </xf>
    <xf numFmtId="166" fontId="31" fillId="0" borderId="3" xfId="1" applyNumberFormat="1" applyFont="1" applyFill="1" applyBorder="1" applyAlignment="1" applyProtection="1">
      <alignment horizontal="center" vertical="center" wrapText="1"/>
    </xf>
    <xf numFmtId="9" fontId="31" fillId="0" borderId="2" xfId="2" applyFont="1" applyFill="1" applyBorder="1" applyAlignment="1" applyProtection="1">
      <alignment horizontal="center" vertical="center" wrapText="1"/>
    </xf>
    <xf numFmtId="166" fontId="31" fillId="0" borderId="15" xfId="1" applyNumberFormat="1" applyFont="1" applyFill="1" applyBorder="1" applyAlignment="1" applyProtection="1">
      <alignment horizontal="center" vertical="center" wrapText="1"/>
    </xf>
    <xf numFmtId="166" fontId="31" fillId="0" borderId="25" xfId="1" applyNumberFormat="1" applyFont="1" applyFill="1" applyBorder="1" applyAlignment="1" applyProtection="1">
      <alignment horizontal="center" vertical="center" wrapText="1"/>
    </xf>
    <xf numFmtId="166" fontId="31" fillId="0" borderId="26" xfId="1" applyNumberFormat="1" applyFont="1" applyFill="1" applyBorder="1" applyAlignment="1" applyProtection="1">
      <alignment horizontal="center" vertical="center" wrapText="1"/>
    </xf>
    <xf numFmtId="3" fontId="31" fillId="0" borderId="6" xfId="0" applyNumberFormat="1" applyFont="1" applyFill="1" applyBorder="1" applyAlignment="1" applyProtection="1">
      <alignment horizontal="left" vertical="center" wrapText="1"/>
    </xf>
    <xf numFmtId="0" fontId="31" fillId="0" borderId="5" xfId="0" applyFont="1" applyFill="1" applyBorder="1" applyAlignment="1" applyProtection="1">
      <alignment horizontal="left" vertical="center" wrapText="1"/>
    </xf>
    <xf numFmtId="0" fontId="31" fillId="0" borderId="5" xfId="0" applyFont="1" applyFill="1" applyBorder="1" applyAlignment="1" applyProtection="1">
      <alignment horizontal="center" vertical="center" wrapText="1"/>
    </xf>
    <xf numFmtId="9" fontId="31" fillId="0" borderId="5" xfId="2" applyFont="1" applyFill="1" applyBorder="1" applyAlignment="1" applyProtection="1">
      <alignment horizontal="center" vertical="center" wrapText="1"/>
    </xf>
    <xf numFmtId="3" fontId="31" fillId="0" borderId="13" xfId="0" applyNumberFormat="1" applyFont="1" applyFill="1" applyBorder="1" applyAlignment="1" applyProtection="1">
      <alignment horizontal="left" vertical="center" wrapText="1"/>
    </xf>
    <xf numFmtId="0" fontId="17" fillId="0" borderId="0" xfId="10"/>
    <xf numFmtId="0" fontId="17" fillId="0" borderId="0" xfId="10" applyFont="1"/>
    <xf numFmtId="0" fontId="17" fillId="0" borderId="0" xfId="10" applyBorder="1"/>
    <xf numFmtId="0" fontId="38" fillId="0" borderId="0" xfId="10" applyFont="1" applyBorder="1" applyAlignment="1">
      <alignment vertical="center" wrapText="1"/>
    </xf>
    <xf numFmtId="0" fontId="39" fillId="0" borderId="0" xfId="10" applyFont="1" applyBorder="1" applyAlignment="1">
      <alignment horizontal="center" vertical="center" wrapText="1"/>
    </xf>
    <xf numFmtId="0" fontId="34" fillId="8" borderId="41" xfId="10" applyFont="1" applyFill="1" applyBorder="1" applyAlignment="1">
      <alignment horizontal="center" vertical="center" wrapText="1"/>
    </xf>
    <xf numFmtId="0" fontId="34" fillId="8" borderId="2" xfId="10" applyFont="1" applyFill="1" applyBorder="1" applyAlignment="1">
      <alignment horizontal="center" vertical="center" textRotation="90" wrapText="1"/>
    </xf>
    <xf numFmtId="0" fontId="41" fillId="8" borderId="2" xfId="10" applyFont="1" applyFill="1" applyBorder="1" applyAlignment="1">
      <alignment horizontal="center" vertical="center" textRotation="90" wrapText="1"/>
    </xf>
    <xf numFmtId="0" fontId="41" fillId="8" borderId="20" xfId="10" applyFont="1" applyFill="1" applyBorder="1" applyAlignment="1">
      <alignment horizontal="center" vertical="center" textRotation="90" wrapText="1"/>
    </xf>
    <xf numFmtId="0" fontId="34" fillId="8" borderId="19" xfId="10" applyFont="1" applyFill="1" applyBorder="1" applyAlignment="1">
      <alignment horizontal="center" vertical="center" wrapText="1"/>
    </xf>
    <xf numFmtId="0" fontId="34" fillId="8" borderId="20" xfId="10" applyFont="1" applyFill="1" applyBorder="1" applyAlignment="1">
      <alignment horizontal="center" vertical="center" textRotation="90" wrapText="1"/>
    </xf>
    <xf numFmtId="0" fontId="17" fillId="0" borderId="0" xfId="10" applyBorder="1" applyAlignment="1">
      <alignment horizontal="center"/>
    </xf>
    <xf numFmtId="0" fontId="34" fillId="9" borderId="25" xfId="10" applyFont="1" applyFill="1" applyBorder="1" applyAlignment="1">
      <alignment horizontal="center" vertical="center"/>
    </xf>
    <xf numFmtId="0" fontId="34" fillId="9" borderId="3" xfId="10" applyFont="1" applyFill="1" applyBorder="1" applyAlignment="1">
      <alignment horizontal="center" vertical="center"/>
    </xf>
    <xf numFmtId="0" fontId="34" fillId="9" borderId="3" xfId="10" applyFont="1" applyFill="1" applyBorder="1" applyAlignment="1">
      <alignment horizontal="center" vertical="center" wrapText="1"/>
    </xf>
    <xf numFmtId="0" fontId="34" fillId="9" borderId="10" xfId="10" applyFont="1" applyFill="1" applyBorder="1" applyAlignment="1">
      <alignment horizontal="center" vertical="center" wrapText="1"/>
    </xf>
    <xf numFmtId="0" fontId="34" fillId="8" borderId="42" xfId="10" applyFont="1" applyFill="1" applyBorder="1" applyAlignment="1">
      <alignment horizontal="center" vertical="center" wrapText="1"/>
    </xf>
    <xf numFmtId="0" fontId="34" fillId="9" borderId="19" xfId="10" applyFont="1" applyFill="1" applyBorder="1" applyAlignment="1">
      <alignment horizontal="center" vertical="center" wrapText="1"/>
    </xf>
    <xf numFmtId="0" fontId="34" fillId="9" borderId="2" xfId="10" applyFont="1" applyFill="1" applyBorder="1" applyAlignment="1">
      <alignment horizontal="center" vertical="center" wrapText="1"/>
    </xf>
    <xf numFmtId="0" fontId="34" fillId="9" borderId="20" xfId="10" applyFont="1" applyFill="1" applyBorder="1" applyAlignment="1">
      <alignment horizontal="center" vertical="center" wrapText="1"/>
    </xf>
    <xf numFmtId="0" fontId="42" fillId="10" borderId="4" xfId="10" applyFont="1" applyFill="1" applyBorder="1" applyAlignment="1">
      <alignment vertical="center" wrapText="1"/>
    </xf>
    <xf numFmtId="168" fontId="42" fillId="10" borderId="4" xfId="10" applyNumberFormat="1" applyFont="1" applyFill="1" applyBorder="1" applyAlignment="1">
      <alignment horizontal="left" vertical="center" wrapText="1"/>
    </xf>
    <xf numFmtId="169" fontId="42" fillId="10" borderId="14" xfId="10" applyNumberFormat="1" applyFont="1" applyFill="1" applyBorder="1" applyAlignment="1">
      <alignment horizontal="left" vertical="center" wrapText="1"/>
    </xf>
    <xf numFmtId="9" fontId="43" fillId="8" borderId="40" xfId="9" applyNumberFormat="1" applyFont="1" applyFill="1" applyBorder="1" applyAlignment="1">
      <alignment horizontal="center" vertical="center"/>
    </xf>
    <xf numFmtId="166" fontId="42" fillId="10" borderId="23" xfId="10" applyNumberFormat="1" applyFont="1" applyFill="1" applyBorder="1" applyAlignment="1">
      <alignment horizontal="left" vertical="center" wrapText="1"/>
    </xf>
    <xf numFmtId="9" fontId="40" fillId="10" borderId="5" xfId="9" applyNumberFormat="1" applyFont="1" applyFill="1" applyBorder="1" applyAlignment="1">
      <alignment horizontal="center" vertical="center"/>
    </xf>
    <xf numFmtId="168" fontId="42" fillId="10" borderId="5" xfId="10" applyNumberFormat="1" applyFont="1" applyFill="1" applyBorder="1" applyAlignment="1">
      <alignment horizontal="left" vertical="center" wrapText="1"/>
    </xf>
    <xf numFmtId="168" fontId="42" fillId="10" borderId="24" xfId="10" applyNumberFormat="1" applyFont="1" applyFill="1" applyBorder="1" applyAlignment="1">
      <alignment horizontal="left" vertical="center" wrapText="1"/>
    </xf>
    <xf numFmtId="170" fontId="40" fillId="10" borderId="24" xfId="9" applyNumberFormat="1" applyFont="1" applyFill="1" applyBorder="1" applyAlignment="1">
      <alignment horizontal="center" vertical="center"/>
    </xf>
    <xf numFmtId="0" fontId="34" fillId="0" borderId="2" xfId="10" applyFont="1" applyBorder="1"/>
    <xf numFmtId="169" fontId="40" fillId="11" borderId="2" xfId="13" applyNumberFormat="1" applyFont="1" applyFill="1" applyBorder="1" applyAlignment="1">
      <alignment horizontal="center"/>
    </xf>
    <xf numFmtId="169" fontId="40" fillId="11" borderId="10" xfId="10" applyNumberFormat="1" applyFont="1" applyFill="1" applyBorder="1" applyAlignment="1">
      <alignment horizontal="center"/>
    </xf>
    <xf numFmtId="9" fontId="44" fillId="8" borderId="42" xfId="9" applyNumberFormat="1" applyFont="1" applyFill="1" applyBorder="1" applyAlignment="1">
      <alignment horizontal="center" vertical="center"/>
    </xf>
    <xf numFmtId="166" fontId="40" fillId="11" borderId="19" xfId="0" applyNumberFormat="1" applyFont="1" applyFill="1" applyBorder="1" applyAlignment="1">
      <alignment horizontal="center"/>
    </xf>
    <xf numFmtId="9" fontId="40" fillId="11" borderId="2" xfId="2" applyFont="1" applyFill="1" applyBorder="1" applyAlignment="1">
      <alignment horizontal="center"/>
    </xf>
    <xf numFmtId="166" fontId="40" fillId="11" borderId="2" xfId="0" applyNumberFormat="1" applyFont="1" applyFill="1" applyBorder="1" applyAlignment="1">
      <alignment horizontal="center"/>
    </xf>
    <xf numFmtId="166" fontId="40" fillId="11" borderId="20" xfId="0" applyNumberFormat="1" applyFont="1" applyFill="1" applyBorder="1" applyAlignment="1">
      <alignment horizontal="center"/>
    </xf>
    <xf numFmtId="169" fontId="40" fillId="11" borderId="19" xfId="0" applyNumberFormat="1" applyFont="1" applyFill="1" applyBorder="1" applyAlignment="1">
      <alignment horizontal="center"/>
    </xf>
    <xf numFmtId="9" fontId="40" fillId="11" borderId="20" xfId="2" applyFont="1" applyFill="1" applyBorder="1" applyAlignment="1">
      <alignment horizontal="center"/>
    </xf>
    <xf numFmtId="0" fontId="34" fillId="0" borderId="2" xfId="10" applyFont="1" applyFill="1" applyBorder="1"/>
    <xf numFmtId="169" fontId="34" fillId="0" borderId="2" xfId="13" applyNumberFormat="1" applyFont="1" applyBorder="1"/>
    <xf numFmtId="169" fontId="34" fillId="0" borderId="10" xfId="10" applyNumberFormat="1" applyFont="1" applyBorder="1"/>
    <xf numFmtId="9" fontId="45" fillId="8" borderId="42" xfId="9" applyNumberFormat="1" applyFont="1" applyFill="1" applyBorder="1" applyAlignment="1">
      <alignment horizontal="right" vertical="center"/>
    </xf>
    <xf numFmtId="166" fontId="34" fillId="0" borderId="19" xfId="0" applyNumberFormat="1" applyFont="1" applyBorder="1"/>
    <xf numFmtId="9" fontId="34" fillId="0" borderId="2" xfId="2" applyFont="1" applyBorder="1"/>
    <xf numFmtId="166" fontId="34" fillId="0" borderId="2" xfId="0" applyNumberFormat="1" applyFont="1" applyBorder="1"/>
    <xf numFmtId="166" fontId="34" fillId="0" borderId="20" xfId="0" applyNumberFormat="1" applyFont="1" applyBorder="1"/>
    <xf numFmtId="169" fontId="34" fillId="0" borderId="19" xfId="0" applyNumberFormat="1" applyFont="1" applyBorder="1"/>
    <xf numFmtId="9" fontId="34" fillId="0" borderId="20" xfId="2" applyFont="1" applyBorder="1"/>
    <xf numFmtId="169" fontId="34" fillId="0" borderId="10" xfId="10" applyNumberFormat="1" applyFont="1" applyFill="1" applyBorder="1"/>
    <xf numFmtId="0" fontId="40" fillId="12" borderId="2" xfId="10" applyFont="1" applyFill="1" applyBorder="1"/>
    <xf numFmtId="169" fontId="44" fillId="11" borderId="10" xfId="10" applyNumberFormat="1" applyFont="1" applyFill="1" applyBorder="1" applyAlignment="1">
      <alignment horizontal="center"/>
    </xf>
    <xf numFmtId="9" fontId="44" fillId="7" borderId="42" xfId="9" applyNumberFormat="1" applyFont="1" applyFill="1" applyBorder="1" applyAlignment="1">
      <alignment horizontal="center" vertical="center"/>
    </xf>
    <xf numFmtId="0" fontId="46" fillId="12" borderId="0" xfId="10" applyFont="1" applyFill="1" applyBorder="1"/>
    <xf numFmtId="171" fontId="34" fillId="0" borderId="10" xfId="10" applyNumberFormat="1" applyFont="1" applyBorder="1"/>
    <xf numFmtId="169" fontId="47" fillId="13" borderId="2" xfId="13" applyNumberFormat="1" applyFont="1" applyFill="1" applyBorder="1" applyAlignment="1">
      <alignment horizontal="center" vertical="center"/>
    </xf>
    <xf numFmtId="169" fontId="47" fillId="13" borderId="10" xfId="10" applyNumberFormat="1" applyFont="1" applyFill="1" applyBorder="1" applyAlignment="1">
      <alignment horizontal="center" vertical="center"/>
    </xf>
    <xf numFmtId="166" fontId="40" fillId="13" borderId="19" xfId="0" applyNumberFormat="1" applyFont="1" applyFill="1" applyBorder="1" applyAlignment="1">
      <alignment horizontal="center" vertical="center"/>
    </xf>
    <xf numFmtId="9" fontId="40" fillId="13" borderId="2" xfId="2" applyFont="1" applyFill="1" applyBorder="1" applyAlignment="1">
      <alignment horizontal="center" vertical="center"/>
    </xf>
    <xf numFmtId="166" fontId="40" fillId="13" borderId="2" xfId="0" applyNumberFormat="1" applyFont="1" applyFill="1" applyBorder="1" applyAlignment="1">
      <alignment horizontal="center" vertical="center"/>
    </xf>
    <xf numFmtId="166" fontId="40" fillId="13" borderId="20" xfId="0" applyNumberFormat="1" applyFont="1" applyFill="1" applyBorder="1" applyAlignment="1">
      <alignment horizontal="center" vertical="center"/>
    </xf>
    <xf numFmtId="169" fontId="47" fillId="13" borderId="19" xfId="0" applyNumberFormat="1" applyFont="1" applyFill="1" applyBorder="1" applyAlignment="1">
      <alignment horizontal="center" vertical="center"/>
    </xf>
    <xf numFmtId="9" fontId="47" fillId="13" borderId="2" xfId="2" applyFont="1" applyFill="1" applyBorder="1" applyAlignment="1">
      <alignment horizontal="center" vertical="center"/>
    </xf>
    <xf numFmtId="166" fontId="47" fillId="13" borderId="2" xfId="0" applyNumberFormat="1" applyFont="1" applyFill="1" applyBorder="1" applyAlignment="1">
      <alignment horizontal="center" vertical="center"/>
    </xf>
    <xf numFmtId="166" fontId="47" fillId="13" borderId="20" xfId="0" applyNumberFormat="1" applyFont="1" applyFill="1" applyBorder="1" applyAlignment="1">
      <alignment horizontal="center" vertical="center"/>
    </xf>
    <xf numFmtId="166" fontId="47" fillId="13" borderId="19" xfId="0" applyNumberFormat="1" applyFont="1" applyFill="1" applyBorder="1" applyAlignment="1">
      <alignment horizontal="center" vertical="center"/>
    </xf>
    <xf numFmtId="9" fontId="47" fillId="13" borderId="20" xfId="2" applyFont="1" applyFill="1" applyBorder="1" applyAlignment="1">
      <alignment horizontal="center" vertical="center"/>
    </xf>
    <xf numFmtId="169" fontId="40" fillId="11" borderId="2" xfId="13" applyNumberFormat="1" applyFont="1" applyFill="1" applyBorder="1" applyAlignment="1">
      <alignment horizontal="center" vertical="center"/>
    </xf>
    <xf numFmtId="0" fontId="17" fillId="4" borderId="0" xfId="10" applyFill="1" applyBorder="1"/>
    <xf numFmtId="169" fontId="40" fillId="11" borderId="10" xfId="10" applyNumberFormat="1" applyFont="1" applyFill="1" applyBorder="1" applyAlignment="1">
      <alignment horizontal="center" vertical="center"/>
    </xf>
    <xf numFmtId="169" fontId="44" fillId="11" borderId="2" xfId="13" applyNumberFormat="1" applyFont="1" applyFill="1" applyBorder="1" applyAlignment="1">
      <alignment horizontal="center" vertical="center"/>
    </xf>
    <xf numFmtId="169" fontId="44" fillId="11" borderId="10" xfId="10" applyNumberFormat="1" applyFont="1" applyFill="1" applyBorder="1" applyAlignment="1">
      <alignment horizontal="center" vertical="center"/>
    </xf>
    <xf numFmtId="166" fontId="44" fillId="11" borderId="19" xfId="0" applyNumberFormat="1" applyFont="1" applyFill="1" applyBorder="1" applyAlignment="1">
      <alignment horizontal="center" vertical="center"/>
    </xf>
    <xf numFmtId="9" fontId="44" fillId="11" borderId="2" xfId="2" applyFont="1" applyFill="1" applyBorder="1" applyAlignment="1">
      <alignment horizontal="center" vertical="center"/>
    </xf>
    <xf numFmtId="166" fontId="44" fillId="11" borderId="2" xfId="0" applyNumberFormat="1" applyFont="1" applyFill="1" applyBorder="1" applyAlignment="1">
      <alignment horizontal="center" vertical="center"/>
    </xf>
    <xf numFmtId="166" fontId="44" fillId="11" borderId="20" xfId="0" applyNumberFormat="1" applyFont="1" applyFill="1" applyBorder="1" applyAlignment="1">
      <alignment horizontal="center" vertical="center"/>
    </xf>
    <xf numFmtId="169" fontId="44" fillId="11" borderId="19" xfId="0" applyNumberFormat="1" applyFont="1" applyFill="1" applyBorder="1" applyAlignment="1">
      <alignment horizontal="center" vertical="center"/>
    </xf>
    <xf numFmtId="9" fontId="44" fillId="11" borderId="20" xfId="2" applyFont="1" applyFill="1" applyBorder="1" applyAlignment="1">
      <alignment horizontal="center" vertical="center"/>
    </xf>
    <xf numFmtId="168" fontId="40" fillId="11" borderId="10" xfId="10" applyNumberFormat="1" applyFont="1" applyFill="1" applyBorder="1" applyAlignment="1">
      <alignment horizontal="center" vertical="center"/>
    </xf>
    <xf numFmtId="168" fontId="34" fillId="0" borderId="10" xfId="10" applyNumberFormat="1" applyFont="1" applyBorder="1" applyAlignment="1">
      <alignment horizontal="center"/>
    </xf>
    <xf numFmtId="169" fontId="40" fillId="13" borderId="2" xfId="13" applyNumberFormat="1" applyFont="1" applyFill="1" applyBorder="1" applyAlignment="1">
      <alignment horizontal="center" vertical="center"/>
    </xf>
    <xf numFmtId="169" fontId="40" fillId="13" borderId="10" xfId="10" applyNumberFormat="1" applyFont="1" applyFill="1" applyBorder="1" applyAlignment="1">
      <alignment horizontal="center" vertical="center"/>
    </xf>
    <xf numFmtId="0" fontId="41" fillId="0" borderId="2" xfId="10" applyFont="1" applyBorder="1"/>
    <xf numFmtId="0" fontId="48" fillId="0" borderId="0" xfId="10" applyFont="1" applyBorder="1"/>
    <xf numFmtId="166" fontId="34" fillId="6" borderId="19" xfId="0" applyNumberFormat="1" applyFont="1" applyFill="1" applyBorder="1"/>
    <xf numFmtId="9" fontId="34" fillId="6" borderId="2" xfId="2" applyFont="1" applyFill="1" applyBorder="1"/>
    <xf numFmtId="166" fontId="34" fillId="6" borderId="2" xfId="0" applyNumberFormat="1" applyFont="1" applyFill="1" applyBorder="1"/>
    <xf numFmtId="166" fontId="34" fillId="6" borderId="20" xfId="0" applyNumberFormat="1" applyFont="1" applyFill="1" applyBorder="1"/>
    <xf numFmtId="172" fontId="34" fillId="6" borderId="19" xfId="0" applyNumberFormat="1" applyFont="1" applyFill="1" applyBorder="1"/>
    <xf numFmtId="9" fontId="34" fillId="6" borderId="20" xfId="2" applyFont="1" applyFill="1" applyBorder="1"/>
    <xf numFmtId="173" fontId="34" fillId="0" borderId="10" xfId="10" applyNumberFormat="1" applyFont="1" applyBorder="1"/>
    <xf numFmtId="0" fontId="34" fillId="0" borderId="45" xfId="10" applyFont="1" applyBorder="1"/>
    <xf numFmtId="0" fontId="34" fillId="0" borderId="45" xfId="10" applyFont="1" applyFill="1" applyBorder="1"/>
    <xf numFmtId="169" fontId="34" fillId="0" borderId="45" xfId="13" applyNumberFormat="1" applyFont="1" applyBorder="1"/>
    <xf numFmtId="169" fontId="34" fillId="0" borderId="46" xfId="10" applyNumberFormat="1" applyFont="1" applyBorder="1"/>
    <xf numFmtId="9" fontId="45" fillId="8" borderId="47" xfId="9" applyNumberFormat="1" applyFont="1" applyFill="1" applyBorder="1" applyAlignment="1">
      <alignment horizontal="right" vertical="center"/>
    </xf>
    <xf numFmtId="166" fontId="34" fillId="0" borderId="44" xfId="0" applyNumberFormat="1" applyFont="1" applyBorder="1"/>
    <xf numFmtId="9" fontId="34" fillId="0" borderId="45" xfId="2" applyFont="1" applyBorder="1"/>
    <xf numFmtId="166" fontId="34" fillId="0" borderId="45" xfId="0" applyNumberFormat="1" applyFont="1" applyBorder="1"/>
    <xf numFmtId="166" fontId="34" fillId="0" borderId="48" xfId="0" applyNumberFormat="1" applyFont="1" applyBorder="1"/>
    <xf numFmtId="169" fontId="34" fillId="0" borderId="44" xfId="0" applyNumberFormat="1" applyFont="1" applyBorder="1"/>
    <xf numFmtId="9" fontId="34" fillId="0" borderId="48" xfId="2" applyFont="1" applyBorder="1"/>
    <xf numFmtId="166" fontId="29" fillId="0" borderId="3" xfId="1" applyNumberFormat="1" applyFont="1" applyFill="1" applyBorder="1" applyAlignment="1" applyProtection="1">
      <alignment horizontal="center" vertical="center" wrapText="1"/>
    </xf>
    <xf numFmtId="49" fontId="23" fillId="3" borderId="10" xfId="3" applyNumberFormat="1" applyFont="1" applyFill="1" applyBorder="1" applyAlignment="1">
      <alignment horizontal="center" vertical="center"/>
    </xf>
    <xf numFmtId="49" fontId="23" fillId="3" borderId="11" xfId="3" applyNumberFormat="1" applyFont="1" applyFill="1" applyBorder="1" applyAlignment="1">
      <alignment horizontal="center" vertical="center"/>
    </xf>
    <xf numFmtId="49" fontId="23" fillId="3" borderId="6" xfId="3" applyNumberFormat="1" applyFont="1" applyFill="1" applyBorder="1" applyAlignment="1">
      <alignment horizontal="center" vertical="center"/>
    </xf>
    <xf numFmtId="9" fontId="29" fillId="0" borderId="3" xfId="2" applyFont="1" applyFill="1" applyBorder="1" applyAlignment="1" applyProtection="1">
      <alignment horizontal="center" vertical="center" wrapText="1"/>
    </xf>
    <xf numFmtId="166" fontId="29" fillId="0" borderId="3" xfId="1" applyNumberFormat="1"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9" fontId="9" fillId="0" borderId="2" xfId="11" applyFont="1" applyFill="1" applyBorder="1" applyAlignment="1" applyProtection="1">
      <alignment horizontal="center" vertical="center" wrapText="1"/>
    </xf>
    <xf numFmtId="0" fontId="15" fillId="0" borderId="2" xfId="0" applyFont="1" applyFill="1" applyBorder="1" applyAlignment="1" applyProtection="1">
      <alignment vertical="center" wrapText="1"/>
    </xf>
    <xf numFmtId="166" fontId="15" fillId="0" borderId="3" xfId="1" applyNumberFormat="1" applyFont="1" applyFill="1" applyBorder="1" applyAlignment="1" applyProtection="1">
      <alignment horizontal="center" vertical="center" wrapText="1"/>
    </xf>
    <xf numFmtId="166" fontId="15" fillId="14" borderId="3" xfId="1" applyNumberFormat="1" applyFont="1" applyFill="1" applyBorder="1" applyAlignment="1" applyProtection="1">
      <alignment horizontal="center" vertical="center" wrapText="1"/>
    </xf>
    <xf numFmtId="166" fontId="15" fillId="14" borderId="15" xfId="1" applyNumberFormat="1" applyFont="1" applyFill="1" applyBorder="1" applyAlignment="1" applyProtection="1">
      <alignment horizontal="center" vertical="center" wrapText="1"/>
    </xf>
    <xf numFmtId="166" fontId="15" fillId="0" borderId="19" xfId="1" applyNumberFormat="1" applyFont="1" applyFill="1" applyBorder="1" applyAlignment="1" applyProtection="1">
      <alignment horizontal="center" vertical="center" wrapText="1"/>
    </xf>
    <xf numFmtId="9" fontId="15" fillId="0" borderId="2" xfId="2" applyFont="1" applyFill="1" applyBorder="1" applyAlignment="1" applyProtection="1">
      <alignment horizontal="center" vertical="center" wrapText="1"/>
    </xf>
    <xf numFmtId="166" fontId="15" fillId="0" borderId="2" xfId="1" applyNumberFormat="1" applyFont="1" applyFill="1" applyBorder="1" applyAlignment="1" applyProtection="1">
      <alignment horizontal="center" vertical="center" wrapText="1"/>
    </xf>
    <xf numFmtId="166" fontId="15" fillId="0" borderId="20" xfId="1" applyNumberFormat="1" applyFont="1" applyFill="1" applyBorder="1" applyAlignment="1" applyProtection="1">
      <alignment horizontal="center" vertical="center" wrapText="1"/>
    </xf>
    <xf numFmtId="166" fontId="29" fillId="4" borderId="3" xfId="1" applyNumberFormat="1" applyFont="1" applyFill="1" applyBorder="1" applyAlignment="1" applyProtection="1">
      <alignment horizontal="center" vertical="center" wrapText="1"/>
    </xf>
    <xf numFmtId="167" fontId="11" fillId="0" borderId="0" xfId="0" applyNumberFormat="1" applyFont="1" applyFill="1" applyAlignment="1">
      <alignment horizontal="center" vertical="center"/>
    </xf>
    <xf numFmtId="166" fontId="29" fillId="0" borderId="25" xfId="1" applyNumberFormat="1" applyFont="1" applyFill="1" applyBorder="1" applyAlignment="1" applyProtection="1">
      <alignment horizontal="center" vertical="center" wrapText="1"/>
    </xf>
    <xf numFmtId="49" fontId="23" fillId="3" borderId="11" xfId="3" applyNumberFormat="1" applyFont="1" applyFill="1" applyBorder="1" applyAlignment="1">
      <alignment horizontal="center" vertical="center"/>
    </xf>
    <xf numFmtId="166" fontId="29" fillId="0" borderId="23" xfId="1" applyNumberFormat="1" applyFont="1" applyFill="1" applyBorder="1" applyAlignment="1" applyProtection="1">
      <alignment vertical="center" wrapText="1"/>
    </xf>
    <xf numFmtId="166" fontId="29" fillId="0" borderId="21" xfId="1" applyNumberFormat="1" applyFont="1" applyFill="1" applyBorder="1" applyAlignment="1" applyProtection="1">
      <alignment vertical="center" wrapText="1"/>
    </xf>
    <xf numFmtId="166" fontId="29" fillId="0" borderId="25" xfId="1" applyNumberFormat="1" applyFont="1" applyFill="1" applyBorder="1" applyAlignment="1" applyProtection="1">
      <alignment vertical="center" wrapText="1"/>
    </xf>
    <xf numFmtId="9" fontId="29" fillId="0" borderId="2" xfId="2" applyFont="1" applyFill="1" applyBorder="1" applyAlignment="1" applyProtection="1">
      <alignment vertical="center" wrapText="1"/>
    </xf>
    <xf numFmtId="0" fontId="24" fillId="0" borderId="0" xfId="0" applyFont="1" applyFill="1" applyAlignment="1">
      <alignment horizontal="center" vertical="center"/>
    </xf>
    <xf numFmtId="0" fontId="24" fillId="15" borderId="0" xfId="0" applyFont="1" applyFill="1" applyAlignment="1">
      <alignment horizontal="center" vertical="center"/>
    </xf>
    <xf numFmtId="49" fontId="7" fillId="3" borderId="2" xfId="3" applyNumberFormat="1" applyFont="1" applyFill="1" applyBorder="1" applyAlignment="1">
      <alignment horizontal="center" vertical="center"/>
    </xf>
    <xf numFmtId="9" fontId="29" fillId="0" borderId="2" xfId="2" applyFont="1" applyFill="1" applyBorder="1" applyAlignment="1" applyProtection="1">
      <alignment horizontal="left" vertical="center" wrapText="1"/>
    </xf>
    <xf numFmtId="167" fontId="18" fillId="0" borderId="0" xfId="0" applyNumberFormat="1" applyFont="1" applyFill="1"/>
    <xf numFmtId="166" fontId="29" fillId="0" borderId="3" xfId="1" applyNumberFormat="1" applyFont="1" applyFill="1" applyBorder="1" applyAlignment="1" applyProtection="1">
      <alignment horizontal="center" vertical="center" wrapText="1"/>
    </xf>
    <xf numFmtId="0" fontId="22" fillId="0" borderId="0" xfId="12" applyFont="1" applyAlignment="1">
      <alignment horizontal="center" vertical="center" wrapText="1"/>
    </xf>
    <xf numFmtId="166" fontId="29" fillId="2" borderId="2" xfId="1" applyNumberFormat="1" applyFont="1" applyFill="1" applyBorder="1" applyAlignment="1" applyProtection="1">
      <alignment horizontal="center" vertical="center" wrapText="1"/>
    </xf>
    <xf numFmtId="166" fontId="54" fillId="16" borderId="2" xfId="1" applyNumberFormat="1" applyFont="1" applyFill="1" applyBorder="1" applyAlignment="1" applyProtection="1">
      <alignment horizontal="center" vertical="center" wrapText="1"/>
    </xf>
    <xf numFmtId="9" fontId="29" fillId="16" borderId="2" xfId="2" applyFont="1" applyFill="1" applyBorder="1" applyAlignment="1" applyProtection="1">
      <alignment horizontal="center" vertical="center" wrapText="1"/>
    </xf>
    <xf numFmtId="166" fontId="29" fillId="16" borderId="2" xfId="1" applyNumberFormat="1" applyFont="1" applyFill="1" applyBorder="1" applyAlignment="1" applyProtection="1">
      <alignment horizontal="center" vertical="center" wrapText="1"/>
    </xf>
    <xf numFmtId="0" fontId="56" fillId="0" borderId="0" xfId="12" applyFont="1" applyAlignment="1">
      <alignment horizontal="center" vertical="center" wrapText="1"/>
    </xf>
    <xf numFmtId="0" fontId="57" fillId="0" borderId="0" xfId="12" applyFont="1" applyAlignment="1">
      <alignment horizontal="left" vertical="center" wrapText="1"/>
    </xf>
    <xf numFmtId="166" fontId="29" fillId="0" borderId="0" xfId="1" applyNumberFormat="1" applyFont="1" applyFill="1" applyBorder="1" applyAlignment="1" applyProtection="1">
      <alignment horizontal="center" vertical="center" wrapText="1"/>
    </xf>
    <xf numFmtId="9" fontId="9" fillId="0" borderId="2" xfId="1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9" fontId="29" fillId="0" borderId="2" xfId="2" applyFont="1" applyFill="1" applyBorder="1" applyAlignment="1" applyProtection="1">
      <alignment horizontal="center" vertical="center" wrapText="1"/>
    </xf>
    <xf numFmtId="166" fontId="29" fillId="0" borderId="2" xfId="1" applyNumberFormat="1" applyFont="1" applyFill="1" applyBorder="1" applyAlignment="1" applyProtection="1">
      <alignment horizontal="center" vertical="center" wrapText="1"/>
    </xf>
    <xf numFmtId="3" fontId="29" fillId="0" borderId="2" xfId="0" applyNumberFormat="1" applyFont="1" applyFill="1" applyBorder="1" applyAlignment="1" applyProtection="1">
      <alignment horizontal="center" vertical="center" wrapText="1"/>
    </xf>
    <xf numFmtId="9" fontId="30" fillId="0" borderId="2" xfId="2" applyFont="1" applyFill="1" applyBorder="1" applyAlignment="1" applyProtection="1">
      <alignment horizontal="center" vertical="center" wrapText="1"/>
    </xf>
    <xf numFmtId="9" fontId="29" fillId="0" borderId="2" xfId="2" applyNumberFormat="1" applyFont="1" applyFill="1" applyBorder="1" applyAlignment="1" applyProtection="1">
      <alignment horizontal="center" vertical="center" wrapText="1"/>
    </xf>
    <xf numFmtId="166" fontId="53" fillId="0" borderId="0" xfId="1" applyNumberFormat="1" applyFont="1" applyFill="1" applyBorder="1" applyAlignment="1" applyProtection="1">
      <alignment horizontal="center" vertical="center" wrapText="1"/>
    </xf>
    <xf numFmtId="166" fontId="15" fillId="0" borderId="0" xfId="1" applyNumberFormat="1" applyFont="1" applyFill="1" applyBorder="1" applyAlignment="1" applyProtection="1">
      <alignment horizontal="center" vertical="center" wrapText="1"/>
    </xf>
    <xf numFmtId="0" fontId="57" fillId="0" borderId="0" xfId="12" applyFont="1" applyFill="1" applyBorder="1" applyAlignment="1">
      <alignment vertical="top"/>
    </xf>
    <xf numFmtId="0" fontId="57" fillId="0" borderId="0" xfId="12" applyFont="1" applyFill="1" applyBorder="1" applyAlignment="1">
      <alignment horizontal="left" vertical="top" wrapText="1"/>
    </xf>
    <xf numFmtId="166" fontId="29" fillId="0" borderId="2" xfId="1" applyNumberFormat="1" applyFont="1" applyFill="1" applyBorder="1" applyAlignment="1" applyProtection="1">
      <alignment horizontal="left" vertical="center" wrapText="1"/>
    </xf>
    <xf numFmtId="0" fontId="2" fillId="0" borderId="0" xfId="0" applyFont="1" applyBorder="1" applyAlignment="1" applyProtection="1">
      <alignment wrapText="1"/>
    </xf>
    <xf numFmtId="167" fontId="59" fillId="0" borderId="0" xfId="0" applyNumberFormat="1" applyFont="1" applyFill="1"/>
    <xf numFmtId="0" fontId="59" fillId="0" borderId="0" xfId="0" applyFont="1" applyFill="1"/>
    <xf numFmtId="3" fontId="59" fillId="0" borderId="0" xfId="0" applyNumberFormat="1" applyFont="1" applyFill="1"/>
    <xf numFmtId="166" fontId="29" fillId="0" borderId="3" xfId="1" applyNumberFormat="1" applyFont="1" applyFill="1" applyBorder="1" applyAlignment="1" applyProtection="1">
      <alignment horizontal="center" vertical="center" wrapText="1"/>
    </xf>
    <xf numFmtId="9" fontId="9" fillId="0" borderId="2" xfId="11" applyFont="1" applyFill="1" applyBorder="1" applyAlignment="1" applyProtection="1">
      <alignment horizontal="center" vertical="center" wrapText="1"/>
    </xf>
    <xf numFmtId="0" fontId="56" fillId="0" borderId="0" xfId="12" applyFont="1" applyAlignment="1">
      <alignment horizontal="center" vertical="center" wrapText="1"/>
    </xf>
    <xf numFmtId="0" fontId="9" fillId="0" borderId="2" xfId="0" applyFont="1" applyFill="1" applyBorder="1" applyAlignment="1" applyProtection="1">
      <alignment horizontal="center" vertical="center" wrapText="1"/>
    </xf>
    <xf numFmtId="9" fontId="29" fillId="0" borderId="2" xfId="2" applyFont="1" applyFill="1" applyBorder="1" applyAlignment="1" applyProtection="1">
      <alignment horizontal="center" vertical="center" wrapText="1"/>
    </xf>
    <xf numFmtId="3" fontId="29" fillId="0" borderId="2" xfId="0" applyNumberFormat="1" applyFont="1" applyFill="1" applyBorder="1" applyAlignment="1" applyProtection="1">
      <alignment horizontal="center" vertical="center" wrapText="1"/>
    </xf>
    <xf numFmtId="9" fontId="30" fillId="0" borderId="2" xfId="2" applyFont="1" applyFill="1" applyBorder="1" applyAlignment="1" applyProtection="1">
      <alignment horizontal="center" vertical="center" wrapText="1"/>
    </xf>
    <xf numFmtId="166" fontId="29" fillId="0" borderId="2" xfId="1" applyNumberFormat="1" applyFont="1" applyFill="1" applyBorder="1" applyAlignment="1" applyProtection="1">
      <alignment horizontal="center" vertical="center" wrapText="1"/>
    </xf>
    <xf numFmtId="166" fontId="29" fillId="0" borderId="2" xfId="1" applyNumberFormat="1" applyFont="1" applyFill="1" applyBorder="1" applyAlignment="1" applyProtection="1">
      <alignment horizontal="center" vertical="center" wrapText="1"/>
    </xf>
    <xf numFmtId="170" fontId="60" fillId="0" borderId="2" xfId="2" applyNumberFormat="1" applyFont="1" applyFill="1" applyBorder="1" applyAlignment="1" applyProtection="1">
      <alignment horizontal="center" vertical="center" wrapText="1"/>
    </xf>
    <xf numFmtId="170" fontId="61" fillId="0" borderId="2" xfId="2" applyNumberFormat="1" applyFont="1" applyFill="1" applyBorder="1" applyAlignment="1" applyProtection="1">
      <alignment horizontal="center" vertical="center" wrapText="1"/>
    </xf>
    <xf numFmtId="166" fontId="61" fillId="0" borderId="2" xfId="1" applyNumberFormat="1" applyFont="1" applyFill="1" applyBorder="1" applyAlignment="1" applyProtection="1">
      <alignment horizontal="center" vertical="center" wrapText="1"/>
    </xf>
    <xf numFmtId="166" fontId="60" fillId="0" borderId="2" xfId="1" applyNumberFormat="1" applyFont="1" applyFill="1" applyBorder="1" applyAlignment="1" applyProtection="1">
      <alignment horizontal="center" vertical="center" wrapText="1"/>
    </xf>
    <xf numFmtId="9" fontId="9" fillId="0" borderId="2" xfId="1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166" fontId="29" fillId="0" borderId="2" xfId="1" applyNumberFormat="1" applyFont="1" applyFill="1" applyBorder="1" applyAlignment="1" applyProtection="1">
      <alignment horizontal="center" vertical="center" wrapText="1"/>
    </xf>
    <xf numFmtId="167" fontId="2" fillId="0" borderId="0" xfId="0" applyNumberFormat="1" applyFont="1" applyAlignment="1" applyProtection="1">
      <alignment wrapText="1"/>
    </xf>
    <xf numFmtId="9" fontId="60" fillId="0" borderId="2" xfId="2"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9" fontId="29" fillId="0" borderId="2" xfId="2" applyFont="1" applyFill="1" applyBorder="1" applyAlignment="1" applyProtection="1">
      <alignment horizontal="center" vertical="center" wrapText="1"/>
    </xf>
    <xf numFmtId="166" fontId="29" fillId="0" borderId="2" xfId="1" applyNumberFormat="1" applyFont="1" applyFill="1" applyBorder="1" applyAlignment="1" applyProtection="1">
      <alignment horizontal="center" vertical="center" wrapText="1"/>
    </xf>
    <xf numFmtId="0" fontId="65" fillId="0" borderId="0" xfId="0" applyFont="1"/>
    <xf numFmtId="0" fontId="24" fillId="0" borderId="0" xfId="0" applyFont="1" applyFill="1"/>
    <xf numFmtId="0" fontId="66" fillId="0" borderId="0" xfId="0" applyFont="1" applyBorder="1" applyAlignment="1">
      <alignment horizontal="left"/>
    </xf>
    <xf numFmtId="0" fontId="66" fillId="0" borderId="0" xfId="0" applyFont="1"/>
    <xf numFmtId="0" fontId="64" fillId="0" borderId="0" xfId="0" applyFont="1" applyFill="1"/>
    <xf numFmtId="0" fontId="67" fillId="0" borderId="0" xfId="6" applyFont="1"/>
    <xf numFmtId="166" fontId="29" fillId="0" borderId="2" xfId="1" applyNumberFormat="1" applyFont="1" applyFill="1" applyBorder="1" applyAlignment="1" applyProtection="1">
      <alignment horizontal="center" vertical="center" wrapText="1"/>
    </xf>
    <xf numFmtId="166" fontId="29" fillId="0" borderId="2" xfId="1" applyNumberFormat="1" applyFont="1" applyFill="1" applyBorder="1" applyAlignment="1" applyProtection="1">
      <alignment horizontal="center" vertical="center" wrapText="1"/>
    </xf>
    <xf numFmtId="166" fontId="29" fillId="0" borderId="2" xfId="1" applyNumberFormat="1" applyFont="1" applyFill="1" applyBorder="1" applyAlignment="1" applyProtection="1">
      <alignment horizontal="center" vertical="center" wrapText="1"/>
    </xf>
    <xf numFmtId="167" fontId="11" fillId="0" borderId="0" xfId="0" applyNumberFormat="1" applyFont="1" applyAlignment="1" applyProtection="1">
      <alignment wrapText="1"/>
    </xf>
    <xf numFmtId="167" fontId="10" fillId="0" borderId="0" xfId="0" applyNumberFormat="1" applyFont="1" applyFill="1"/>
    <xf numFmtId="166" fontId="29" fillId="0" borderId="2" xfId="1" applyNumberFormat="1" applyFont="1" applyFill="1" applyBorder="1" applyAlignment="1" applyProtection="1">
      <alignment horizontal="center" vertical="center" wrapText="1"/>
    </xf>
    <xf numFmtId="167" fontId="64" fillId="0" borderId="0" xfId="0" applyNumberFormat="1" applyFont="1" applyFill="1"/>
    <xf numFmtId="166" fontId="29" fillId="0" borderId="5" xfId="0" applyNumberFormat="1" applyFont="1" applyFill="1" applyBorder="1" applyAlignment="1" applyProtection="1">
      <alignment horizontal="center" vertical="center" wrapText="1"/>
    </xf>
    <xf numFmtId="166" fontId="29" fillId="0" borderId="3" xfId="0" applyNumberFormat="1" applyFont="1" applyFill="1" applyBorder="1" applyAlignment="1" applyProtection="1">
      <alignment horizontal="center" vertical="center" wrapText="1"/>
    </xf>
    <xf numFmtId="9" fontId="30" fillId="0" borderId="5" xfId="2" applyFont="1" applyFill="1" applyBorder="1" applyAlignment="1" applyProtection="1">
      <alignment horizontal="center" vertical="center" wrapText="1"/>
    </xf>
    <xf numFmtId="9" fontId="30" fillId="0" borderId="3" xfId="2" applyFont="1" applyFill="1" applyBorder="1" applyAlignment="1" applyProtection="1">
      <alignment horizontal="center" vertical="center" wrapText="1"/>
    </xf>
    <xf numFmtId="9" fontId="29" fillId="0" borderId="5" xfId="2" applyFont="1" applyFill="1" applyBorder="1" applyAlignment="1" applyProtection="1">
      <alignment horizontal="center" vertical="center" wrapText="1"/>
    </xf>
    <xf numFmtId="9" fontId="29" fillId="0" borderId="3" xfId="2" applyFont="1" applyFill="1" applyBorder="1" applyAlignment="1" applyProtection="1">
      <alignment horizontal="center" vertical="center" wrapText="1"/>
    </xf>
    <xf numFmtId="3" fontId="29" fillId="0" borderId="5" xfId="0" applyNumberFormat="1" applyFont="1" applyFill="1" applyBorder="1" applyAlignment="1" applyProtection="1">
      <alignment horizontal="center" vertical="center" wrapText="1"/>
    </xf>
    <xf numFmtId="3" fontId="29" fillId="0" borderId="4" xfId="0" applyNumberFormat="1" applyFont="1" applyFill="1" applyBorder="1" applyAlignment="1" applyProtection="1">
      <alignment horizontal="center" vertical="center" wrapText="1"/>
    </xf>
    <xf numFmtId="3" fontId="29" fillId="0" borderId="3" xfId="0" applyNumberFormat="1" applyFont="1" applyFill="1" applyBorder="1" applyAlignment="1" applyProtection="1">
      <alignment horizontal="center" vertical="center" wrapText="1"/>
    </xf>
    <xf numFmtId="166" fontId="29" fillId="0" borderId="5" xfId="1" applyNumberFormat="1" applyFont="1" applyFill="1" applyBorder="1" applyAlignment="1" applyProtection="1">
      <alignment horizontal="center" vertical="center" wrapText="1"/>
    </xf>
    <xf numFmtId="166" fontId="29" fillId="0" borderId="4" xfId="1" applyNumberFormat="1" applyFont="1" applyFill="1" applyBorder="1" applyAlignment="1" applyProtection="1">
      <alignment horizontal="center" vertical="center" wrapText="1"/>
    </xf>
    <xf numFmtId="166" fontId="29" fillId="0" borderId="3" xfId="1" applyNumberFormat="1" applyFont="1" applyFill="1" applyBorder="1" applyAlignment="1" applyProtection="1">
      <alignment horizontal="center" vertical="center" wrapText="1"/>
    </xf>
    <xf numFmtId="9" fontId="29" fillId="0" borderId="4" xfId="2" applyFont="1" applyFill="1" applyBorder="1" applyAlignment="1" applyProtection="1">
      <alignment horizontal="center" vertical="center" wrapText="1"/>
    </xf>
    <xf numFmtId="9" fontId="30" fillId="0" borderId="4" xfId="2" applyFont="1" applyFill="1" applyBorder="1" applyAlignment="1" applyProtection="1">
      <alignment horizontal="center" vertical="center" wrapText="1"/>
    </xf>
    <xf numFmtId="166" fontId="29" fillId="0" borderId="4" xfId="0" applyNumberFormat="1" applyFont="1" applyFill="1" applyBorder="1" applyAlignment="1" applyProtection="1">
      <alignment horizontal="center" vertical="center" wrapText="1"/>
    </xf>
    <xf numFmtId="0" fontId="0" fillId="0" borderId="0" xfId="0" applyAlignment="1">
      <alignment horizontal="left" vertical="center" wrapText="1"/>
    </xf>
    <xf numFmtId="0" fontId="9" fillId="0" borderId="5"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textRotation="90" wrapText="1"/>
    </xf>
    <xf numFmtId="0" fontId="26" fillId="0" borderId="4" xfId="0" applyFont="1" applyFill="1" applyBorder="1" applyAlignment="1" applyProtection="1">
      <alignment horizontal="center" vertical="center" textRotation="90" wrapText="1"/>
    </xf>
    <xf numFmtId="0" fontId="26" fillId="0" borderId="3" xfId="0" applyFont="1" applyFill="1" applyBorder="1" applyAlignment="1" applyProtection="1">
      <alignment horizontal="center" vertical="center" textRotation="90" wrapText="1"/>
    </xf>
    <xf numFmtId="9" fontId="9" fillId="0" borderId="2" xfId="11" applyFont="1" applyFill="1" applyBorder="1" applyAlignment="1" applyProtection="1">
      <alignment horizontal="center" vertical="center" wrapText="1"/>
    </xf>
    <xf numFmtId="9" fontId="9" fillId="0" borderId="10" xfId="11" applyFont="1" applyFill="1" applyBorder="1" applyAlignment="1" applyProtection="1">
      <alignment horizontal="center" vertical="center" wrapText="1"/>
    </xf>
    <xf numFmtId="9" fontId="9" fillId="0" borderId="5" xfId="11" applyFont="1" applyFill="1" applyBorder="1" applyAlignment="1" applyProtection="1">
      <alignment horizontal="center" vertical="center" wrapText="1"/>
    </xf>
    <xf numFmtId="9" fontId="9" fillId="0" borderId="12" xfId="11" applyFont="1" applyFill="1" applyBorder="1" applyAlignment="1" applyProtection="1">
      <alignment horizontal="center" vertical="center" wrapText="1"/>
    </xf>
    <xf numFmtId="0" fontId="9" fillId="0" borderId="5" xfId="0" applyFont="1" applyFill="1" applyBorder="1" applyAlignment="1" applyProtection="1">
      <alignment horizontal="center" vertical="center" textRotation="90" wrapText="1"/>
    </xf>
    <xf numFmtId="0" fontId="9" fillId="0" borderId="4" xfId="0" applyFont="1" applyFill="1" applyBorder="1" applyAlignment="1" applyProtection="1">
      <alignment horizontal="center" vertical="center" textRotation="90" wrapText="1"/>
    </xf>
    <xf numFmtId="0" fontId="9" fillId="0" borderId="3" xfId="0" applyFont="1" applyFill="1" applyBorder="1" applyAlignment="1" applyProtection="1">
      <alignment horizontal="center" vertical="center" textRotation="90" wrapText="1"/>
    </xf>
    <xf numFmtId="9" fontId="9" fillId="0" borderId="17" xfId="11" applyFont="1" applyFill="1" applyBorder="1" applyAlignment="1" applyProtection="1">
      <alignment horizontal="center" vertical="center" wrapText="1"/>
    </xf>
    <xf numFmtId="9" fontId="9" fillId="0" borderId="1" xfId="11" applyFont="1" applyFill="1" applyBorder="1" applyAlignment="1" applyProtection="1">
      <alignment horizontal="center" vertical="center" wrapText="1"/>
    </xf>
    <xf numFmtId="9" fontId="9" fillId="0" borderId="18" xfId="11" applyFont="1" applyFill="1" applyBorder="1" applyAlignment="1" applyProtection="1">
      <alignment horizontal="center" vertical="center" wrapText="1"/>
    </xf>
    <xf numFmtId="166" fontId="29" fillId="0" borderId="12" xfId="0" applyNumberFormat="1" applyFont="1" applyFill="1" applyBorder="1" applyAlignment="1" applyProtection="1">
      <alignment horizontal="center" vertical="center" wrapText="1"/>
    </xf>
    <xf numFmtId="166" fontId="29" fillId="0" borderId="15" xfId="0" applyNumberFormat="1" applyFont="1" applyFill="1" applyBorder="1" applyAlignment="1" applyProtection="1">
      <alignment horizontal="center" vertical="center" wrapText="1"/>
    </xf>
    <xf numFmtId="0" fontId="49" fillId="0" borderId="2" xfId="0" applyFont="1" applyFill="1" applyBorder="1" applyAlignment="1" applyProtection="1">
      <alignment horizontal="center" vertical="center" wrapText="1"/>
    </xf>
    <xf numFmtId="0" fontId="49" fillId="0" borderId="6" xfId="0" applyFont="1" applyFill="1" applyBorder="1" applyAlignment="1" applyProtection="1">
      <alignment horizontal="center" vertical="center" wrapText="1"/>
    </xf>
    <xf numFmtId="0" fontId="22" fillId="0" borderId="0" xfId="12" applyFont="1" applyAlignment="1">
      <alignment horizontal="center" vertical="center" wrapText="1"/>
    </xf>
    <xf numFmtId="166" fontId="29" fillId="0" borderId="22" xfId="1" applyNumberFormat="1" applyFont="1" applyFill="1" applyBorder="1" applyAlignment="1" applyProtection="1">
      <alignment horizontal="center" vertical="center" wrapText="1"/>
    </xf>
    <xf numFmtId="166" fontId="29" fillId="0" borderId="26" xfId="1" applyNumberFormat="1" applyFont="1" applyFill="1" applyBorder="1" applyAlignment="1" applyProtection="1">
      <alignment horizontal="center" vertical="center" wrapText="1"/>
    </xf>
    <xf numFmtId="166" fontId="29" fillId="0" borderId="14" xfId="1" applyNumberFormat="1" applyFont="1" applyFill="1" applyBorder="1" applyAlignment="1" applyProtection="1">
      <alignment horizontal="center" vertical="center" wrapText="1"/>
    </xf>
    <xf numFmtId="166" fontId="29" fillId="0" borderId="15" xfId="1" applyNumberFormat="1" applyFont="1" applyFill="1" applyBorder="1" applyAlignment="1" applyProtection="1">
      <alignment horizontal="center" vertical="center" wrapText="1"/>
    </xf>
    <xf numFmtId="0" fontId="27" fillId="0" borderId="23" xfId="0"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xf>
    <xf numFmtId="3" fontId="29" fillId="0" borderId="13" xfId="0" applyNumberFormat="1" applyFont="1" applyFill="1" applyBorder="1" applyAlignment="1" applyProtection="1">
      <alignment horizontal="left" vertical="center" wrapText="1"/>
    </xf>
    <xf numFmtId="3" fontId="29" fillId="0" borderId="16" xfId="0" applyNumberFormat="1" applyFont="1" applyFill="1" applyBorder="1" applyAlignment="1" applyProtection="1">
      <alignment horizontal="left" vertical="center" wrapText="1"/>
    </xf>
    <xf numFmtId="3" fontId="29" fillId="0" borderId="7" xfId="0" applyNumberFormat="1" applyFont="1" applyFill="1" applyBorder="1" applyAlignment="1" applyProtection="1">
      <alignment horizontal="left" vertical="center" wrapText="1"/>
    </xf>
    <xf numFmtId="166" fontId="29" fillId="0" borderId="24" xfId="0" applyNumberFormat="1" applyFont="1" applyFill="1" applyBorder="1" applyAlignment="1" applyProtection="1">
      <alignment horizontal="center" vertical="center" wrapText="1"/>
    </xf>
    <xf numFmtId="166" fontId="29" fillId="0" borderId="26" xfId="0" applyNumberFormat="1" applyFont="1" applyFill="1" applyBorder="1" applyAlignment="1" applyProtection="1">
      <alignment horizontal="center" vertical="center" wrapText="1"/>
    </xf>
    <xf numFmtId="0" fontId="11" fillId="0" borderId="0" xfId="0" applyFont="1" applyFill="1" applyAlignment="1">
      <alignment horizontal="left" vertical="center" wrapText="1"/>
    </xf>
    <xf numFmtId="0" fontId="11" fillId="0" borderId="0" xfId="0" applyFont="1" applyAlignment="1">
      <alignment horizontal="left" vertical="center" wrapText="1"/>
    </xf>
    <xf numFmtId="9" fontId="29" fillId="0" borderId="2" xfId="2" applyFont="1" applyFill="1" applyBorder="1" applyAlignment="1" applyProtection="1">
      <alignment horizontal="center" vertical="center" wrapText="1"/>
    </xf>
    <xf numFmtId="166" fontId="29" fillId="0" borderId="2" xfId="0" applyNumberFormat="1" applyFont="1" applyFill="1" applyBorder="1" applyAlignment="1" applyProtection="1">
      <alignment horizontal="center" vertical="center" wrapText="1"/>
    </xf>
    <xf numFmtId="3" fontId="29" fillId="0" borderId="2" xfId="0" applyNumberFormat="1" applyFont="1" applyFill="1" applyBorder="1" applyAlignment="1" applyProtection="1">
      <alignment horizontal="center" vertical="center" wrapText="1"/>
    </xf>
    <xf numFmtId="9" fontId="30" fillId="0" borderId="2" xfId="2" applyFont="1" applyFill="1" applyBorder="1" applyAlignment="1" applyProtection="1">
      <alignment horizontal="center" vertical="center" wrapText="1"/>
    </xf>
    <xf numFmtId="166" fontId="29" fillId="0" borderId="2" xfId="1" applyNumberFormat="1" applyFont="1" applyFill="1" applyBorder="1" applyAlignment="1" applyProtection="1">
      <alignment horizontal="center" vertical="center" wrapText="1"/>
    </xf>
    <xf numFmtId="49" fontId="23" fillId="3" borderId="2" xfId="3" applyNumberFormat="1" applyFont="1" applyFill="1" applyBorder="1" applyAlignment="1">
      <alignment horizontal="center" vertical="center"/>
    </xf>
    <xf numFmtId="0" fontId="9" fillId="0" borderId="2"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68" fillId="0" borderId="0" xfId="0" applyFont="1" applyAlignment="1">
      <alignment horizontal="left" vertical="top" wrapText="1"/>
    </xf>
    <xf numFmtId="0" fontId="56" fillId="0" borderId="0" xfId="12" applyFont="1" applyAlignment="1">
      <alignment horizontal="center" vertical="center" wrapText="1"/>
    </xf>
    <xf numFmtId="0" fontId="9" fillId="0" borderId="2" xfId="0" applyFont="1" applyFill="1" applyBorder="1" applyAlignment="1" applyProtection="1">
      <alignment horizontal="center" vertical="center" textRotation="90" wrapText="1"/>
    </xf>
    <xf numFmtId="0" fontId="57" fillId="0" borderId="0" xfId="12" applyFont="1" applyAlignment="1">
      <alignment horizontal="left" vertical="top" wrapText="1"/>
    </xf>
    <xf numFmtId="0" fontId="57" fillId="0" borderId="0" xfId="12" applyFont="1" applyFill="1" applyBorder="1" applyAlignment="1">
      <alignment horizontal="center" vertical="top" wrapText="1"/>
    </xf>
    <xf numFmtId="9" fontId="55" fillId="0" borderId="2" xfId="11" applyFont="1" applyFill="1" applyBorder="1" applyAlignment="1" applyProtection="1">
      <alignment horizontal="center" vertical="center" wrapText="1"/>
    </xf>
    <xf numFmtId="49" fontId="23" fillId="3" borderId="15" xfId="3" applyNumberFormat="1" applyFont="1" applyFill="1" applyBorder="1" applyAlignment="1">
      <alignment horizontal="center" vertical="center"/>
    </xf>
    <xf numFmtId="49" fontId="23" fillId="3" borderId="9" xfId="3" applyNumberFormat="1" applyFont="1" applyFill="1" applyBorder="1" applyAlignment="1">
      <alignment horizontal="center" vertical="center"/>
    </xf>
    <xf numFmtId="49" fontId="23" fillId="3" borderId="16" xfId="3" applyNumberFormat="1" applyFont="1" applyFill="1" applyBorder="1" applyAlignment="1">
      <alignment horizontal="center" vertical="center"/>
    </xf>
    <xf numFmtId="0" fontId="57" fillId="0" borderId="14" xfId="12" applyFont="1" applyBorder="1" applyAlignment="1">
      <alignment horizontal="left" vertical="top" wrapText="1"/>
    </xf>
    <xf numFmtId="0" fontId="57" fillId="0" borderId="0" xfId="12" applyFont="1" applyBorder="1" applyAlignment="1">
      <alignment horizontal="left" vertical="top" wrapText="1"/>
    </xf>
    <xf numFmtId="0" fontId="57" fillId="0" borderId="7" xfId="12" applyFont="1" applyBorder="1" applyAlignment="1">
      <alignment horizontal="left" vertical="top" wrapText="1"/>
    </xf>
    <xf numFmtId="0" fontId="57" fillId="0" borderId="14" xfId="12" applyFont="1" applyBorder="1" applyAlignment="1">
      <alignment horizontal="left" vertical="center" wrapText="1"/>
    </xf>
    <xf numFmtId="0" fontId="57" fillId="0" borderId="0" xfId="12" applyFont="1" applyBorder="1" applyAlignment="1">
      <alignment horizontal="left" vertical="center" wrapText="1"/>
    </xf>
    <xf numFmtId="0" fontId="47" fillId="0" borderId="19" xfId="10" applyFont="1" applyBorder="1" applyAlignment="1">
      <alignment horizontal="center" vertical="center" wrapText="1"/>
    </xf>
    <xf numFmtId="0" fontId="47" fillId="0" borderId="44" xfId="10" applyFont="1" applyBorder="1" applyAlignment="1">
      <alignment horizontal="center" vertical="center" wrapText="1"/>
    </xf>
    <xf numFmtId="0" fontId="44" fillId="11" borderId="2" xfId="10" applyFont="1" applyFill="1" applyBorder="1" applyAlignment="1">
      <alignment horizontal="center" vertical="center"/>
    </xf>
    <xf numFmtId="0" fontId="17" fillId="0" borderId="0" xfId="10" applyFont="1" applyAlignment="1">
      <alignment horizontal="left" wrapText="1"/>
    </xf>
    <xf numFmtId="0" fontId="34" fillId="0" borderId="19" xfId="10" applyFont="1" applyBorder="1" applyAlignment="1">
      <alignment horizontal="center" vertical="center"/>
    </xf>
    <xf numFmtId="0" fontId="40" fillId="11" borderId="2" xfId="10" applyFont="1" applyFill="1" applyBorder="1" applyAlignment="1">
      <alignment horizontal="center" vertical="center"/>
    </xf>
    <xf numFmtId="0" fontId="47" fillId="0" borderId="19" xfId="10" applyFont="1" applyBorder="1" applyAlignment="1">
      <alignment horizontal="center" vertical="center"/>
    </xf>
    <xf numFmtId="0" fontId="47" fillId="13" borderId="2" xfId="10" applyFont="1" applyFill="1" applyBorder="1" applyAlignment="1">
      <alignment horizontal="center" vertical="center"/>
    </xf>
    <xf numFmtId="0" fontId="44" fillId="0" borderId="19" xfId="10" applyFont="1" applyBorder="1" applyAlignment="1">
      <alignment horizontal="center" vertical="center"/>
    </xf>
    <xf numFmtId="0" fontId="40" fillId="11" borderId="2" xfId="10" applyFont="1" applyFill="1" applyBorder="1" applyAlignment="1">
      <alignment horizontal="center"/>
    </xf>
    <xf numFmtId="0" fontId="40" fillId="0" borderId="19" xfId="10" applyFont="1" applyBorder="1" applyAlignment="1">
      <alignment horizontal="center" vertical="center" wrapText="1"/>
    </xf>
    <xf numFmtId="0" fontId="42" fillId="10" borderId="43" xfId="10" applyFont="1" applyFill="1" applyBorder="1" applyAlignment="1">
      <alignment horizontal="center" vertical="center" wrapText="1"/>
    </xf>
    <xf numFmtId="0" fontId="42" fillId="10" borderId="0" xfId="10" applyFont="1" applyFill="1" applyBorder="1" applyAlignment="1">
      <alignment horizontal="center" vertical="center" wrapText="1"/>
    </xf>
    <xf numFmtId="0" fontId="42" fillId="10" borderId="7" xfId="10" applyFont="1" applyFill="1" applyBorder="1" applyAlignment="1">
      <alignment horizontal="center" vertical="center" wrapText="1"/>
    </xf>
    <xf numFmtId="0" fontId="34" fillId="0" borderId="19" xfId="10" applyFont="1" applyBorder="1" applyAlignment="1">
      <alignment horizontal="center" vertical="center" wrapText="1"/>
    </xf>
    <xf numFmtId="0" fontId="35" fillId="0" borderId="0" xfId="10" applyFont="1" applyAlignment="1">
      <alignment horizontal="center" vertical="center" wrapText="1"/>
    </xf>
    <xf numFmtId="0" fontId="34" fillId="7" borderId="33" xfId="10" applyFont="1" applyFill="1" applyBorder="1" applyAlignment="1">
      <alignment horizontal="center" vertical="center" wrapText="1"/>
    </xf>
    <xf numFmtId="0" fontId="34" fillId="7" borderId="25" xfId="10" applyFont="1" applyFill="1" applyBorder="1" applyAlignment="1">
      <alignment horizontal="center" vertical="center" wrapText="1"/>
    </xf>
    <xf numFmtId="0" fontId="34" fillId="7" borderId="34" xfId="10" applyFont="1" applyFill="1" applyBorder="1" applyAlignment="1">
      <alignment horizontal="center" vertical="center"/>
    </xf>
    <xf numFmtId="0" fontId="34" fillId="7" borderId="3" xfId="10" applyFont="1" applyFill="1" applyBorder="1" applyAlignment="1">
      <alignment horizontal="center" vertical="center"/>
    </xf>
    <xf numFmtId="0" fontId="34" fillId="7" borderId="34" xfId="10" applyFont="1" applyFill="1" applyBorder="1" applyAlignment="1">
      <alignment horizontal="center" vertical="center" wrapText="1"/>
    </xf>
    <xf numFmtId="0" fontId="34" fillId="7" borderId="3" xfId="10" applyFont="1" applyFill="1" applyBorder="1" applyAlignment="1">
      <alignment horizontal="center" vertical="center" wrapText="1"/>
    </xf>
    <xf numFmtId="0" fontId="34" fillId="7" borderId="35" xfId="10" applyFont="1" applyFill="1" applyBorder="1" applyAlignment="1">
      <alignment horizontal="center" vertical="center" wrapText="1"/>
    </xf>
    <xf numFmtId="0" fontId="34" fillId="7" borderId="14" xfId="10" applyFont="1" applyFill="1" applyBorder="1" applyAlignment="1">
      <alignment horizontal="center" vertical="center" wrapText="1"/>
    </xf>
    <xf numFmtId="0" fontId="41" fillId="8" borderId="36" xfId="10" applyFont="1" applyFill="1" applyBorder="1" applyAlignment="1">
      <alignment horizontal="center" vertical="center" textRotation="90" wrapText="1"/>
    </xf>
    <xf numFmtId="0" fontId="41" fillId="8" borderId="40" xfId="10" applyFont="1" applyFill="1" applyBorder="1" applyAlignment="1">
      <alignment horizontal="center" vertical="center" textRotation="90" wrapText="1"/>
    </xf>
    <xf numFmtId="0" fontId="39" fillId="8" borderId="37" xfId="10" applyFont="1" applyFill="1" applyBorder="1" applyAlignment="1">
      <alignment horizontal="center" vertical="center" wrapText="1"/>
    </xf>
    <xf numFmtId="0" fontId="39" fillId="8" borderId="38" xfId="10" applyFont="1" applyFill="1" applyBorder="1" applyAlignment="1">
      <alignment horizontal="center" vertical="center" wrapText="1"/>
    </xf>
    <xf numFmtId="0" fontId="39" fillId="8" borderId="39" xfId="10" applyFont="1" applyFill="1" applyBorder="1" applyAlignment="1">
      <alignment horizontal="center" vertical="center" wrapText="1"/>
    </xf>
    <xf numFmtId="49" fontId="23" fillId="3" borderId="10" xfId="3" applyNumberFormat="1" applyFont="1" applyFill="1" applyBorder="1" applyAlignment="1">
      <alignment horizontal="center" vertical="center"/>
    </xf>
    <xf numFmtId="49" fontId="23" fillId="3" borderId="11" xfId="3" applyNumberFormat="1" applyFont="1" applyFill="1" applyBorder="1" applyAlignment="1">
      <alignment horizontal="center" vertical="center"/>
    </xf>
    <xf numFmtId="49" fontId="23" fillId="3" borderId="6" xfId="3" applyNumberFormat="1" applyFont="1" applyFill="1" applyBorder="1" applyAlignment="1">
      <alignment horizontal="center" vertical="center"/>
    </xf>
    <xf numFmtId="0" fontId="27" fillId="0" borderId="5" xfId="0" applyFont="1" applyFill="1" applyBorder="1" applyAlignment="1" applyProtection="1">
      <alignment horizontal="center" vertical="center" wrapText="1"/>
    </xf>
    <xf numFmtId="0" fontId="27" fillId="0" borderId="7" xfId="0" applyFont="1" applyFill="1" applyBorder="1" applyAlignment="1" applyProtection="1">
      <alignment horizontal="center" vertical="center" wrapText="1"/>
    </xf>
    <xf numFmtId="166" fontId="29" fillId="0" borderId="23" xfId="1" applyNumberFormat="1" applyFont="1" applyFill="1" applyBorder="1" applyAlignment="1" applyProtection="1">
      <alignment horizontal="center" vertical="center" wrapText="1"/>
    </xf>
    <xf numFmtId="166" fontId="29" fillId="0" borderId="21" xfId="1" applyNumberFormat="1" applyFont="1" applyFill="1" applyBorder="1" applyAlignment="1" applyProtection="1">
      <alignment horizontal="center" vertical="center" wrapText="1"/>
    </xf>
    <xf numFmtId="166" fontId="29" fillId="0" borderId="25" xfId="1" applyNumberFormat="1" applyFont="1" applyFill="1" applyBorder="1" applyAlignment="1" applyProtection="1">
      <alignment horizontal="center" vertical="center" wrapText="1"/>
    </xf>
  </cellXfs>
  <cellStyles count="16">
    <cellStyle name="Comma" xfId="1" builtinId="3"/>
    <cellStyle name="Hyperlink" xfId="6" builtinId="8"/>
    <cellStyle name="Normal" xfId="0" builtinId="0"/>
    <cellStyle name="Normal 10" xfId="13"/>
    <cellStyle name="Normal 2" xfId="3"/>
    <cellStyle name="Normal 2 2 2 2 2 3" xfId="4"/>
    <cellStyle name="Normal 3" xfId="7"/>
    <cellStyle name="Normal 4" xfId="8"/>
    <cellStyle name="Normal 4 2" xfId="10"/>
    <cellStyle name="Normal 5" xfId="14"/>
    <cellStyle name="Normal 5 2" xfId="15"/>
    <cellStyle name="Normal 9" xfId="12"/>
    <cellStyle name="Percent" xfId="2" builtinId="5"/>
    <cellStyle name="Percent 2 10 2 2 4" xfId="5"/>
    <cellStyle name="Percent 5" xfId="9"/>
    <cellStyle name="Percent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fud\KOAL&#298;CIJAS%20darba%20grupa_SADARBIBAS%20PADOME\2018\1%20FEB%202018\IESUTITIE%20MATERIALI\2_FM_zinoj_ES%20fond%20un%20EEZ%20NOR\AKTUALIE%20PROJEKTI%20sutisanai%20KDG_procesa\2_1_pielik%204_FM_ES%20fondu%20Snieg%20ietv%20progn_KDG%200102108%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EVIE&#352;ANAS%20UZRAUDZ&#298;BA\IPIA\IPIA_saskanosana\Finans&#275;juma%20sa&#326;&#275;m&#275;ju%20atjaunot&#257;s%20prognozes\04.12.2017\Nos&#363;t&#299;ts%20AI%2011.12.2017\Snieguma_ietvars_FS_prognozes_FM_11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sejuma_sanemeja_prognozes"/>
      <sheetName val="EM_rezerves_ēkas_4.2.1."/>
      <sheetName val="MP iesniegšanas prognozes"/>
      <sheetName val="SI2018_izpilde_PV_Fonds"/>
      <sheetName val="MP rēkins priekš budžeta"/>
      <sheetName val="MP iesniegšanas prognozes_budž"/>
      <sheetName val="Pabeigti_projekti_maksājumi"/>
      <sheetName val="piešķīrums"/>
      <sheetName val="PMPIG_Saraksts"/>
      <sheetName val="avansi_2018"/>
      <sheetName val="SP"/>
      <sheetName val="Projektu_Piešķirtais_finan"/>
      <sheetName val="Avansi"/>
      <sheetName val="neatb_utt"/>
      <sheetName val="Sheet4"/>
    </sheetNames>
    <sheetDataSet>
      <sheetData sheetId="0" refreshError="1"/>
      <sheetData sheetId="1" refreshError="1"/>
      <sheetData sheetId="2">
        <row r="4">
          <cell r="BJ4" t="str">
            <v>Kopā</v>
          </cell>
        </row>
        <row r="6">
          <cell r="BJ6">
            <v>0</v>
          </cell>
        </row>
        <row r="7">
          <cell r="BJ7">
            <v>0</v>
          </cell>
        </row>
        <row r="8">
          <cell r="BJ8">
            <v>0</v>
          </cell>
        </row>
        <row r="9">
          <cell r="BJ9">
            <v>0</v>
          </cell>
        </row>
        <row r="10">
          <cell r="BJ10">
            <v>0</v>
          </cell>
        </row>
        <row r="11">
          <cell r="BJ11">
            <v>3403229155.0410056</v>
          </cell>
        </row>
        <row r="12">
          <cell r="BJ12">
            <v>35</v>
          </cell>
        </row>
        <row r="13">
          <cell r="BJ13">
            <v>0</v>
          </cell>
        </row>
        <row r="14">
          <cell r="BJ14">
            <v>510000</v>
          </cell>
        </row>
        <row r="15">
          <cell r="BJ15">
            <v>0</v>
          </cell>
        </row>
        <row r="16">
          <cell r="BJ16">
            <v>142456.6</v>
          </cell>
        </row>
        <row r="17">
          <cell r="BJ17">
            <v>0</v>
          </cell>
        </row>
        <row r="18">
          <cell r="BJ18">
            <v>510000</v>
          </cell>
        </row>
        <row r="19">
          <cell r="BJ19">
            <v>0</v>
          </cell>
        </row>
        <row r="20">
          <cell r="BJ20">
            <v>551350.79999999993</v>
          </cell>
        </row>
        <row r="21">
          <cell r="BJ21">
            <v>0</v>
          </cell>
        </row>
        <row r="22">
          <cell r="BJ22">
            <v>486764.4</v>
          </cell>
        </row>
        <row r="23">
          <cell r="BJ23">
            <v>0</v>
          </cell>
        </row>
        <row r="24">
          <cell r="BJ24">
            <v>496101.84</v>
          </cell>
        </row>
        <row r="25">
          <cell r="BJ25">
            <v>0</v>
          </cell>
        </row>
        <row r="26">
          <cell r="BJ26">
            <v>550257.18000000005</v>
          </cell>
        </row>
        <row r="27">
          <cell r="BJ27">
            <v>0</v>
          </cell>
        </row>
        <row r="28">
          <cell r="BJ28">
            <v>506467.23000000004</v>
          </cell>
        </row>
        <row r="29">
          <cell r="BJ29">
            <v>39367.919999999998</v>
          </cell>
        </row>
        <row r="30">
          <cell r="BJ30">
            <v>509995.58999999997</v>
          </cell>
        </row>
        <row r="31">
          <cell r="BJ31">
            <v>32162.16</v>
          </cell>
        </row>
        <row r="32">
          <cell r="BJ32">
            <v>518808.03</v>
          </cell>
        </row>
        <row r="33">
          <cell r="BJ33">
            <v>12582.53</v>
          </cell>
        </row>
        <row r="34">
          <cell r="BJ34">
            <v>285031.63</v>
          </cell>
        </row>
        <row r="35">
          <cell r="BJ35">
            <v>0</v>
          </cell>
        </row>
        <row r="36">
          <cell r="BJ36">
            <v>542625.12</v>
          </cell>
        </row>
        <row r="37">
          <cell r="BJ37">
            <v>0</v>
          </cell>
        </row>
        <row r="38">
          <cell r="BJ38">
            <v>547825</v>
          </cell>
        </row>
        <row r="39">
          <cell r="BJ39">
            <v>0</v>
          </cell>
        </row>
        <row r="40">
          <cell r="BJ40">
            <v>550800</v>
          </cell>
        </row>
        <row r="41">
          <cell r="BJ41">
            <v>0</v>
          </cell>
        </row>
        <row r="42">
          <cell r="BJ42">
            <v>551344</v>
          </cell>
        </row>
        <row r="43">
          <cell r="BJ43">
            <v>0</v>
          </cell>
        </row>
        <row r="44">
          <cell r="BJ44">
            <v>550561.29</v>
          </cell>
        </row>
        <row r="45">
          <cell r="BJ45">
            <v>0</v>
          </cell>
        </row>
        <row r="46">
          <cell r="BJ46">
            <v>548212.80999999994</v>
          </cell>
        </row>
        <row r="47">
          <cell r="BJ47">
            <v>19364.11</v>
          </cell>
        </row>
        <row r="48">
          <cell r="BJ48">
            <v>539422.82000000007</v>
          </cell>
        </row>
        <row r="49">
          <cell r="BJ49">
            <v>106060.20000000001</v>
          </cell>
        </row>
        <row r="50">
          <cell r="BJ50">
            <v>550109.38</v>
          </cell>
        </row>
        <row r="51">
          <cell r="BJ51">
            <v>0</v>
          </cell>
        </row>
        <row r="52">
          <cell r="BJ52">
            <v>551347.14</v>
          </cell>
        </row>
        <row r="53">
          <cell r="BJ53">
            <v>0</v>
          </cell>
        </row>
        <row r="54">
          <cell r="BJ54">
            <v>242458.96000000002</v>
          </cell>
        </row>
        <row r="55">
          <cell r="BJ55">
            <v>0</v>
          </cell>
        </row>
        <row r="56">
          <cell r="BJ56">
            <v>550656.97</v>
          </cell>
        </row>
        <row r="57">
          <cell r="BJ57">
            <v>0</v>
          </cell>
        </row>
        <row r="58">
          <cell r="BJ58">
            <v>551310.24</v>
          </cell>
        </row>
        <row r="59">
          <cell r="BJ59">
            <v>0</v>
          </cell>
        </row>
        <row r="60">
          <cell r="BJ60">
            <v>550800</v>
          </cell>
        </row>
        <row r="61">
          <cell r="BJ61">
            <v>0</v>
          </cell>
        </row>
        <row r="62">
          <cell r="BJ62">
            <v>170000</v>
          </cell>
        </row>
        <row r="63">
          <cell r="BJ63">
            <v>0</v>
          </cell>
        </row>
        <row r="64">
          <cell r="BJ64">
            <v>503493.42</v>
          </cell>
        </row>
        <row r="65">
          <cell r="BJ65">
            <v>0</v>
          </cell>
        </row>
        <row r="66">
          <cell r="BJ66">
            <v>493856.30000000005</v>
          </cell>
        </row>
        <row r="67">
          <cell r="BJ67">
            <v>0</v>
          </cell>
        </row>
        <row r="68">
          <cell r="BJ68">
            <v>445738.22</v>
          </cell>
        </row>
        <row r="69">
          <cell r="BJ69">
            <v>64716.94</v>
          </cell>
        </row>
        <row r="70">
          <cell r="BJ70">
            <v>550800</v>
          </cell>
        </row>
        <row r="71">
          <cell r="BJ71">
            <v>0</v>
          </cell>
        </row>
        <row r="72">
          <cell r="BJ72">
            <v>551000.16</v>
          </cell>
        </row>
        <row r="73">
          <cell r="BJ73">
            <v>0</v>
          </cell>
        </row>
        <row r="74">
          <cell r="BJ74">
            <v>498648.26999999996</v>
          </cell>
        </row>
        <row r="75">
          <cell r="BJ75">
            <v>0</v>
          </cell>
        </row>
        <row r="76">
          <cell r="BJ76">
            <v>491898.79000000004</v>
          </cell>
        </row>
        <row r="77">
          <cell r="BJ77">
            <v>0</v>
          </cell>
        </row>
        <row r="78">
          <cell r="BJ78">
            <v>551351</v>
          </cell>
        </row>
        <row r="79">
          <cell r="BJ79">
            <v>0</v>
          </cell>
        </row>
        <row r="80">
          <cell r="BJ80">
            <v>551344</v>
          </cell>
        </row>
        <row r="81">
          <cell r="BJ81">
            <v>0</v>
          </cell>
        </row>
        <row r="82">
          <cell r="BJ82">
            <v>496136.12</v>
          </cell>
        </row>
        <row r="83">
          <cell r="BJ83">
            <v>37381.4</v>
          </cell>
        </row>
        <row r="84">
          <cell r="BJ84">
            <v>550392.6</v>
          </cell>
        </row>
        <row r="85">
          <cell r="BJ85">
            <v>0</v>
          </cell>
        </row>
        <row r="86">
          <cell r="BJ86">
            <v>504946.14</v>
          </cell>
        </row>
        <row r="87">
          <cell r="BJ87">
            <v>0</v>
          </cell>
        </row>
        <row r="88">
          <cell r="BJ88">
            <v>551081.25</v>
          </cell>
        </row>
        <row r="89">
          <cell r="BJ89">
            <v>0</v>
          </cell>
        </row>
        <row r="90">
          <cell r="BJ90">
            <v>547651.6</v>
          </cell>
        </row>
        <row r="91">
          <cell r="BJ91">
            <v>25202.76</v>
          </cell>
        </row>
        <row r="92">
          <cell r="BJ92">
            <v>538376.74</v>
          </cell>
        </row>
        <row r="93">
          <cell r="BJ93">
            <v>0</v>
          </cell>
        </row>
        <row r="94">
          <cell r="BJ94">
            <v>412481.2</v>
          </cell>
        </row>
        <row r="95">
          <cell r="BJ95">
            <v>0</v>
          </cell>
        </row>
        <row r="96">
          <cell r="BJ96">
            <v>546211.48</v>
          </cell>
        </row>
        <row r="97">
          <cell r="BJ97">
            <v>0</v>
          </cell>
        </row>
        <row r="98">
          <cell r="BJ98">
            <v>519054.88999999996</v>
          </cell>
        </row>
        <row r="99">
          <cell r="BJ99">
            <v>0</v>
          </cell>
        </row>
        <row r="100">
          <cell r="BJ100">
            <v>550800</v>
          </cell>
        </row>
        <row r="101">
          <cell r="BJ101">
            <v>0</v>
          </cell>
        </row>
        <row r="102">
          <cell r="BJ102">
            <v>551194.59</v>
          </cell>
        </row>
        <row r="103">
          <cell r="BJ103">
            <v>0</v>
          </cell>
        </row>
        <row r="104">
          <cell r="BJ104">
            <v>497166.59</v>
          </cell>
        </row>
        <row r="105">
          <cell r="BJ105">
            <v>29215.94</v>
          </cell>
        </row>
        <row r="106">
          <cell r="BJ106">
            <v>416600.42</v>
          </cell>
        </row>
        <row r="107">
          <cell r="BJ107">
            <v>0</v>
          </cell>
        </row>
        <row r="108">
          <cell r="BJ108">
            <v>439480.70999999996</v>
          </cell>
        </row>
        <row r="109">
          <cell r="BJ109">
            <v>0</v>
          </cell>
        </row>
        <row r="110">
          <cell r="BJ110">
            <v>458867.82999999996</v>
          </cell>
        </row>
        <row r="111">
          <cell r="BJ111">
            <v>0</v>
          </cell>
        </row>
        <row r="112">
          <cell r="BJ112">
            <v>544000</v>
          </cell>
        </row>
        <row r="113">
          <cell r="BJ113">
            <v>0</v>
          </cell>
        </row>
        <row r="114">
          <cell r="BJ114">
            <v>493000.00000000006</v>
          </cell>
        </row>
        <row r="115">
          <cell r="BJ115">
            <v>18433.169999999998</v>
          </cell>
        </row>
        <row r="116">
          <cell r="BJ116">
            <v>551298.72000000009</v>
          </cell>
        </row>
        <row r="117">
          <cell r="BJ117">
            <v>18427.990000000002</v>
          </cell>
        </row>
        <row r="118">
          <cell r="BJ118">
            <v>551314.29</v>
          </cell>
        </row>
        <row r="119">
          <cell r="BJ119">
            <v>0</v>
          </cell>
        </row>
        <row r="120">
          <cell r="BJ120">
            <v>493000</v>
          </cell>
        </row>
        <row r="121">
          <cell r="BJ121">
            <v>0</v>
          </cell>
        </row>
        <row r="122">
          <cell r="BJ122">
            <v>530781.44000000006</v>
          </cell>
        </row>
        <row r="123">
          <cell r="BJ123">
            <v>0</v>
          </cell>
        </row>
        <row r="124">
          <cell r="BJ124">
            <v>484384.04000000004</v>
          </cell>
        </row>
        <row r="125">
          <cell r="BJ125">
            <v>22706.26</v>
          </cell>
        </row>
        <row r="126">
          <cell r="BJ126">
            <v>550790.52</v>
          </cell>
        </row>
        <row r="127">
          <cell r="BJ127">
            <v>0</v>
          </cell>
        </row>
        <row r="128">
          <cell r="BJ128">
            <v>244708.10000000003</v>
          </cell>
        </row>
        <row r="129">
          <cell r="BJ129">
            <v>0</v>
          </cell>
        </row>
        <row r="130">
          <cell r="BJ130">
            <v>271940.34999999998</v>
          </cell>
        </row>
        <row r="131">
          <cell r="BJ131">
            <v>0</v>
          </cell>
        </row>
        <row r="132">
          <cell r="BJ132">
            <v>550763.54</v>
          </cell>
        </row>
        <row r="133">
          <cell r="BJ133">
            <v>0</v>
          </cell>
        </row>
        <row r="134">
          <cell r="BJ134">
            <v>549823.07999999996</v>
          </cell>
        </row>
        <row r="136">
          <cell r="BJ136">
            <v>382174.44999999995</v>
          </cell>
        </row>
        <row r="138">
          <cell r="BJ138">
            <v>551014.72</v>
          </cell>
        </row>
        <row r="140">
          <cell r="BJ140">
            <v>403382.81000000006</v>
          </cell>
        </row>
        <row r="142">
          <cell r="BJ142">
            <v>509663.57999999996</v>
          </cell>
        </row>
        <row r="144">
          <cell r="BJ144">
            <v>414912</v>
          </cell>
        </row>
        <row r="146">
          <cell r="BJ146">
            <v>551350.79999999993</v>
          </cell>
        </row>
        <row r="148">
          <cell r="BJ148">
            <v>599270.18999999994</v>
          </cell>
        </row>
        <row r="150">
          <cell r="BJ150">
            <v>547638.63</v>
          </cell>
        </row>
        <row r="152">
          <cell r="BJ152">
            <v>551331.31000000006</v>
          </cell>
        </row>
        <row r="154">
          <cell r="BJ154">
            <v>550995.35</v>
          </cell>
        </row>
        <row r="156">
          <cell r="BJ156">
            <v>472400</v>
          </cell>
        </row>
        <row r="158">
          <cell r="BJ158">
            <v>550831.98</v>
          </cell>
        </row>
        <row r="160">
          <cell r="BJ160">
            <v>589412.79</v>
          </cell>
        </row>
        <row r="162">
          <cell r="BJ162">
            <v>54424845.999999993</v>
          </cell>
        </row>
        <row r="164">
          <cell r="BJ164">
            <v>2478770</v>
          </cell>
        </row>
        <row r="166">
          <cell r="BJ166">
            <v>758994.99999999988</v>
          </cell>
        </row>
        <row r="168">
          <cell r="BJ168">
            <v>2380031</v>
          </cell>
        </row>
        <row r="170">
          <cell r="BJ170">
            <v>13502330.999999998</v>
          </cell>
        </row>
        <row r="172">
          <cell r="BJ172">
            <v>8147502</v>
          </cell>
        </row>
        <row r="174">
          <cell r="BJ174">
            <v>24016606.000000004</v>
          </cell>
        </row>
        <row r="176">
          <cell r="BJ176">
            <v>12072166</v>
          </cell>
        </row>
        <row r="178">
          <cell r="BJ178">
            <v>2991569</v>
          </cell>
        </row>
        <row r="180">
          <cell r="BJ180">
            <v>5158030</v>
          </cell>
        </row>
        <row r="182">
          <cell r="BJ182">
            <v>5208902.0000000009</v>
          </cell>
        </row>
        <row r="184">
          <cell r="BJ184">
            <v>3013420</v>
          </cell>
        </row>
        <row r="186">
          <cell r="BJ186">
            <v>21445879</v>
          </cell>
        </row>
        <row r="188">
          <cell r="BJ188">
            <v>1332538.9999999998</v>
          </cell>
        </row>
        <row r="190">
          <cell r="BJ190">
            <v>457983.99999999994</v>
          </cell>
        </row>
        <row r="191">
          <cell r="BJ191">
            <v>5684870.1899999995</v>
          </cell>
        </row>
        <row r="192">
          <cell r="BJ192">
            <v>4910359.33</v>
          </cell>
        </row>
        <row r="193">
          <cell r="BJ193">
            <v>186889</v>
          </cell>
        </row>
        <row r="194">
          <cell r="BJ194">
            <v>186887</v>
          </cell>
        </row>
        <row r="195">
          <cell r="BJ195">
            <v>73750</v>
          </cell>
        </row>
        <row r="196">
          <cell r="BJ196">
            <v>384472</v>
          </cell>
        </row>
        <row r="198">
          <cell r="BJ198">
            <v>209514</v>
          </cell>
        </row>
        <row r="199">
          <cell r="BJ199">
            <v>86760</v>
          </cell>
        </row>
        <row r="201">
          <cell r="BJ201">
            <v>292482</v>
          </cell>
        </row>
        <row r="202">
          <cell r="BJ202">
            <v>73748</v>
          </cell>
        </row>
        <row r="203">
          <cell r="BJ203">
            <v>179344</v>
          </cell>
        </row>
        <row r="204">
          <cell r="BJ204">
            <v>472242</v>
          </cell>
        </row>
        <row r="206">
          <cell r="BJ206">
            <v>1511342</v>
          </cell>
        </row>
        <row r="207">
          <cell r="BJ207">
            <v>88834</v>
          </cell>
        </row>
        <row r="208">
          <cell r="BJ208">
            <v>96376</v>
          </cell>
        </row>
        <row r="209">
          <cell r="BJ209">
            <v>315861.58</v>
          </cell>
        </row>
        <row r="210">
          <cell r="BJ210">
            <v>751315</v>
          </cell>
        </row>
        <row r="212">
          <cell r="BJ212">
            <v>223339.26999999996</v>
          </cell>
        </row>
        <row r="213">
          <cell r="BJ213">
            <v>111461</v>
          </cell>
        </row>
        <row r="215">
          <cell r="BJ215">
            <v>1000000.0000000001</v>
          </cell>
        </row>
        <row r="217">
          <cell r="BJ217">
            <v>3206250</v>
          </cell>
        </row>
        <row r="219">
          <cell r="BJ219">
            <v>3206250</v>
          </cell>
        </row>
        <row r="221">
          <cell r="BJ221">
            <v>3206250</v>
          </cell>
        </row>
        <row r="223">
          <cell r="BJ223">
            <v>3206250</v>
          </cell>
        </row>
        <row r="225">
          <cell r="BJ225">
            <v>3206250</v>
          </cell>
        </row>
        <row r="227">
          <cell r="BJ227">
            <v>3206250</v>
          </cell>
        </row>
        <row r="229">
          <cell r="BJ229">
            <v>3206250</v>
          </cell>
        </row>
        <row r="231">
          <cell r="BJ231">
            <v>3206250</v>
          </cell>
        </row>
        <row r="233">
          <cell r="BJ233">
            <v>17249999.999999996</v>
          </cell>
        </row>
        <row r="235">
          <cell r="BJ235">
            <v>997500</v>
          </cell>
        </row>
        <row r="237">
          <cell r="BJ237">
            <v>420000</v>
          </cell>
        </row>
        <row r="239">
          <cell r="BJ239">
            <v>1624630.82</v>
          </cell>
        </row>
        <row r="241">
          <cell r="BJ241">
            <v>535821.30000000005</v>
          </cell>
        </row>
        <row r="243">
          <cell r="BJ243">
            <v>2231371.8000000003</v>
          </cell>
        </row>
        <row r="245">
          <cell r="BJ245">
            <v>2030000</v>
          </cell>
        </row>
        <row r="247">
          <cell r="BJ247">
            <v>1161125</v>
          </cell>
        </row>
        <row r="249">
          <cell r="BJ249">
            <v>385000</v>
          </cell>
        </row>
        <row r="251">
          <cell r="BJ251">
            <v>1014650</v>
          </cell>
        </row>
        <row r="253">
          <cell r="BJ253">
            <v>2450000</v>
          </cell>
        </row>
        <row r="255">
          <cell r="BJ255">
            <v>700000</v>
          </cell>
        </row>
        <row r="257">
          <cell r="BJ257">
            <v>3999999.93</v>
          </cell>
        </row>
        <row r="259">
          <cell r="BJ259">
            <v>1224944</v>
          </cell>
        </row>
        <row r="261">
          <cell r="BJ261">
            <v>474999</v>
          </cell>
        </row>
        <row r="263">
          <cell r="BJ263">
            <v>1330000</v>
          </cell>
        </row>
        <row r="265">
          <cell r="BJ265">
            <v>703500</v>
          </cell>
        </row>
        <row r="267">
          <cell r="BJ267">
            <v>3999632</v>
          </cell>
        </row>
        <row r="269">
          <cell r="BJ269">
            <v>897600.03</v>
          </cell>
        </row>
        <row r="271">
          <cell r="BJ271">
            <v>899529.59999999986</v>
          </cell>
        </row>
        <row r="273">
          <cell r="BJ273">
            <v>899585.7</v>
          </cell>
        </row>
        <row r="275">
          <cell r="BJ275">
            <v>900000</v>
          </cell>
        </row>
        <row r="277">
          <cell r="BJ277">
            <v>895401</v>
          </cell>
        </row>
        <row r="279">
          <cell r="BJ279">
            <v>900000</v>
          </cell>
        </row>
        <row r="281">
          <cell r="BJ281">
            <v>899999.99999999988</v>
          </cell>
        </row>
        <row r="283">
          <cell r="BJ283">
            <v>900000</v>
          </cell>
        </row>
        <row r="285">
          <cell r="BJ285">
            <v>899829</v>
          </cell>
        </row>
        <row r="287">
          <cell r="BJ287">
            <v>900000</v>
          </cell>
        </row>
        <row r="289">
          <cell r="BJ289">
            <v>4508342</v>
          </cell>
        </row>
        <row r="291">
          <cell r="BJ291">
            <v>2004000</v>
          </cell>
        </row>
        <row r="293">
          <cell r="BJ293">
            <v>2001937.5</v>
          </cell>
        </row>
        <row r="295">
          <cell r="BJ295">
            <v>2899999.9999999995</v>
          </cell>
        </row>
        <row r="297">
          <cell r="BJ297">
            <v>39724115</v>
          </cell>
        </row>
        <row r="298">
          <cell r="BJ298">
            <v>1567788</v>
          </cell>
        </row>
        <row r="300">
          <cell r="BJ300">
            <v>3825000.0000000005</v>
          </cell>
        </row>
        <row r="302">
          <cell r="BJ302">
            <v>3825000</v>
          </cell>
        </row>
        <row r="304">
          <cell r="BJ304">
            <v>1445000</v>
          </cell>
        </row>
        <row r="306">
          <cell r="BJ306">
            <v>1700000</v>
          </cell>
        </row>
        <row r="308">
          <cell r="BJ308">
            <v>1445000.0000000002</v>
          </cell>
        </row>
        <row r="309">
          <cell r="BJ309">
            <v>425000</v>
          </cell>
        </row>
        <row r="310">
          <cell r="BJ310">
            <v>2125000</v>
          </cell>
        </row>
        <row r="312">
          <cell r="BJ312">
            <v>425000</v>
          </cell>
        </row>
        <row r="314">
          <cell r="BJ314">
            <v>3824999.9999999995</v>
          </cell>
        </row>
        <row r="315">
          <cell r="BJ315">
            <v>4460800</v>
          </cell>
        </row>
        <row r="316">
          <cell r="BJ316">
            <v>3825000</v>
          </cell>
        </row>
        <row r="317">
          <cell r="BJ317">
            <v>4250000</v>
          </cell>
        </row>
        <row r="319">
          <cell r="BJ319">
            <v>849999.81</v>
          </cell>
        </row>
        <row r="320">
          <cell r="BJ320">
            <v>2209999.65</v>
          </cell>
        </row>
        <row r="321">
          <cell r="BJ321">
            <v>1699999.65</v>
          </cell>
        </row>
        <row r="322">
          <cell r="BJ322">
            <v>1020000</v>
          </cell>
        </row>
        <row r="323">
          <cell r="BJ323">
            <v>2975000.3</v>
          </cell>
        </row>
        <row r="324">
          <cell r="BJ324">
            <v>1700000</v>
          </cell>
        </row>
        <row r="325">
          <cell r="BJ325">
            <v>2697049.9986824999</v>
          </cell>
        </row>
        <row r="326">
          <cell r="BJ326">
            <v>789649.85</v>
          </cell>
        </row>
        <row r="327">
          <cell r="BJ327">
            <v>403750</v>
          </cell>
        </row>
        <row r="328">
          <cell r="BJ328">
            <v>359548.73800000001</v>
          </cell>
        </row>
        <row r="329">
          <cell r="BJ329">
            <v>1999999.9996949998</v>
          </cell>
        </row>
        <row r="330">
          <cell r="BJ330">
            <v>1232499.1534000002</v>
          </cell>
        </row>
        <row r="331">
          <cell r="BJ331">
            <v>2110000</v>
          </cell>
        </row>
        <row r="332">
          <cell r="BJ332">
            <v>4000000</v>
          </cell>
        </row>
        <row r="333">
          <cell r="BJ333">
            <v>850000</v>
          </cell>
        </row>
        <row r="334">
          <cell r="BJ334">
            <v>2974999.7050000001</v>
          </cell>
        </row>
        <row r="335">
          <cell r="BJ335">
            <v>255000</v>
          </cell>
        </row>
        <row r="337">
          <cell r="BJ337">
            <v>3825000</v>
          </cell>
        </row>
        <row r="339">
          <cell r="BJ339">
            <v>3400000</v>
          </cell>
        </row>
        <row r="341">
          <cell r="BJ341">
            <v>1699999.9999999998</v>
          </cell>
        </row>
        <row r="343">
          <cell r="BJ343">
            <v>850000</v>
          </cell>
        </row>
        <row r="344">
          <cell r="BJ344">
            <v>340000.25</v>
          </cell>
        </row>
        <row r="346">
          <cell r="BJ346">
            <v>4250000</v>
          </cell>
        </row>
        <row r="347">
          <cell r="BJ347">
            <v>1500000</v>
          </cell>
        </row>
        <row r="348">
          <cell r="BJ348">
            <v>1700000</v>
          </cell>
        </row>
        <row r="349">
          <cell r="BJ349">
            <v>3824999.96</v>
          </cell>
        </row>
        <row r="351">
          <cell r="BJ351">
            <v>935000.00476458319</v>
          </cell>
        </row>
        <row r="352">
          <cell r="BJ352">
            <v>1695889</v>
          </cell>
        </row>
        <row r="353">
          <cell r="BJ353">
            <v>361250</v>
          </cell>
        </row>
        <row r="354">
          <cell r="BJ354">
            <v>2613750.0000000005</v>
          </cell>
        </row>
        <row r="355">
          <cell r="BJ355">
            <v>3251444</v>
          </cell>
        </row>
        <row r="356">
          <cell r="BJ356">
            <v>3230000</v>
          </cell>
        </row>
        <row r="358">
          <cell r="BJ358">
            <v>2975000.01</v>
          </cell>
        </row>
        <row r="360">
          <cell r="BJ360">
            <v>841499.64692600002</v>
          </cell>
        </row>
        <row r="361">
          <cell r="BJ361">
            <v>1105000</v>
          </cell>
        </row>
        <row r="362">
          <cell r="BJ362">
            <v>595000</v>
          </cell>
        </row>
        <row r="363">
          <cell r="BJ363">
            <v>1275000</v>
          </cell>
        </row>
        <row r="364">
          <cell r="BJ364">
            <v>0</v>
          </cell>
        </row>
        <row r="365">
          <cell r="BJ365">
            <v>4250000</v>
          </cell>
        </row>
        <row r="366">
          <cell r="BJ366">
            <v>4054500</v>
          </cell>
        </row>
        <row r="367">
          <cell r="BJ367">
            <v>0</v>
          </cell>
        </row>
        <row r="368">
          <cell r="BJ368">
            <v>2167500</v>
          </cell>
        </row>
        <row r="370">
          <cell r="BJ370">
            <v>6800000.0000000009</v>
          </cell>
        </row>
        <row r="371">
          <cell r="BJ371">
            <v>0</v>
          </cell>
        </row>
        <row r="373">
          <cell r="BJ373">
            <v>352350.13</v>
          </cell>
        </row>
        <row r="374">
          <cell r="BJ374">
            <v>450284.04</v>
          </cell>
        </row>
        <row r="376">
          <cell r="BJ376">
            <v>189763.94</v>
          </cell>
        </row>
        <row r="378">
          <cell r="BJ378">
            <v>455394.96</v>
          </cell>
        </row>
        <row r="380">
          <cell r="BJ380">
            <v>190215</v>
          </cell>
        </row>
        <row r="382">
          <cell r="BJ382">
            <v>1165839.5899999999</v>
          </cell>
        </row>
        <row r="384">
          <cell r="BJ384">
            <v>582594.57000000007</v>
          </cell>
        </row>
        <row r="386">
          <cell r="BJ386">
            <v>1165802.83</v>
          </cell>
        </row>
        <row r="388">
          <cell r="BJ388">
            <v>1165752.18</v>
          </cell>
        </row>
        <row r="390">
          <cell r="BJ390">
            <v>409195.64</v>
          </cell>
        </row>
        <row r="392">
          <cell r="BJ392">
            <v>799480.74</v>
          </cell>
        </row>
        <row r="394">
          <cell r="BJ394">
            <v>1166000</v>
          </cell>
        </row>
        <row r="396">
          <cell r="BJ396">
            <v>173250</v>
          </cell>
        </row>
        <row r="398">
          <cell r="BJ398">
            <v>315000</v>
          </cell>
        </row>
        <row r="400">
          <cell r="BJ400">
            <v>964778.29999999993</v>
          </cell>
        </row>
        <row r="402">
          <cell r="BJ402">
            <v>483750</v>
          </cell>
        </row>
        <row r="404">
          <cell r="BJ404">
            <v>285126.06</v>
          </cell>
        </row>
        <row r="406">
          <cell r="BJ406">
            <v>373500</v>
          </cell>
        </row>
        <row r="408">
          <cell r="BJ408">
            <v>164000</v>
          </cell>
        </row>
        <row r="410">
          <cell r="BJ410">
            <v>623040.78</v>
          </cell>
        </row>
        <row r="412">
          <cell r="BJ412">
            <v>404999.99999999994</v>
          </cell>
        </row>
        <row r="414">
          <cell r="BJ414">
            <v>833058.47</v>
          </cell>
        </row>
        <row r="416">
          <cell r="BJ416">
            <v>405000</v>
          </cell>
        </row>
        <row r="418">
          <cell r="BJ418">
            <v>177990.56</v>
          </cell>
        </row>
        <row r="420">
          <cell r="BJ420">
            <v>218426</v>
          </cell>
        </row>
        <row r="422">
          <cell r="BJ422">
            <v>430650</v>
          </cell>
        </row>
        <row r="424">
          <cell r="BJ424">
            <v>413550</v>
          </cell>
        </row>
        <row r="426">
          <cell r="BJ426">
            <v>433635.47</v>
          </cell>
        </row>
        <row r="428">
          <cell r="BJ428">
            <v>681010.03</v>
          </cell>
        </row>
        <row r="430">
          <cell r="BJ430">
            <v>476634.15</v>
          </cell>
        </row>
        <row r="432">
          <cell r="BJ432">
            <v>206918.19</v>
          </cell>
        </row>
        <row r="434">
          <cell r="BJ434">
            <v>1166000</v>
          </cell>
        </row>
        <row r="436">
          <cell r="BJ436">
            <v>1165903.2</v>
          </cell>
        </row>
        <row r="438">
          <cell r="BJ438">
            <v>628631.66</v>
          </cell>
        </row>
        <row r="440">
          <cell r="BJ440">
            <v>512510</v>
          </cell>
        </row>
        <row r="442">
          <cell r="BJ442">
            <v>627697</v>
          </cell>
        </row>
        <row r="444">
          <cell r="BJ444">
            <v>1142633.01</v>
          </cell>
        </row>
        <row r="446">
          <cell r="BJ446">
            <v>560700</v>
          </cell>
        </row>
        <row r="448">
          <cell r="BJ448">
            <v>827550</v>
          </cell>
        </row>
        <row r="450">
          <cell r="BJ450">
            <v>798750</v>
          </cell>
        </row>
        <row r="452">
          <cell r="BJ452">
            <v>26198233</v>
          </cell>
        </row>
        <row r="454">
          <cell r="BJ454">
            <v>118416827.92256109</v>
          </cell>
        </row>
        <row r="456">
          <cell r="BJ456">
            <v>407999.95999999996</v>
          </cell>
        </row>
        <row r="458">
          <cell r="BJ458">
            <v>414999.75000000006</v>
          </cell>
        </row>
        <row r="460">
          <cell r="BJ460">
            <v>414990</v>
          </cell>
        </row>
        <row r="462">
          <cell r="BJ462">
            <v>414105.00000000006</v>
          </cell>
        </row>
        <row r="464">
          <cell r="BJ464">
            <v>414999.99</v>
          </cell>
        </row>
        <row r="466">
          <cell r="BJ466">
            <v>414958.95</v>
          </cell>
        </row>
        <row r="468">
          <cell r="BJ468">
            <v>414982.74999999994</v>
          </cell>
        </row>
        <row r="470">
          <cell r="BJ470">
            <v>412993.25</v>
          </cell>
        </row>
        <row r="472">
          <cell r="BJ472">
            <v>414970</v>
          </cell>
        </row>
        <row r="474">
          <cell r="BJ474">
            <v>413934.7</v>
          </cell>
        </row>
        <row r="476">
          <cell r="BJ476">
            <v>414987.00000000006</v>
          </cell>
        </row>
        <row r="478">
          <cell r="BJ478">
            <v>415000</v>
          </cell>
        </row>
        <row r="480">
          <cell r="BJ480">
            <v>414144</v>
          </cell>
        </row>
        <row r="482">
          <cell r="BJ482">
            <v>397402.2</v>
          </cell>
        </row>
        <row r="484">
          <cell r="BJ484">
            <v>30569720</v>
          </cell>
        </row>
        <row r="486">
          <cell r="BJ486">
            <v>17814621</v>
          </cell>
        </row>
        <row r="488">
          <cell r="BJ488">
            <v>896199</v>
          </cell>
        </row>
        <row r="490">
          <cell r="BJ490">
            <v>269188</v>
          </cell>
        </row>
        <row r="491">
          <cell r="BJ491">
            <v>820039</v>
          </cell>
        </row>
        <row r="492">
          <cell r="BJ492">
            <v>469500</v>
          </cell>
        </row>
        <row r="493">
          <cell r="BJ493">
            <v>1500000</v>
          </cell>
        </row>
        <row r="494">
          <cell r="BJ494">
            <v>417394.8</v>
          </cell>
        </row>
        <row r="495">
          <cell r="BJ495">
            <v>82605</v>
          </cell>
        </row>
        <row r="497">
          <cell r="BJ497">
            <v>993093.00000000012</v>
          </cell>
        </row>
        <row r="498">
          <cell r="BJ498">
            <v>1572032</v>
          </cell>
        </row>
        <row r="499">
          <cell r="BJ499">
            <v>790293</v>
          </cell>
        </row>
        <row r="500">
          <cell r="BJ500">
            <v>1289553</v>
          </cell>
        </row>
        <row r="502">
          <cell r="BJ502">
            <v>1636814.1800000002</v>
          </cell>
        </row>
        <row r="504">
          <cell r="BJ504">
            <v>2851584.51</v>
          </cell>
        </row>
        <row r="505">
          <cell r="BJ505">
            <v>473778</v>
          </cell>
        </row>
        <row r="506">
          <cell r="BJ506">
            <v>391616.6293783781</v>
          </cell>
        </row>
        <row r="508">
          <cell r="BJ508">
            <v>197610.45</v>
          </cell>
        </row>
        <row r="509">
          <cell r="BJ509">
            <v>0</v>
          </cell>
        </row>
        <row r="511">
          <cell r="BJ511">
            <v>268564.17</v>
          </cell>
        </row>
        <row r="512">
          <cell r="BJ512">
            <v>676713.39</v>
          </cell>
        </row>
        <row r="514">
          <cell r="BJ514">
            <v>473855.61</v>
          </cell>
        </row>
        <row r="516">
          <cell r="BJ516">
            <v>391615.69</v>
          </cell>
        </row>
        <row r="518">
          <cell r="BJ518">
            <v>391614.64</v>
          </cell>
        </row>
        <row r="520">
          <cell r="BJ520">
            <v>524636</v>
          </cell>
        </row>
        <row r="521">
          <cell r="BJ521">
            <v>209947.4</v>
          </cell>
        </row>
        <row r="522">
          <cell r="BJ522">
            <v>316641</v>
          </cell>
        </row>
        <row r="523">
          <cell r="BJ523">
            <v>54701.38</v>
          </cell>
        </row>
        <row r="525">
          <cell r="BJ525">
            <v>498205.19999999995</v>
          </cell>
        </row>
        <row r="526">
          <cell r="BJ526">
            <v>116984.14227569822</v>
          </cell>
        </row>
        <row r="528">
          <cell r="BJ528">
            <v>655155</v>
          </cell>
        </row>
        <row r="529">
          <cell r="BJ529">
            <v>521242</v>
          </cell>
        </row>
        <row r="531">
          <cell r="BJ531">
            <v>427218.06</v>
          </cell>
        </row>
        <row r="532">
          <cell r="BJ532">
            <v>1101024.5</v>
          </cell>
        </row>
        <row r="534">
          <cell r="BJ534">
            <v>417055</v>
          </cell>
        </row>
        <row r="536">
          <cell r="BJ536">
            <v>427215.89</v>
          </cell>
        </row>
        <row r="537">
          <cell r="BJ537">
            <v>504633</v>
          </cell>
        </row>
        <row r="539">
          <cell r="BJ539">
            <v>417055</v>
          </cell>
        </row>
        <row r="541">
          <cell r="BJ541">
            <v>430777.82</v>
          </cell>
        </row>
        <row r="542">
          <cell r="BJ542">
            <v>21174.78</v>
          </cell>
        </row>
        <row r="543">
          <cell r="BJ543">
            <v>64097.23</v>
          </cell>
        </row>
        <row r="545">
          <cell r="BJ545">
            <v>693060.20000000007</v>
          </cell>
        </row>
        <row r="546">
          <cell r="BJ546">
            <v>59809.49</v>
          </cell>
        </row>
        <row r="548">
          <cell r="BJ548">
            <v>486625</v>
          </cell>
        </row>
        <row r="550">
          <cell r="BJ550">
            <v>193800</v>
          </cell>
        </row>
        <row r="552">
          <cell r="BJ552">
            <v>790063.00000000012</v>
          </cell>
        </row>
        <row r="554">
          <cell r="BJ554">
            <v>1700900</v>
          </cell>
        </row>
        <row r="555">
          <cell r="BJ555">
            <v>263071</v>
          </cell>
        </row>
        <row r="556">
          <cell r="BJ556">
            <v>2809805</v>
          </cell>
        </row>
        <row r="558">
          <cell r="BJ558">
            <v>178000</v>
          </cell>
        </row>
        <row r="559">
          <cell r="BJ559">
            <v>0</v>
          </cell>
        </row>
        <row r="560">
          <cell r="BJ560">
            <v>497265</v>
          </cell>
        </row>
        <row r="561">
          <cell r="BJ561">
            <v>157039</v>
          </cell>
        </row>
        <row r="563">
          <cell r="BJ563">
            <v>114750</v>
          </cell>
        </row>
        <row r="564">
          <cell r="BJ564">
            <v>1935450</v>
          </cell>
        </row>
        <row r="566">
          <cell r="BJ566">
            <v>697193.92999999993</v>
          </cell>
        </row>
        <row r="568">
          <cell r="BJ568">
            <v>1906354.84</v>
          </cell>
        </row>
        <row r="570">
          <cell r="BJ570">
            <v>67957.89</v>
          </cell>
        </row>
        <row r="571">
          <cell r="BJ571">
            <v>660235.99</v>
          </cell>
        </row>
        <row r="573">
          <cell r="BJ573">
            <v>376251.91000000003</v>
          </cell>
        </row>
        <row r="575">
          <cell r="BJ575">
            <v>286058.90999999997</v>
          </cell>
        </row>
        <row r="577">
          <cell r="BJ577">
            <v>45913</v>
          </cell>
        </row>
        <row r="578">
          <cell r="BJ578">
            <v>450500</v>
          </cell>
        </row>
        <row r="579">
          <cell r="BJ579">
            <v>650250</v>
          </cell>
        </row>
        <row r="581">
          <cell r="BJ581">
            <v>225250</v>
          </cell>
        </row>
        <row r="583">
          <cell r="BJ583">
            <v>220575</v>
          </cell>
        </row>
        <row r="585">
          <cell r="BJ585">
            <v>276675.00000000006</v>
          </cell>
        </row>
        <row r="587">
          <cell r="BJ587">
            <v>542543.06999999995</v>
          </cell>
        </row>
        <row r="589">
          <cell r="BJ589">
            <v>1501600</v>
          </cell>
        </row>
        <row r="591">
          <cell r="BJ591">
            <v>303450</v>
          </cell>
        </row>
        <row r="592">
          <cell r="BJ592">
            <v>2336650</v>
          </cell>
        </row>
        <row r="593">
          <cell r="BJ593">
            <v>663190</v>
          </cell>
        </row>
        <row r="595">
          <cell r="BJ595">
            <v>1592155</v>
          </cell>
        </row>
        <row r="597">
          <cell r="BJ597">
            <v>425718.67</v>
          </cell>
        </row>
        <row r="599">
          <cell r="BJ599">
            <v>0</v>
          </cell>
        </row>
        <row r="601">
          <cell r="BJ601">
            <v>130000</v>
          </cell>
        </row>
        <row r="603">
          <cell r="BJ603">
            <v>535500</v>
          </cell>
        </row>
        <row r="605">
          <cell r="BJ605">
            <v>739075</v>
          </cell>
        </row>
        <row r="607">
          <cell r="BJ607">
            <v>407671</v>
          </cell>
        </row>
        <row r="608">
          <cell r="BJ608">
            <v>313749</v>
          </cell>
        </row>
        <row r="609">
          <cell r="BJ609">
            <v>161577</v>
          </cell>
        </row>
        <row r="611">
          <cell r="BJ611">
            <v>1838762</v>
          </cell>
        </row>
        <row r="613">
          <cell r="BJ613">
            <v>1273782</v>
          </cell>
        </row>
        <row r="615">
          <cell r="BJ615">
            <v>170000</v>
          </cell>
        </row>
        <row r="617">
          <cell r="BJ617">
            <v>347225</v>
          </cell>
        </row>
        <row r="619">
          <cell r="BJ619">
            <v>448800</v>
          </cell>
        </row>
        <row r="621">
          <cell r="BJ621">
            <v>391000</v>
          </cell>
        </row>
        <row r="623">
          <cell r="BJ623">
            <v>340000</v>
          </cell>
        </row>
        <row r="625">
          <cell r="BJ625">
            <v>426909</v>
          </cell>
        </row>
        <row r="627">
          <cell r="BJ627">
            <v>99599.94</v>
          </cell>
        </row>
        <row r="629">
          <cell r="BJ629">
            <v>8903599</v>
          </cell>
        </row>
        <row r="631">
          <cell r="BJ631">
            <v>3194466.58</v>
          </cell>
        </row>
        <row r="633">
          <cell r="BJ633">
            <v>2603615.38</v>
          </cell>
        </row>
        <row r="635">
          <cell r="BJ635">
            <v>787179.90000000014</v>
          </cell>
        </row>
        <row r="637">
          <cell r="BJ637">
            <v>255000</v>
          </cell>
        </row>
        <row r="639">
          <cell r="BJ639">
            <v>597856.81999999995</v>
          </cell>
        </row>
        <row r="641">
          <cell r="BJ641">
            <v>597857</v>
          </cell>
        </row>
        <row r="643">
          <cell r="BJ643">
            <v>558813</v>
          </cell>
        </row>
        <row r="645">
          <cell r="BJ645">
            <v>500400</v>
          </cell>
        </row>
        <row r="647">
          <cell r="BJ647">
            <v>327666.70999999996</v>
          </cell>
        </row>
        <row r="649">
          <cell r="BJ649">
            <v>589453.80000000005</v>
          </cell>
        </row>
        <row r="651">
          <cell r="BJ651">
            <v>569100</v>
          </cell>
        </row>
        <row r="653">
          <cell r="BJ653">
            <v>333157.36</v>
          </cell>
        </row>
        <row r="655">
          <cell r="BJ655">
            <v>79882.009999999995</v>
          </cell>
        </row>
        <row r="657">
          <cell r="BJ657">
            <v>25500000</v>
          </cell>
        </row>
        <row r="659">
          <cell r="BJ659">
            <v>107361816.59</v>
          </cell>
        </row>
        <row r="661">
          <cell r="BJ661">
            <v>476000</v>
          </cell>
        </row>
        <row r="662">
          <cell r="BJ662">
            <v>115050.72</v>
          </cell>
        </row>
        <row r="664">
          <cell r="BJ664">
            <v>268600</v>
          </cell>
        </row>
        <row r="666">
          <cell r="BJ666">
            <v>681283.5</v>
          </cell>
        </row>
        <row r="668">
          <cell r="BJ668">
            <v>44130.16</v>
          </cell>
        </row>
        <row r="670">
          <cell r="BJ670">
            <v>472857.33750000002</v>
          </cell>
        </row>
        <row r="672">
          <cell r="BJ672">
            <v>433797.78</v>
          </cell>
        </row>
        <row r="674">
          <cell r="BJ674">
            <v>637500</v>
          </cell>
        </row>
        <row r="676">
          <cell r="BJ676">
            <v>303475.5</v>
          </cell>
        </row>
        <row r="677">
          <cell r="BJ677">
            <v>244190.54999999996</v>
          </cell>
        </row>
        <row r="678">
          <cell r="BJ678">
            <v>510000</v>
          </cell>
        </row>
        <row r="679">
          <cell r="BJ679">
            <v>439108.35</v>
          </cell>
        </row>
        <row r="681">
          <cell r="BJ681">
            <v>574107</v>
          </cell>
        </row>
        <row r="682">
          <cell r="BJ682">
            <v>186999.99999999997</v>
          </cell>
        </row>
        <row r="683">
          <cell r="BJ683">
            <v>173655</v>
          </cell>
        </row>
        <row r="685">
          <cell r="BJ685">
            <v>266900</v>
          </cell>
        </row>
        <row r="687">
          <cell r="BJ687">
            <v>511700</v>
          </cell>
        </row>
        <row r="689">
          <cell r="BJ689">
            <v>2043493.5</v>
          </cell>
        </row>
        <row r="691">
          <cell r="BJ691">
            <v>1006774</v>
          </cell>
        </row>
        <row r="693">
          <cell r="BJ693">
            <v>2535859.4000000064</v>
          </cell>
        </row>
        <row r="695">
          <cell r="BJ695">
            <v>201275.75</v>
          </cell>
        </row>
        <row r="697">
          <cell r="BJ697">
            <v>2750773.3999999994</v>
          </cell>
        </row>
        <row r="698">
          <cell r="BJ698">
            <v>765000</v>
          </cell>
        </row>
        <row r="699">
          <cell r="BJ699">
            <v>212500</v>
          </cell>
        </row>
        <row r="700">
          <cell r="BJ700">
            <v>170000</v>
          </cell>
        </row>
        <row r="701">
          <cell r="BJ701">
            <v>4285322</v>
          </cell>
        </row>
        <row r="702">
          <cell r="BJ702">
            <v>319071</v>
          </cell>
        </row>
        <row r="703">
          <cell r="BJ703">
            <v>286378</v>
          </cell>
        </row>
        <row r="704">
          <cell r="BJ704">
            <v>115424</v>
          </cell>
        </row>
        <row r="705">
          <cell r="BJ705">
            <v>304993</v>
          </cell>
        </row>
        <row r="706">
          <cell r="BJ706">
            <v>69420</v>
          </cell>
        </row>
        <row r="707">
          <cell r="BJ707">
            <v>280727</v>
          </cell>
        </row>
        <row r="708">
          <cell r="BJ708">
            <v>309200</v>
          </cell>
        </row>
        <row r="709">
          <cell r="BJ709">
            <v>109371.5</v>
          </cell>
        </row>
        <row r="710">
          <cell r="BJ710">
            <v>525356</v>
          </cell>
        </row>
        <row r="711">
          <cell r="BJ711">
            <v>108777.95</v>
          </cell>
        </row>
        <row r="712">
          <cell r="BJ712">
            <v>433495</v>
          </cell>
        </row>
        <row r="713">
          <cell r="BJ713">
            <v>495721</v>
          </cell>
        </row>
        <row r="714">
          <cell r="BJ714">
            <v>280419</v>
          </cell>
        </row>
        <row r="715">
          <cell r="BJ715">
            <v>82501</v>
          </cell>
        </row>
        <row r="716">
          <cell r="BJ716">
            <v>69468</v>
          </cell>
        </row>
        <row r="717">
          <cell r="BJ717">
            <v>123495</v>
          </cell>
        </row>
        <row r="718">
          <cell r="BJ718">
            <v>247545.5</v>
          </cell>
        </row>
        <row r="719">
          <cell r="BJ719">
            <v>569738</v>
          </cell>
        </row>
        <row r="720">
          <cell r="BJ720">
            <v>153297.5</v>
          </cell>
        </row>
        <row r="721">
          <cell r="BJ721">
            <v>98073</v>
          </cell>
        </row>
        <row r="723">
          <cell r="BJ723">
            <v>1360000</v>
          </cell>
        </row>
        <row r="724">
          <cell r="BJ724">
            <v>338300</v>
          </cell>
        </row>
        <row r="726">
          <cell r="BJ726">
            <v>899275.5</v>
          </cell>
        </row>
        <row r="728">
          <cell r="BJ728">
            <v>379967</v>
          </cell>
        </row>
        <row r="729">
          <cell r="BJ729">
            <v>1196417.5</v>
          </cell>
        </row>
        <row r="730">
          <cell r="BJ730">
            <v>937337.5</v>
          </cell>
        </row>
        <row r="731">
          <cell r="BJ731">
            <v>135303</v>
          </cell>
        </row>
        <row r="732">
          <cell r="BJ732">
            <v>986000</v>
          </cell>
        </row>
        <row r="733">
          <cell r="BJ733">
            <v>337407.5</v>
          </cell>
        </row>
        <row r="734">
          <cell r="BJ734">
            <v>88506.25</v>
          </cell>
        </row>
        <row r="735">
          <cell r="BJ735">
            <v>68850</v>
          </cell>
        </row>
        <row r="736">
          <cell r="BJ736">
            <v>498295.5</v>
          </cell>
        </row>
        <row r="737">
          <cell r="BJ737">
            <v>454069.76199999999</v>
          </cell>
        </row>
        <row r="738">
          <cell r="BJ738">
            <v>1356034.85</v>
          </cell>
        </row>
        <row r="739">
          <cell r="BJ739">
            <v>1044885</v>
          </cell>
        </row>
        <row r="740">
          <cell r="BJ740">
            <v>783646.5</v>
          </cell>
        </row>
        <row r="741">
          <cell r="BJ741">
            <v>288860.5</v>
          </cell>
        </row>
        <row r="742">
          <cell r="BJ742">
            <v>204212.5</v>
          </cell>
        </row>
        <row r="743">
          <cell r="BJ743">
            <v>202963</v>
          </cell>
        </row>
        <row r="744">
          <cell r="BJ744">
            <v>714850</v>
          </cell>
        </row>
        <row r="745">
          <cell r="BJ745">
            <v>399134.5</v>
          </cell>
        </row>
        <row r="746">
          <cell r="BJ746">
            <v>3932933</v>
          </cell>
        </row>
        <row r="747">
          <cell r="BJ747">
            <v>674620</v>
          </cell>
        </row>
        <row r="748">
          <cell r="BJ748">
            <v>439450</v>
          </cell>
        </row>
        <row r="749">
          <cell r="BJ749">
            <v>927812.4</v>
          </cell>
        </row>
        <row r="750">
          <cell r="BJ750">
            <v>419693.45</v>
          </cell>
        </row>
        <row r="751">
          <cell r="BJ751">
            <v>877123.5</v>
          </cell>
        </row>
        <row r="752">
          <cell r="BJ752">
            <v>745221.35</v>
          </cell>
        </row>
        <row r="753">
          <cell r="BJ753">
            <v>419693.45</v>
          </cell>
        </row>
        <row r="755">
          <cell r="BJ755">
            <v>811750</v>
          </cell>
        </row>
        <row r="757">
          <cell r="BJ757">
            <v>408000</v>
          </cell>
        </row>
        <row r="758">
          <cell r="BJ758">
            <v>449341.44999999995</v>
          </cell>
        </row>
        <row r="759">
          <cell r="BJ759">
            <v>266003.25</v>
          </cell>
        </row>
        <row r="760">
          <cell r="BJ760">
            <v>476741.2</v>
          </cell>
        </row>
        <row r="761">
          <cell r="BJ761">
            <v>62050</v>
          </cell>
        </row>
        <row r="762">
          <cell r="BJ762">
            <v>127453.25</v>
          </cell>
        </row>
        <row r="763">
          <cell r="BJ763">
            <v>85000</v>
          </cell>
        </row>
        <row r="764">
          <cell r="BJ764">
            <v>25500</v>
          </cell>
        </row>
        <row r="765">
          <cell r="BJ765">
            <v>51850</v>
          </cell>
        </row>
        <row r="766">
          <cell r="BJ766">
            <v>51850</v>
          </cell>
        </row>
        <row r="767">
          <cell r="BJ767">
            <v>188000</v>
          </cell>
        </row>
        <row r="768">
          <cell r="BJ768">
            <v>117000</v>
          </cell>
        </row>
        <row r="769">
          <cell r="BJ769">
            <v>249265</v>
          </cell>
        </row>
        <row r="770">
          <cell r="BJ770">
            <v>502826</v>
          </cell>
        </row>
        <row r="771">
          <cell r="BJ771">
            <v>407971</v>
          </cell>
        </row>
        <row r="772">
          <cell r="BJ772">
            <v>248240</v>
          </cell>
        </row>
        <row r="773">
          <cell r="BJ773">
            <v>266000</v>
          </cell>
        </row>
        <row r="774">
          <cell r="BJ774">
            <v>936364</v>
          </cell>
        </row>
        <row r="776">
          <cell r="BJ776">
            <v>469018.1</v>
          </cell>
        </row>
        <row r="778">
          <cell r="BJ778">
            <v>445107.6</v>
          </cell>
        </row>
        <row r="780">
          <cell r="BJ780">
            <v>507735.6</v>
          </cell>
        </row>
        <row r="782">
          <cell r="BJ782">
            <v>582245</v>
          </cell>
        </row>
        <row r="784">
          <cell r="BJ784">
            <v>13865440.85</v>
          </cell>
        </row>
        <row r="785">
          <cell r="BJ785">
            <v>555900</v>
          </cell>
        </row>
        <row r="786">
          <cell r="BJ786">
            <v>113900</v>
          </cell>
        </row>
        <row r="787">
          <cell r="BJ787">
            <v>880600</v>
          </cell>
        </row>
        <row r="788">
          <cell r="BJ788">
            <v>297500.05499999999</v>
          </cell>
        </row>
        <row r="789">
          <cell r="BJ789">
            <v>631550</v>
          </cell>
        </row>
        <row r="790">
          <cell r="BJ790">
            <v>276080</v>
          </cell>
        </row>
        <row r="791">
          <cell r="BJ791">
            <v>239807.1</v>
          </cell>
        </row>
        <row r="792">
          <cell r="BJ792">
            <v>248941.19999999998</v>
          </cell>
        </row>
        <row r="793">
          <cell r="BJ793">
            <v>454070.11350000004</v>
          </cell>
        </row>
        <row r="795">
          <cell r="BJ795">
            <v>425000</v>
          </cell>
        </row>
        <row r="797">
          <cell r="BJ797">
            <v>671500</v>
          </cell>
        </row>
        <row r="798">
          <cell r="BJ798">
            <v>385262.5</v>
          </cell>
        </row>
        <row r="799">
          <cell r="BJ799">
            <v>827903.39999999991</v>
          </cell>
        </row>
        <row r="800">
          <cell r="BJ800">
            <v>200000</v>
          </cell>
        </row>
        <row r="801">
          <cell r="BJ801">
            <v>50000</v>
          </cell>
        </row>
        <row r="803">
          <cell r="BJ803">
            <v>583088</v>
          </cell>
        </row>
        <row r="805">
          <cell r="BJ805">
            <v>852783</v>
          </cell>
        </row>
        <row r="806">
          <cell r="BJ806">
            <v>300000</v>
          </cell>
        </row>
        <row r="807">
          <cell r="BJ807">
            <v>3000000</v>
          </cell>
        </row>
        <row r="809">
          <cell r="BJ809">
            <v>250000</v>
          </cell>
        </row>
        <row r="810">
          <cell r="BJ810">
            <v>115000</v>
          </cell>
        </row>
        <row r="811">
          <cell r="BJ811">
            <v>85000</v>
          </cell>
        </row>
        <row r="812">
          <cell r="BJ812">
            <v>200000</v>
          </cell>
        </row>
        <row r="814">
          <cell r="BJ814">
            <v>1200000</v>
          </cell>
        </row>
        <row r="816">
          <cell r="BJ816">
            <v>398170.56</v>
          </cell>
        </row>
        <row r="818">
          <cell r="BJ818">
            <v>536229</v>
          </cell>
        </row>
        <row r="820">
          <cell r="BJ820">
            <v>556266</v>
          </cell>
        </row>
        <row r="822">
          <cell r="BJ822">
            <v>588566</v>
          </cell>
        </row>
        <row r="824">
          <cell r="BJ824">
            <v>841500</v>
          </cell>
        </row>
        <row r="826">
          <cell r="BJ826">
            <v>1610095</v>
          </cell>
        </row>
        <row r="828">
          <cell r="BJ828">
            <v>112052</v>
          </cell>
        </row>
        <row r="830">
          <cell r="BJ830">
            <v>1795627.85</v>
          </cell>
        </row>
        <row r="832">
          <cell r="BJ832">
            <v>610611.13</v>
          </cell>
        </row>
        <row r="834">
          <cell r="BJ834">
            <v>555711.18999999994</v>
          </cell>
        </row>
        <row r="835">
          <cell r="BJ835">
            <v>762949</v>
          </cell>
        </row>
        <row r="837">
          <cell r="BJ837">
            <v>337153</v>
          </cell>
        </row>
        <row r="839">
          <cell r="BJ839">
            <v>406833.3</v>
          </cell>
        </row>
        <row r="841">
          <cell r="BJ841">
            <v>285709</v>
          </cell>
        </row>
        <row r="843">
          <cell r="BJ843">
            <v>535579</v>
          </cell>
        </row>
        <row r="845">
          <cell r="BJ845">
            <v>249235</v>
          </cell>
        </row>
        <row r="847">
          <cell r="BJ847">
            <v>249145</v>
          </cell>
        </row>
        <row r="848">
          <cell r="BJ848">
            <v>495050</v>
          </cell>
        </row>
        <row r="850">
          <cell r="BJ850">
            <v>104033.9</v>
          </cell>
        </row>
        <row r="851">
          <cell r="BJ851">
            <v>395449</v>
          </cell>
        </row>
        <row r="852">
          <cell r="BJ852">
            <v>137905</v>
          </cell>
        </row>
        <row r="853">
          <cell r="BJ853">
            <v>54316.800000000003</v>
          </cell>
        </row>
        <row r="855">
          <cell r="BJ855">
            <v>341417.9</v>
          </cell>
        </row>
        <row r="856">
          <cell r="BJ856">
            <v>535708.89</v>
          </cell>
        </row>
        <row r="857">
          <cell r="BJ857">
            <v>281700</v>
          </cell>
        </row>
        <row r="858">
          <cell r="BJ858">
            <v>515160</v>
          </cell>
        </row>
        <row r="859">
          <cell r="BJ859">
            <v>840774</v>
          </cell>
        </row>
        <row r="860">
          <cell r="BJ860">
            <v>417756.78</v>
          </cell>
        </row>
        <row r="861">
          <cell r="BJ861">
            <v>150611.79999999999</v>
          </cell>
        </row>
        <row r="862">
          <cell r="BJ862">
            <v>613479.43999999994</v>
          </cell>
        </row>
        <row r="863">
          <cell r="BJ863">
            <v>78780</v>
          </cell>
        </row>
        <row r="864">
          <cell r="BJ864">
            <v>512620.4</v>
          </cell>
        </row>
        <row r="865">
          <cell r="BJ865">
            <v>84188.22</v>
          </cell>
        </row>
        <row r="866">
          <cell r="BJ866">
            <v>1912751.27</v>
          </cell>
        </row>
        <row r="868">
          <cell r="BJ868">
            <v>144870.46</v>
          </cell>
        </row>
        <row r="869">
          <cell r="BJ869">
            <v>389500</v>
          </cell>
        </row>
        <row r="871">
          <cell r="BJ871">
            <v>880392</v>
          </cell>
        </row>
        <row r="873">
          <cell r="BJ873">
            <v>546776.69999999995</v>
          </cell>
        </row>
        <row r="875">
          <cell r="BJ875">
            <v>450000</v>
          </cell>
        </row>
        <row r="877">
          <cell r="BJ877">
            <v>84000</v>
          </cell>
        </row>
        <row r="879">
          <cell r="BJ879">
            <v>770000</v>
          </cell>
        </row>
        <row r="881">
          <cell r="BJ881">
            <v>400000</v>
          </cell>
        </row>
        <row r="883">
          <cell r="BJ883">
            <v>178517.05</v>
          </cell>
        </row>
        <row r="885">
          <cell r="BJ885">
            <v>215642.94</v>
          </cell>
        </row>
        <row r="887">
          <cell r="BJ887">
            <v>215642.94</v>
          </cell>
        </row>
        <row r="889">
          <cell r="BJ889">
            <v>215642.95</v>
          </cell>
        </row>
        <row r="891">
          <cell r="BJ891">
            <v>215642.95</v>
          </cell>
        </row>
        <row r="893">
          <cell r="BJ893">
            <v>215642.95</v>
          </cell>
        </row>
        <row r="895">
          <cell r="BJ895">
            <v>215642.95</v>
          </cell>
        </row>
        <row r="897">
          <cell r="BJ897">
            <v>180910</v>
          </cell>
        </row>
        <row r="899">
          <cell r="BJ899">
            <v>180910</v>
          </cell>
        </row>
        <row r="901">
          <cell r="BJ901">
            <v>180910</v>
          </cell>
        </row>
        <row r="903">
          <cell r="BJ903">
            <v>180910</v>
          </cell>
        </row>
        <row r="905">
          <cell r="BJ905">
            <v>180910</v>
          </cell>
        </row>
        <row r="907">
          <cell r="BJ907">
            <v>180910</v>
          </cell>
        </row>
        <row r="909">
          <cell r="BJ909">
            <v>180910</v>
          </cell>
        </row>
        <row r="911">
          <cell r="BJ911">
            <v>180910</v>
          </cell>
        </row>
        <row r="913">
          <cell r="BJ913">
            <v>180910</v>
          </cell>
        </row>
        <row r="915">
          <cell r="BJ915">
            <v>180910</v>
          </cell>
        </row>
        <row r="917">
          <cell r="BJ917">
            <v>180910</v>
          </cell>
        </row>
        <row r="919">
          <cell r="BJ919">
            <v>180910</v>
          </cell>
        </row>
        <row r="921">
          <cell r="BJ921">
            <v>180910</v>
          </cell>
        </row>
        <row r="923">
          <cell r="BJ923">
            <v>180910</v>
          </cell>
        </row>
        <row r="925">
          <cell r="BJ925">
            <v>180910</v>
          </cell>
        </row>
        <row r="927">
          <cell r="BJ927">
            <v>180910</v>
          </cell>
        </row>
        <row r="929">
          <cell r="BJ929">
            <v>180910</v>
          </cell>
        </row>
        <row r="931">
          <cell r="BJ931">
            <v>180910</v>
          </cell>
        </row>
        <row r="933">
          <cell r="BJ933">
            <v>180910</v>
          </cell>
        </row>
        <row r="935">
          <cell r="BJ935">
            <v>180910</v>
          </cell>
        </row>
        <row r="937">
          <cell r="BJ937">
            <v>180910</v>
          </cell>
        </row>
        <row r="939">
          <cell r="BJ939">
            <v>180910</v>
          </cell>
        </row>
        <row r="941">
          <cell r="BJ941">
            <v>180910</v>
          </cell>
        </row>
        <row r="943">
          <cell r="BJ943">
            <v>180910</v>
          </cell>
        </row>
        <row r="945">
          <cell r="BJ945">
            <v>180766.5</v>
          </cell>
        </row>
        <row r="946">
          <cell r="BJ946">
            <v>380778</v>
          </cell>
        </row>
        <row r="948">
          <cell r="BJ948">
            <v>282320</v>
          </cell>
        </row>
        <row r="950">
          <cell r="BJ950">
            <v>205000</v>
          </cell>
        </row>
        <row r="951">
          <cell r="BJ951">
            <v>117000</v>
          </cell>
        </row>
        <row r="952">
          <cell r="BJ952">
            <v>324988</v>
          </cell>
        </row>
        <row r="954">
          <cell r="BJ954">
            <v>451000</v>
          </cell>
        </row>
        <row r="956">
          <cell r="BJ956">
            <v>95640</v>
          </cell>
        </row>
        <row r="958">
          <cell r="BJ958">
            <v>309000</v>
          </cell>
        </row>
        <row r="960">
          <cell r="BJ960">
            <v>187000</v>
          </cell>
        </row>
        <row r="962">
          <cell r="BJ962">
            <v>461636</v>
          </cell>
        </row>
        <row r="964">
          <cell r="BJ964">
            <v>87896</v>
          </cell>
        </row>
        <row r="965">
          <cell r="BJ965">
            <v>157500</v>
          </cell>
        </row>
        <row r="966">
          <cell r="BJ966">
            <v>159338</v>
          </cell>
        </row>
        <row r="967">
          <cell r="BJ967">
            <v>169713.6</v>
          </cell>
        </row>
        <row r="968">
          <cell r="BJ968">
            <v>466170.9</v>
          </cell>
        </row>
        <row r="970">
          <cell r="BJ970">
            <v>59500</v>
          </cell>
        </row>
        <row r="971">
          <cell r="BJ971">
            <v>80580</v>
          </cell>
        </row>
        <row r="972">
          <cell r="BJ972">
            <v>55760</v>
          </cell>
        </row>
        <row r="973">
          <cell r="BJ973">
            <v>94095</v>
          </cell>
        </row>
        <row r="975">
          <cell r="BJ975">
            <v>191715</v>
          </cell>
        </row>
        <row r="977">
          <cell r="BJ977">
            <v>120810</v>
          </cell>
        </row>
        <row r="979">
          <cell r="BJ979">
            <v>134770</v>
          </cell>
        </row>
        <row r="981">
          <cell r="BJ981">
            <v>847000</v>
          </cell>
        </row>
        <row r="983">
          <cell r="BJ983">
            <v>153000</v>
          </cell>
        </row>
        <row r="985">
          <cell r="BJ985">
            <v>233384</v>
          </cell>
        </row>
        <row r="987">
          <cell r="BJ987">
            <v>148800</v>
          </cell>
        </row>
        <row r="989">
          <cell r="BJ989">
            <v>458150</v>
          </cell>
        </row>
        <row r="990">
          <cell r="BJ990">
            <v>147845</v>
          </cell>
        </row>
        <row r="991">
          <cell r="BJ991">
            <v>207498</v>
          </cell>
        </row>
        <row r="992">
          <cell r="BJ992">
            <v>773328</v>
          </cell>
        </row>
        <row r="994">
          <cell r="BJ994">
            <v>155521.07</v>
          </cell>
        </row>
        <row r="996">
          <cell r="BJ996">
            <v>356690.74</v>
          </cell>
        </row>
        <row r="998">
          <cell r="BJ998">
            <v>227969.5</v>
          </cell>
        </row>
        <row r="999">
          <cell r="BJ999">
            <v>236724.5</v>
          </cell>
        </row>
        <row r="1001">
          <cell r="BJ1001">
            <v>309187</v>
          </cell>
        </row>
        <row r="1003">
          <cell r="BJ1003">
            <v>143400</v>
          </cell>
        </row>
        <row r="1005">
          <cell r="BJ1005">
            <v>139701</v>
          </cell>
        </row>
        <row r="1007">
          <cell r="BJ1007">
            <v>425000</v>
          </cell>
        </row>
        <row r="1008">
          <cell r="BJ1008">
            <v>481005</v>
          </cell>
        </row>
        <row r="1009">
          <cell r="BJ1009">
            <v>134810</v>
          </cell>
        </row>
        <row r="1011">
          <cell r="BJ1011">
            <v>107700</v>
          </cell>
        </row>
        <row r="1013">
          <cell r="BJ1013">
            <v>166000</v>
          </cell>
        </row>
        <row r="1015">
          <cell r="BJ1015">
            <v>386200</v>
          </cell>
        </row>
        <row r="1016">
          <cell r="BJ1016">
            <v>244182</v>
          </cell>
        </row>
        <row r="1017">
          <cell r="BJ1017">
            <v>158185</v>
          </cell>
        </row>
        <row r="1018">
          <cell r="BJ1018">
            <v>131515</v>
          </cell>
        </row>
        <row r="1019">
          <cell r="BJ1019">
            <v>240952</v>
          </cell>
        </row>
        <row r="1020">
          <cell r="BJ1020">
            <v>102987</v>
          </cell>
        </row>
        <row r="1022">
          <cell r="BJ1022">
            <v>218080</v>
          </cell>
        </row>
        <row r="1024">
          <cell r="BJ1024">
            <v>272213</v>
          </cell>
        </row>
        <row r="1026">
          <cell r="BJ1026">
            <v>111350</v>
          </cell>
        </row>
        <row r="1027">
          <cell r="BJ1027">
            <v>108970</v>
          </cell>
        </row>
        <row r="1029">
          <cell r="BJ1029">
            <v>277238.20999999996</v>
          </cell>
        </row>
        <row r="1031">
          <cell r="BJ1031">
            <v>235580.36</v>
          </cell>
        </row>
        <row r="1033">
          <cell r="BJ1033">
            <v>206125</v>
          </cell>
        </row>
        <row r="1034">
          <cell r="BJ1034">
            <v>207364</v>
          </cell>
        </row>
        <row r="1036">
          <cell r="BJ1036">
            <v>291974.66666666669</v>
          </cell>
        </row>
        <row r="1037">
          <cell r="BJ1037">
            <v>267070</v>
          </cell>
        </row>
        <row r="1039">
          <cell r="BJ1039">
            <v>281683</v>
          </cell>
        </row>
        <row r="1040">
          <cell r="BJ1040">
            <v>70403</v>
          </cell>
        </row>
        <row r="1042">
          <cell r="BJ1042">
            <v>322300</v>
          </cell>
        </row>
        <row r="1044">
          <cell r="BJ1044">
            <v>6659984</v>
          </cell>
        </row>
        <row r="1046">
          <cell r="BJ1046">
            <v>65669331</v>
          </cell>
        </row>
        <row r="1048">
          <cell r="BJ1048">
            <v>12195529.41</v>
          </cell>
        </row>
        <row r="1050">
          <cell r="BJ1050">
            <v>12195529.41</v>
          </cell>
        </row>
        <row r="1052">
          <cell r="BJ1052">
            <v>1300500</v>
          </cell>
        </row>
        <row r="1054">
          <cell r="BJ1054">
            <v>1128825</v>
          </cell>
        </row>
        <row r="1056">
          <cell r="BJ1056">
            <v>1274000</v>
          </cell>
        </row>
        <row r="1057">
          <cell r="BJ1057">
            <v>1360000</v>
          </cell>
        </row>
        <row r="1058">
          <cell r="BJ1058">
            <v>1906322</v>
          </cell>
        </row>
        <row r="1059">
          <cell r="BJ1059">
            <v>4628249.99</v>
          </cell>
        </row>
        <row r="1060">
          <cell r="BJ1060">
            <v>785970.33</v>
          </cell>
        </row>
        <row r="1062">
          <cell r="BJ1062">
            <v>4777000</v>
          </cell>
        </row>
        <row r="1064">
          <cell r="BJ1064">
            <v>1633275</v>
          </cell>
        </row>
        <row r="1066">
          <cell r="BJ1066">
            <v>1607189</v>
          </cell>
        </row>
        <row r="1067">
          <cell r="BJ1067">
            <v>3800000</v>
          </cell>
        </row>
        <row r="1068">
          <cell r="BJ1068">
            <v>4674992</v>
          </cell>
        </row>
        <row r="1070">
          <cell r="BJ1070">
            <v>3570000</v>
          </cell>
        </row>
        <row r="1071">
          <cell r="BJ1071">
            <v>3846000</v>
          </cell>
        </row>
        <row r="1073">
          <cell r="BJ1073">
            <v>1485986</v>
          </cell>
        </row>
        <row r="1074">
          <cell r="BJ1074">
            <v>1202265</v>
          </cell>
        </row>
        <row r="1075">
          <cell r="BJ1075">
            <v>1709693</v>
          </cell>
        </row>
        <row r="1077">
          <cell r="BJ1077">
            <v>2838353.8200000003</v>
          </cell>
        </row>
        <row r="1079">
          <cell r="BJ1079">
            <v>2797594.22</v>
          </cell>
        </row>
        <row r="1081">
          <cell r="BJ1081">
            <v>595318.30000000005</v>
          </cell>
        </row>
        <row r="1083">
          <cell r="BJ1083">
            <v>611948.92000000004</v>
          </cell>
        </row>
        <row r="1085">
          <cell r="BJ1085">
            <v>725005.09</v>
          </cell>
        </row>
        <row r="1087">
          <cell r="BJ1087">
            <v>577773.65</v>
          </cell>
        </row>
        <row r="1089">
          <cell r="BJ1089">
            <v>1589465</v>
          </cell>
        </row>
        <row r="1091">
          <cell r="BJ1091">
            <v>1338538.1600000001</v>
          </cell>
        </row>
        <row r="1093">
          <cell r="BJ1093">
            <v>718413</v>
          </cell>
        </row>
        <row r="1095">
          <cell r="BJ1095">
            <v>578966</v>
          </cell>
        </row>
        <row r="1097">
          <cell r="BJ1097">
            <v>765000</v>
          </cell>
        </row>
        <row r="1099">
          <cell r="BJ1099">
            <v>1185000</v>
          </cell>
        </row>
        <row r="1101">
          <cell r="BJ1101">
            <v>255000</v>
          </cell>
        </row>
        <row r="1103">
          <cell r="BJ1103">
            <v>1700000</v>
          </cell>
        </row>
        <row r="1105">
          <cell r="BJ1105">
            <v>812387.54</v>
          </cell>
        </row>
        <row r="1107">
          <cell r="BJ1107">
            <v>1500000</v>
          </cell>
        </row>
        <row r="1109">
          <cell r="BJ1109">
            <v>975380.8</v>
          </cell>
        </row>
        <row r="1111">
          <cell r="BJ1111">
            <v>841425</v>
          </cell>
        </row>
        <row r="1113">
          <cell r="BJ1113">
            <v>1335174.68</v>
          </cell>
        </row>
        <row r="1114">
          <cell r="BJ1114">
            <v>281000</v>
          </cell>
        </row>
        <row r="1116">
          <cell r="BJ1116">
            <v>314500</v>
          </cell>
        </row>
        <row r="1118">
          <cell r="BJ1118">
            <v>565906.32999999996</v>
          </cell>
        </row>
        <row r="1120">
          <cell r="BJ1120">
            <v>733980</v>
          </cell>
        </row>
        <row r="1122">
          <cell r="BJ1122">
            <v>467500</v>
          </cell>
        </row>
        <row r="1124">
          <cell r="BJ1124">
            <v>875500</v>
          </cell>
        </row>
        <row r="1126">
          <cell r="BJ1126">
            <v>501500</v>
          </cell>
        </row>
        <row r="1128">
          <cell r="BJ1128">
            <v>724374</v>
          </cell>
        </row>
        <row r="1129">
          <cell r="BJ1129">
            <v>250000</v>
          </cell>
        </row>
        <row r="1131">
          <cell r="BJ1131">
            <v>1377000</v>
          </cell>
        </row>
        <row r="1132">
          <cell r="BJ1132">
            <v>900000</v>
          </cell>
        </row>
        <row r="1134">
          <cell r="BJ1134">
            <v>697000</v>
          </cell>
        </row>
        <row r="1136">
          <cell r="BJ1136">
            <v>765000</v>
          </cell>
        </row>
        <row r="1137">
          <cell r="BJ1137">
            <v>622500</v>
          </cell>
        </row>
        <row r="1139">
          <cell r="BJ1139">
            <v>374000</v>
          </cell>
        </row>
        <row r="1140">
          <cell r="BJ1140">
            <v>600000</v>
          </cell>
        </row>
        <row r="1141">
          <cell r="BJ1141">
            <v>800000</v>
          </cell>
        </row>
        <row r="1142">
          <cell r="BJ1142">
            <v>340000</v>
          </cell>
        </row>
        <row r="1143">
          <cell r="BJ1143">
            <v>290000</v>
          </cell>
        </row>
        <row r="1144">
          <cell r="BJ1144">
            <v>280000</v>
          </cell>
        </row>
        <row r="1145">
          <cell r="BJ1145">
            <v>390000</v>
          </cell>
        </row>
        <row r="1147">
          <cell r="BJ1147">
            <v>510000</v>
          </cell>
        </row>
        <row r="1149">
          <cell r="BJ1149">
            <v>690933</v>
          </cell>
        </row>
        <row r="1151">
          <cell r="BJ1151">
            <v>54614.53</v>
          </cell>
        </row>
        <row r="1153">
          <cell r="BJ1153">
            <v>52835.55</v>
          </cell>
        </row>
        <row r="1155">
          <cell r="BJ1155">
            <v>40125.83</v>
          </cell>
        </row>
        <row r="1157">
          <cell r="BJ1157">
            <v>12065.56</v>
          </cell>
        </row>
        <row r="1159">
          <cell r="BJ1159">
            <v>590958.52</v>
          </cell>
        </row>
        <row r="1161">
          <cell r="BJ1161">
            <v>580895.29999999993</v>
          </cell>
        </row>
        <row r="1163">
          <cell r="BJ1163">
            <v>12726887</v>
          </cell>
        </row>
        <row r="1165">
          <cell r="BJ1165">
            <v>567767.17999999993</v>
          </cell>
        </row>
        <row r="1167">
          <cell r="BJ1167">
            <v>23980094.469999999</v>
          </cell>
        </row>
        <row r="1169">
          <cell r="BJ1169">
            <v>1224776</v>
          </cell>
        </row>
        <row r="1171">
          <cell r="BJ1171">
            <v>871561.55999999994</v>
          </cell>
        </row>
        <row r="1173">
          <cell r="BJ1173">
            <v>8594329.4800000004</v>
          </cell>
        </row>
        <row r="1175">
          <cell r="BJ1175">
            <v>158322</v>
          </cell>
        </row>
        <row r="1177">
          <cell r="BJ1177">
            <v>1404721.0299999998</v>
          </cell>
        </row>
        <row r="1179">
          <cell r="BJ1179">
            <v>1581600</v>
          </cell>
        </row>
        <row r="1181">
          <cell r="BJ1181">
            <v>980789</v>
          </cell>
        </row>
        <row r="1183">
          <cell r="BJ1183">
            <v>742365</v>
          </cell>
        </row>
        <row r="1185">
          <cell r="BJ1185">
            <v>562275</v>
          </cell>
        </row>
        <row r="1187">
          <cell r="BJ1187">
            <v>329186.75</v>
          </cell>
        </row>
        <row r="1189">
          <cell r="BJ1189">
            <v>672363.16999999993</v>
          </cell>
        </row>
        <row r="1191">
          <cell r="BJ1191">
            <v>413656</v>
          </cell>
        </row>
        <row r="1192">
          <cell r="BJ1192">
            <v>1551469.81</v>
          </cell>
        </row>
        <row r="1194">
          <cell r="BJ1194">
            <v>164668</v>
          </cell>
        </row>
        <row r="1195">
          <cell r="BJ1195">
            <v>1874301.75</v>
          </cell>
        </row>
        <row r="1197">
          <cell r="BJ1197">
            <v>0</v>
          </cell>
        </row>
        <row r="1199">
          <cell r="BJ1199">
            <v>527454.43000000005</v>
          </cell>
        </row>
        <row r="1201">
          <cell r="BJ1201">
            <v>383480</v>
          </cell>
        </row>
        <row r="1203">
          <cell r="BJ1203">
            <v>252280.75000000003</v>
          </cell>
        </row>
        <row r="1205">
          <cell r="BJ1205">
            <v>409360</v>
          </cell>
        </row>
        <row r="1206">
          <cell r="BJ1206">
            <v>642175.40999999992</v>
          </cell>
        </row>
        <row r="1208">
          <cell r="BJ1208">
            <v>830000</v>
          </cell>
        </row>
        <row r="1210">
          <cell r="BJ1210">
            <v>4593281.1399999987</v>
          </cell>
        </row>
        <row r="1212">
          <cell r="BJ1212">
            <v>180115</v>
          </cell>
        </row>
        <row r="1213">
          <cell r="BJ1213">
            <v>935022</v>
          </cell>
        </row>
        <row r="1214">
          <cell r="BJ1214">
            <v>429143.17000000004</v>
          </cell>
        </row>
        <row r="1216">
          <cell r="BJ1216">
            <v>141602.88</v>
          </cell>
        </row>
        <row r="1218">
          <cell r="BJ1218">
            <v>3130057</v>
          </cell>
        </row>
        <row r="1219">
          <cell r="BJ1219">
            <v>3316362</v>
          </cell>
        </row>
        <row r="1220">
          <cell r="BJ1220">
            <v>1167021</v>
          </cell>
        </row>
        <row r="1221">
          <cell r="BJ1221">
            <v>593300</v>
          </cell>
        </row>
        <row r="1223">
          <cell r="BJ1223">
            <v>1077423</v>
          </cell>
        </row>
        <row r="1224">
          <cell r="BJ1224">
            <v>1752710</v>
          </cell>
        </row>
        <row r="1225">
          <cell r="BJ1225">
            <v>285367</v>
          </cell>
        </row>
        <row r="1226">
          <cell r="BJ1226">
            <v>231065</v>
          </cell>
        </row>
        <row r="1228">
          <cell r="BJ1228">
            <v>1148277.1200000001</v>
          </cell>
        </row>
        <row r="1229">
          <cell r="BJ1229">
            <v>3136976.0999999996</v>
          </cell>
        </row>
        <row r="1231">
          <cell r="BJ1231">
            <v>910440</v>
          </cell>
        </row>
        <row r="1233">
          <cell r="BJ1233">
            <v>699168.5</v>
          </cell>
        </row>
        <row r="1234">
          <cell r="BJ1234">
            <v>422790</v>
          </cell>
        </row>
        <row r="1235">
          <cell r="BJ1235">
            <v>308400.99984516099</v>
          </cell>
        </row>
        <row r="1237">
          <cell r="BJ1237">
            <v>1775049.9900000002</v>
          </cell>
        </row>
        <row r="1239">
          <cell r="BJ1239">
            <v>9932724.6151237544</v>
          </cell>
        </row>
        <row r="1241">
          <cell r="BJ1241">
            <v>137125.5</v>
          </cell>
        </row>
        <row r="1243">
          <cell r="BJ1243">
            <v>380703.53</v>
          </cell>
        </row>
        <row r="1245">
          <cell r="BJ1245">
            <v>255000</v>
          </cell>
        </row>
        <row r="1247">
          <cell r="BJ1247">
            <v>116887.31</v>
          </cell>
        </row>
        <row r="1249">
          <cell r="BJ1249">
            <v>130000</v>
          </cell>
        </row>
        <row r="1251">
          <cell r="BJ1251">
            <v>86096.62</v>
          </cell>
        </row>
        <row r="1253">
          <cell r="BJ1253">
            <v>85627.32</v>
          </cell>
        </row>
        <row r="1255">
          <cell r="BJ1255">
            <v>150625.43000000002</v>
          </cell>
        </row>
        <row r="1257">
          <cell r="BJ1257">
            <v>180395.51999999999</v>
          </cell>
        </row>
        <row r="1259">
          <cell r="BJ1259">
            <v>500000</v>
          </cell>
        </row>
        <row r="1261">
          <cell r="BJ1261">
            <v>359593.74000000005</v>
          </cell>
        </row>
        <row r="1263">
          <cell r="BJ1263">
            <v>499999.75</v>
          </cell>
        </row>
        <row r="1265">
          <cell r="BJ1265">
            <v>499999.99</v>
          </cell>
        </row>
        <row r="1267">
          <cell r="BJ1267">
            <v>8075000</v>
          </cell>
        </row>
        <row r="1269">
          <cell r="BJ1269">
            <v>5945241.0000000009</v>
          </cell>
        </row>
        <row r="1271">
          <cell r="BJ1271">
            <v>5911989.9999999991</v>
          </cell>
        </row>
        <row r="1272">
          <cell r="BJ1272">
            <v>0</v>
          </cell>
        </row>
        <row r="1274">
          <cell r="BJ1274">
            <v>5634000.0600000005</v>
          </cell>
        </row>
        <row r="1275">
          <cell r="BJ1275">
            <v>2957848.9</v>
          </cell>
        </row>
        <row r="1277">
          <cell r="BJ1277">
            <v>4695000</v>
          </cell>
        </row>
        <row r="1279">
          <cell r="BJ1279">
            <v>2112750</v>
          </cell>
        </row>
        <row r="1281">
          <cell r="BJ1281">
            <v>1878000</v>
          </cell>
        </row>
        <row r="1283">
          <cell r="BJ1283">
            <v>1408500</v>
          </cell>
        </row>
        <row r="1284">
          <cell r="BJ1284">
            <v>4506661.76</v>
          </cell>
        </row>
        <row r="1285">
          <cell r="BJ1285">
            <v>2948460</v>
          </cell>
        </row>
        <row r="1286">
          <cell r="BJ1286">
            <v>4225500.32</v>
          </cell>
        </row>
        <row r="1287">
          <cell r="BJ1287">
            <v>2381180</v>
          </cell>
        </row>
        <row r="1289">
          <cell r="BJ1289">
            <v>3021000</v>
          </cell>
        </row>
        <row r="1290">
          <cell r="BJ1290">
            <v>685545</v>
          </cell>
        </row>
        <row r="1291">
          <cell r="BJ1291">
            <v>1224000</v>
          </cell>
        </row>
        <row r="1292">
          <cell r="BJ1292">
            <v>2607226</v>
          </cell>
        </row>
        <row r="1293">
          <cell r="BJ1293">
            <v>9567895</v>
          </cell>
        </row>
        <row r="1294">
          <cell r="BJ1294">
            <v>2756753</v>
          </cell>
        </row>
        <row r="1295">
          <cell r="BJ1295">
            <v>2000000</v>
          </cell>
        </row>
        <row r="1296">
          <cell r="BJ1296">
            <v>0</v>
          </cell>
        </row>
        <row r="1298">
          <cell r="BJ1298">
            <v>37487373.899999999</v>
          </cell>
        </row>
        <row r="1300">
          <cell r="BJ1300">
            <v>4250000</v>
          </cell>
        </row>
        <row r="1302">
          <cell r="BJ1302">
            <v>4249975.0599499997</v>
          </cell>
        </row>
        <row r="1304">
          <cell r="BJ1304">
            <v>4256930.0499999989</v>
          </cell>
        </row>
        <row r="1306">
          <cell r="BJ1306">
            <v>4233692.75</v>
          </cell>
        </row>
        <row r="1307">
          <cell r="BJ1307">
            <v>18444727.699999999</v>
          </cell>
        </row>
        <row r="1308">
          <cell r="BJ1308">
            <v>3756407</v>
          </cell>
        </row>
        <row r="1310">
          <cell r="BJ1310">
            <v>6150000</v>
          </cell>
        </row>
        <row r="1312">
          <cell r="BJ1312">
            <v>5000217</v>
          </cell>
        </row>
        <row r="1314">
          <cell r="BJ1314">
            <v>3274927.02</v>
          </cell>
        </row>
        <row r="1315">
          <cell r="BJ1315">
            <v>5560122</v>
          </cell>
        </row>
        <row r="1317">
          <cell r="BJ1317">
            <v>1210301.52</v>
          </cell>
        </row>
        <row r="1318">
          <cell r="BJ1318">
            <v>5172369.34</v>
          </cell>
        </row>
        <row r="1319">
          <cell r="BJ1319">
            <v>5172369.34</v>
          </cell>
        </row>
        <row r="1320">
          <cell r="BJ1320">
            <v>6000000</v>
          </cell>
        </row>
        <row r="1321">
          <cell r="BJ1321">
            <v>607630.66</v>
          </cell>
        </row>
        <row r="1322">
          <cell r="BJ1322">
            <v>427057</v>
          </cell>
        </row>
        <row r="1323">
          <cell r="BJ1323">
            <v>1870245</v>
          </cell>
        </row>
        <row r="1324">
          <cell r="BJ1324">
            <v>1000000</v>
          </cell>
        </row>
        <row r="1325">
          <cell r="BJ1325">
            <v>7008021</v>
          </cell>
        </row>
        <row r="1326">
          <cell r="BJ1326">
            <v>6000000</v>
          </cell>
        </row>
        <row r="1328">
          <cell r="BJ1328">
            <v>3500000</v>
          </cell>
        </row>
        <row r="1330">
          <cell r="BJ1330">
            <v>5750000</v>
          </cell>
        </row>
        <row r="1331">
          <cell r="BJ1331">
            <v>4588600</v>
          </cell>
        </row>
        <row r="1333">
          <cell r="BJ1333">
            <v>910759</v>
          </cell>
        </row>
        <row r="1334">
          <cell r="BJ1334">
            <v>2419222</v>
          </cell>
        </row>
        <row r="1335">
          <cell r="BJ1335">
            <v>5175974</v>
          </cell>
        </row>
        <row r="1336">
          <cell r="BJ1336">
            <v>3438238</v>
          </cell>
        </row>
        <row r="1337">
          <cell r="BJ1337">
            <v>3940961</v>
          </cell>
        </row>
        <row r="1339">
          <cell r="BJ1339">
            <v>2153456</v>
          </cell>
        </row>
        <row r="1341">
          <cell r="BJ1341">
            <v>3108904.84</v>
          </cell>
        </row>
        <row r="1343">
          <cell r="BJ1343">
            <v>1200000</v>
          </cell>
        </row>
        <row r="1344">
          <cell r="BJ1344">
            <v>2899364</v>
          </cell>
        </row>
        <row r="1345">
          <cell r="BJ1345">
            <v>2359974</v>
          </cell>
        </row>
        <row r="1347">
          <cell r="BJ1347">
            <v>2560163.14</v>
          </cell>
        </row>
        <row r="1349">
          <cell r="BJ1349">
            <v>350000</v>
          </cell>
        </row>
        <row r="1351">
          <cell r="BJ1351">
            <v>300000</v>
          </cell>
        </row>
        <row r="1353">
          <cell r="BJ1353">
            <v>246743</v>
          </cell>
        </row>
        <row r="1354">
          <cell r="BJ1354">
            <v>127500</v>
          </cell>
        </row>
        <row r="1355">
          <cell r="BJ1355">
            <v>557932.30000000005</v>
          </cell>
        </row>
        <row r="1357">
          <cell r="BJ1357">
            <v>539977.80000000005</v>
          </cell>
        </row>
        <row r="1358">
          <cell r="BJ1358">
            <v>2007924</v>
          </cell>
        </row>
        <row r="1360">
          <cell r="BJ1360">
            <v>1047416.7300000002</v>
          </cell>
        </row>
        <row r="1362">
          <cell r="BJ1362">
            <v>1381539.9300000002</v>
          </cell>
        </row>
        <row r="1364">
          <cell r="BJ1364">
            <v>2038254.3699999999</v>
          </cell>
        </row>
        <row r="1366">
          <cell r="BJ1366">
            <v>729825.54</v>
          </cell>
        </row>
        <row r="1368">
          <cell r="BJ1368">
            <v>3408126.64</v>
          </cell>
        </row>
        <row r="1369">
          <cell r="BJ1369">
            <v>262626</v>
          </cell>
        </row>
        <row r="1370">
          <cell r="BJ1370">
            <v>425000</v>
          </cell>
        </row>
        <row r="1371">
          <cell r="BJ1371">
            <v>1000000</v>
          </cell>
        </row>
        <row r="1372">
          <cell r="BJ1372">
            <v>2125000</v>
          </cell>
        </row>
        <row r="1373">
          <cell r="BJ1373">
            <v>425000</v>
          </cell>
        </row>
        <row r="1374">
          <cell r="BJ1374">
            <v>850000</v>
          </cell>
        </row>
        <row r="1376">
          <cell r="BJ1376">
            <v>1626863.1400000001</v>
          </cell>
        </row>
        <row r="1377">
          <cell r="BJ1377">
            <v>3288604</v>
          </cell>
        </row>
        <row r="1379">
          <cell r="BJ1379">
            <v>1189824.7</v>
          </cell>
        </row>
        <row r="1380">
          <cell r="BJ1380">
            <v>402705</v>
          </cell>
        </row>
        <row r="1382">
          <cell r="BJ1382">
            <v>199879</v>
          </cell>
        </row>
        <row r="1383">
          <cell r="BJ1383">
            <v>950864</v>
          </cell>
        </row>
        <row r="1384">
          <cell r="BJ1384">
            <v>1379674</v>
          </cell>
        </row>
        <row r="1386">
          <cell r="BJ1386">
            <v>100794.85</v>
          </cell>
        </row>
        <row r="1388">
          <cell r="BJ1388">
            <v>2705322.58</v>
          </cell>
        </row>
        <row r="1389">
          <cell r="BJ1389">
            <v>773348.8</v>
          </cell>
        </row>
        <row r="1390">
          <cell r="BJ1390">
            <v>765000</v>
          </cell>
        </row>
        <row r="1391">
          <cell r="BJ1391">
            <v>3711823.5045286817</v>
          </cell>
        </row>
        <row r="1393">
          <cell r="BJ1393">
            <v>1056036.8999999999</v>
          </cell>
        </row>
        <row r="1395">
          <cell r="BJ1395">
            <v>315161.99</v>
          </cell>
        </row>
        <row r="1396">
          <cell r="BJ1396">
            <v>1348000</v>
          </cell>
        </row>
        <row r="1397">
          <cell r="BJ1397">
            <v>566030.63327742298</v>
          </cell>
        </row>
        <row r="1398">
          <cell r="BJ1398">
            <v>473629</v>
          </cell>
        </row>
        <row r="1399">
          <cell r="BJ1399">
            <v>4476823.0999999996</v>
          </cell>
        </row>
        <row r="1400">
          <cell r="BJ1400">
            <v>3455618</v>
          </cell>
        </row>
        <row r="1402">
          <cell r="BJ1402">
            <v>523413.21000000008</v>
          </cell>
        </row>
        <row r="1404">
          <cell r="BJ1404">
            <v>317594.14</v>
          </cell>
        </row>
        <row r="1406">
          <cell r="BJ1406">
            <v>1769000</v>
          </cell>
        </row>
        <row r="1408">
          <cell r="BJ1408">
            <v>1151223</v>
          </cell>
        </row>
        <row r="1409">
          <cell r="BJ1409">
            <v>245000</v>
          </cell>
        </row>
        <row r="1411">
          <cell r="BJ1411">
            <v>3085516.71</v>
          </cell>
        </row>
        <row r="1413">
          <cell r="BJ1413">
            <v>495275.02</v>
          </cell>
        </row>
        <row r="1414">
          <cell r="BJ1414">
            <v>1333910</v>
          </cell>
        </row>
        <row r="1415">
          <cell r="BJ1415">
            <v>612263</v>
          </cell>
        </row>
        <row r="1416">
          <cell r="BJ1416">
            <v>669562</v>
          </cell>
        </row>
        <row r="1417">
          <cell r="BJ1417">
            <v>633658</v>
          </cell>
        </row>
        <row r="1418">
          <cell r="BJ1418">
            <v>261460</v>
          </cell>
        </row>
        <row r="1420">
          <cell r="BJ1420">
            <v>980868.33000000007</v>
          </cell>
        </row>
        <row r="1421">
          <cell r="BJ1421">
            <v>2488755.0356520852</v>
          </cell>
        </row>
        <row r="1423">
          <cell r="BJ1423">
            <v>1491750</v>
          </cell>
        </row>
        <row r="1425">
          <cell r="BJ1425">
            <v>3551429</v>
          </cell>
        </row>
        <row r="1427">
          <cell r="BJ1427">
            <v>362701.66</v>
          </cell>
        </row>
        <row r="1429">
          <cell r="BJ1429">
            <v>576599.21</v>
          </cell>
        </row>
        <row r="1431">
          <cell r="BJ1431">
            <v>2595572.3500000006</v>
          </cell>
        </row>
        <row r="1432">
          <cell r="BJ1432">
            <v>1300000</v>
          </cell>
        </row>
        <row r="1433">
          <cell r="BJ1433">
            <v>470323.99</v>
          </cell>
        </row>
        <row r="1435">
          <cell r="BJ1435">
            <v>1718379.46</v>
          </cell>
        </row>
        <row r="1436">
          <cell r="BJ1436">
            <v>0</v>
          </cell>
        </row>
        <row r="1437">
          <cell r="BJ1437">
            <v>4572592.51</v>
          </cell>
        </row>
        <row r="1439">
          <cell r="BJ1439">
            <v>3317646.14</v>
          </cell>
        </row>
        <row r="1440">
          <cell r="BJ1440">
            <v>7901711.2599999998</v>
          </cell>
        </row>
        <row r="1442">
          <cell r="BJ1442">
            <v>3661825</v>
          </cell>
        </row>
        <row r="1444">
          <cell r="BJ1444">
            <v>2488376</v>
          </cell>
        </row>
        <row r="1445">
          <cell r="BJ1445">
            <v>2507597</v>
          </cell>
        </row>
        <row r="1446">
          <cell r="BJ1446">
            <v>2975000</v>
          </cell>
        </row>
        <row r="1448">
          <cell r="BJ1448">
            <v>2114640.37</v>
          </cell>
        </row>
        <row r="1449">
          <cell r="BJ1449">
            <v>1403255.16</v>
          </cell>
        </row>
        <row r="1451">
          <cell r="BJ1451">
            <v>2615981.5999999996</v>
          </cell>
        </row>
        <row r="1453">
          <cell r="BJ1453">
            <v>2512349</v>
          </cell>
        </row>
        <row r="1454">
          <cell r="BJ1454">
            <v>444458</v>
          </cell>
        </row>
        <row r="1455">
          <cell r="BJ1455">
            <v>877755.71</v>
          </cell>
        </row>
        <row r="1456">
          <cell r="BJ1456">
            <v>1298596.5</v>
          </cell>
        </row>
        <row r="1458">
          <cell r="BJ1458">
            <v>10026413.060000001</v>
          </cell>
        </row>
        <row r="1460">
          <cell r="BJ1460">
            <v>24869084.609999999</v>
          </cell>
        </row>
        <row r="1462">
          <cell r="BJ1462">
            <v>15697303.17</v>
          </cell>
        </row>
        <row r="1463">
          <cell r="BJ1463">
            <v>13422623</v>
          </cell>
        </row>
        <row r="1464">
          <cell r="BJ1464">
            <v>23175841.800000001</v>
          </cell>
        </row>
        <row r="1466">
          <cell r="BJ1466">
            <v>4860729.6099999994</v>
          </cell>
        </row>
        <row r="1468">
          <cell r="BJ1468">
            <v>2550000</v>
          </cell>
        </row>
        <row r="1470">
          <cell r="BJ1470">
            <v>22894923.390000001</v>
          </cell>
        </row>
        <row r="1472">
          <cell r="BJ1472">
            <v>10774241.000000002</v>
          </cell>
        </row>
        <row r="1474">
          <cell r="BJ1474">
            <v>9371090.4299999997</v>
          </cell>
        </row>
        <row r="1475">
          <cell r="BJ1475">
            <v>22636333</v>
          </cell>
        </row>
        <row r="1476">
          <cell r="BJ1476">
            <v>43084858</v>
          </cell>
        </row>
        <row r="1477">
          <cell r="BJ1477">
            <v>6654498</v>
          </cell>
        </row>
        <row r="1478">
          <cell r="BJ1478">
            <v>24000000</v>
          </cell>
        </row>
        <row r="1480">
          <cell r="BJ1480">
            <v>7648420</v>
          </cell>
        </row>
        <row r="1481">
          <cell r="BJ1481">
            <v>2711204.9999999995</v>
          </cell>
        </row>
        <row r="1482">
          <cell r="BJ1482">
            <v>5031494.78</v>
          </cell>
        </row>
        <row r="1483">
          <cell r="BJ1483">
            <v>10803872</v>
          </cell>
        </row>
        <row r="1485">
          <cell r="BJ1485">
            <v>4432093</v>
          </cell>
        </row>
        <row r="1487">
          <cell r="BJ1487">
            <v>2392240</v>
          </cell>
        </row>
        <row r="1489">
          <cell r="BJ1489">
            <v>2870688</v>
          </cell>
        </row>
        <row r="1491">
          <cell r="BJ1491">
            <v>5047626</v>
          </cell>
        </row>
        <row r="1492">
          <cell r="BJ1492">
            <v>10903548.260000002</v>
          </cell>
        </row>
        <row r="1494">
          <cell r="BJ1494">
            <v>12532474.74</v>
          </cell>
        </row>
        <row r="1496">
          <cell r="BJ1496">
            <v>12104868.540000001</v>
          </cell>
        </row>
        <row r="1497">
          <cell r="BJ1497">
            <v>9787233.5199999996</v>
          </cell>
        </row>
        <row r="1498">
          <cell r="BJ1498">
            <v>13974815.999999998</v>
          </cell>
        </row>
        <row r="1499">
          <cell r="BJ1499">
            <v>7834162.419999999</v>
          </cell>
        </row>
        <row r="1500">
          <cell r="BJ1500">
            <v>9641313.4000000004</v>
          </cell>
        </row>
        <row r="1501">
          <cell r="BJ1501">
            <v>4789223.96</v>
          </cell>
        </row>
        <row r="1502">
          <cell r="BJ1502">
            <v>12591748.250000002</v>
          </cell>
        </row>
        <row r="1504">
          <cell r="BJ1504">
            <v>16097476.9</v>
          </cell>
        </row>
        <row r="1506">
          <cell r="BJ1506">
            <v>9377977.75</v>
          </cell>
        </row>
        <row r="1508">
          <cell r="BJ1508">
            <v>6918827.4500000011</v>
          </cell>
        </row>
        <row r="1510">
          <cell r="BJ1510">
            <v>10365853.700000001</v>
          </cell>
        </row>
        <row r="1512">
          <cell r="BJ1512">
            <v>13347331.550000001</v>
          </cell>
        </row>
        <row r="1514">
          <cell r="BJ1514">
            <v>17720584.100000001</v>
          </cell>
        </row>
        <row r="1516">
          <cell r="BJ1516">
            <v>12234908.25</v>
          </cell>
        </row>
        <row r="1518">
          <cell r="BJ1518">
            <v>5539805.21</v>
          </cell>
        </row>
        <row r="1519">
          <cell r="BJ1519">
            <v>7892330</v>
          </cell>
        </row>
        <row r="1521">
          <cell r="BJ1521">
            <v>3769040.12</v>
          </cell>
        </row>
        <row r="1523">
          <cell r="BJ1523">
            <v>21250000</v>
          </cell>
        </row>
        <row r="1525">
          <cell r="BJ1525">
            <v>31127000</v>
          </cell>
        </row>
        <row r="1527">
          <cell r="BJ1527">
            <v>37000500</v>
          </cell>
        </row>
        <row r="1528">
          <cell r="BJ1528">
            <v>17910518.000000004</v>
          </cell>
        </row>
        <row r="1529">
          <cell r="BJ1529">
            <v>0</v>
          </cell>
        </row>
        <row r="1531">
          <cell r="BJ1531">
            <v>3556515.24</v>
          </cell>
        </row>
        <row r="1532">
          <cell r="BJ1532">
            <v>1604865.1300000001</v>
          </cell>
        </row>
        <row r="1534">
          <cell r="BJ1534">
            <v>5660528.0700000003</v>
          </cell>
        </row>
        <row r="1535">
          <cell r="BJ1535">
            <v>8325824</v>
          </cell>
        </row>
        <row r="1537">
          <cell r="BJ1537">
            <v>7664412.6400000006</v>
          </cell>
        </row>
        <row r="1539">
          <cell r="BJ1539">
            <v>9233712.0600000005</v>
          </cell>
        </row>
        <row r="1540">
          <cell r="BJ1540">
            <v>10075086.249999998</v>
          </cell>
        </row>
        <row r="1542">
          <cell r="BJ1542">
            <v>6728065.4699999997</v>
          </cell>
        </row>
        <row r="1543">
          <cell r="BJ1543">
            <v>7636405.3799999999</v>
          </cell>
        </row>
        <row r="1545">
          <cell r="BJ1545">
            <v>11071771.260000002</v>
          </cell>
        </row>
        <row r="1547">
          <cell r="BJ1547">
            <v>6586478.5800000001</v>
          </cell>
        </row>
        <row r="1549">
          <cell r="BJ1549">
            <v>6494290.0099999998</v>
          </cell>
        </row>
        <row r="1551">
          <cell r="BJ1551">
            <v>2814988.23</v>
          </cell>
        </row>
        <row r="1553">
          <cell r="BJ1553">
            <v>3169217.79</v>
          </cell>
        </row>
        <row r="1555">
          <cell r="BJ1555">
            <v>5863633.7199999997</v>
          </cell>
        </row>
        <row r="1557">
          <cell r="BJ1557">
            <v>6195031.5199999996</v>
          </cell>
        </row>
        <row r="1559">
          <cell r="BJ1559">
            <v>5354021.25</v>
          </cell>
        </row>
        <row r="1561">
          <cell r="BJ1561">
            <v>3977922.58</v>
          </cell>
        </row>
        <row r="1563">
          <cell r="BJ1563">
            <v>13954086.91</v>
          </cell>
        </row>
        <row r="1565">
          <cell r="BJ1565">
            <v>8994680.879999999</v>
          </cell>
        </row>
        <row r="1567">
          <cell r="BJ1567">
            <v>5028222.5999999996</v>
          </cell>
        </row>
        <row r="1569">
          <cell r="BJ1569">
            <v>6365272.6100000003</v>
          </cell>
        </row>
        <row r="1571">
          <cell r="BJ1571">
            <v>3976516.0500000003</v>
          </cell>
        </row>
        <row r="1573">
          <cell r="BJ1573">
            <v>8046854.1999999993</v>
          </cell>
        </row>
        <row r="1574">
          <cell r="BJ1574">
            <v>5193802</v>
          </cell>
        </row>
        <row r="1576">
          <cell r="BJ1576">
            <v>9656505.0500000007</v>
          </cell>
        </row>
        <row r="1577">
          <cell r="BJ1577">
            <v>0</v>
          </cell>
        </row>
        <row r="1578">
          <cell r="BJ1578">
            <v>7005148</v>
          </cell>
        </row>
        <row r="1579">
          <cell r="BJ1579">
            <v>4442126</v>
          </cell>
        </row>
        <row r="1580">
          <cell r="BJ1580">
            <v>5673102</v>
          </cell>
        </row>
        <row r="1581">
          <cell r="BJ1581">
            <v>0</v>
          </cell>
        </row>
        <row r="1582">
          <cell r="BJ1582">
            <v>0</v>
          </cell>
        </row>
        <row r="1583">
          <cell r="BJ1583">
            <v>0</v>
          </cell>
        </row>
        <row r="1584">
          <cell r="BJ1584">
            <v>0</v>
          </cell>
        </row>
        <row r="1585">
          <cell r="BJ1585">
            <v>9579602</v>
          </cell>
        </row>
        <row r="1587">
          <cell r="BJ1587">
            <v>8544348.3699999992</v>
          </cell>
        </row>
        <row r="1589">
          <cell r="BJ1589">
            <v>77757171.879999995</v>
          </cell>
        </row>
        <row r="1591">
          <cell r="BJ1591">
            <v>428655</v>
          </cell>
        </row>
        <row r="1593">
          <cell r="BJ1593">
            <v>1190654.8</v>
          </cell>
        </row>
        <row r="1594">
          <cell r="BJ1594">
            <v>31031121.999999996</v>
          </cell>
        </row>
        <row r="1595">
          <cell r="BJ1595">
            <v>161323.06000000023</v>
          </cell>
        </row>
        <row r="1596">
          <cell r="BJ1596">
            <v>26989172.780000001</v>
          </cell>
        </row>
        <row r="1597">
          <cell r="BJ1597">
            <v>5784152.3899999987</v>
          </cell>
        </row>
        <row r="1598">
          <cell r="BJ1598">
            <v>0</v>
          </cell>
        </row>
        <row r="1600">
          <cell r="BJ1600">
            <v>10746951</v>
          </cell>
        </row>
        <row r="1602">
          <cell r="BJ1602">
            <v>9006779.3599999994</v>
          </cell>
        </row>
        <row r="1604">
          <cell r="BJ1604">
            <v>1137479.25</v>
          </cell>
        </row>
        <row r="1606">
          <cell r="BJ1606">
            <v>421152.05000000005</v>
          </cell>
        </row>
        <row r="1608">
          <cell r="BJ1608">
            <v>824987.9</v>
          </cell>
        </row>
        <row r="1610">
          <cell r="BJ1610">
            <v>570186.80000000005</v>
          </cell>
        </row>
        <row r="1612">
          <cell r="BJ1612">
            <v>2877817.8</v>
          </cell>
        </row>
        <row r="1614">
          <cell r="BJ1614">
            <v>185108.13</v>
          </cell>
        </row>
        <row r="1616">
          <cell r="BJ1616">
            <v>709606.35</v>
          </cell>
        </row>
        <row r="1618">
          <cell r="BJ1618">
            <v>10396847.25</v>
          </cell>
        </row>
        <row r="1620">
          <cell r="BJ1620">
            <v>4983531.3000000007</v>
          </cell>
        </row>
        <row r="1621">
          <cell r="BJ1621">
            <v>820183</v>
          </cell>
        </row>
        <row r="1623">
          <cell r="BJ1623">
            <v>9358414.1500000004</v>
          </cell>
        </row>
        <row r="1625">
          <cell r="BJ1625">
            <v>998060.65</v>
          </cell>
        </row>
        <row r="1627">
          <cell r="BJ1627">
            <v>1507620.35</v>
          </cell>
        </row>
        <row r="1629">
          <cell r="BJ1629">
            <v>478843.25000000006</v>
          </cell>
        </row>
        <row r="1631">
          <cell r="BJ1631">
            <v>1471656</v>
          </cell>
        </row>
        <row r="1633">
          <cell r="BJ1633">
            <v>2795506</v>
          </cell>
        </row>
        <row r="1635">
          <cell r="BJ1635">
            <v>1699430</v>
          </cell>
        </row>
        <row r="1637">
          <cell r="BJ1637">
            <v>5659422</v>
          </cell>
        </row>
        <row r="1638">
          <cell r="BJ1638">
            <v>5634000</v>
          </cell>
        </row>
        <row r="1639">
          <cell r="BJ1639">
            <v>5802893.5300000003</v>
          </cell>
        </row>
        <row r="1640">
          <cell r="BJ1640">
            <v>300000</v>
          </cell>
        </row>
        <row r="1641">
          <cell r="BJ1641">
            <v>368760.47</v>
          </cell>
        </row>
        <row r="1642">
          <cell r="BJ1642">
            <v>1471654</v>
          </cell>
        </row>
        <row r="1643">
          <cell r="BJ1643">
            <v>5382000</v>
          </cell>
        </row>
        <row r="1644">
          <cell r="BJ1644">
            <v>2003729.4</v>
          </cell>
        </row>
        <row r="1645">
          <cell r="BJ1645">
            <v>5527654</v>
          </cell>
        </row>
        <row r="1646">
          <cell r="BJ1646">
            <v>5971247.1799999997</v>
          </cell>
        </row>
        <row r="1647">
          <cell r="BJ1647">
            <v>4531976</v>
          </cell>
        </row>
        <row r="1648">
          <cell r="BJ1648">
            <v>1995445.58</v>
          </cell>
        </row>
        <row r="1649">
          <cell r="BJ1649">
            <v>2596653.5</v>
          </cell>
        </row>
        <row r="1651">
          <cell r="BJ1651">
            <v>3729264</v>
          </cell>
        </row>
        <row r="1652">
          <cell r="BJ1652">
            <v>1701409</v>
          </cell>
        </row>
        <row r="1653">
          <cell r="BJ1653">
            <v>4100000</v>
          </cell>
        </row>
        <row r="1654">
          <cell r="BJ1654">
            <v>1564280</v>
          </cell>
        </row>
        <row r="1656">
          <cell r="BJ1656">
            <v>2325582</v>
          </cell>
        </row>
        <row r="1657">
          <cell r="BJ1657">
            <v>2234489.81</v>
          </cell>
        </row>
        <row r="1659">
          <cell r="BJ1659">
            <v>3184094.26</v>
          </cell>
        </row>
        <row r="1660">
          <cell r="BJ1660">
            <v>4761429.1300000008</v>
          </cell>
        </row>
        <row r="1662">
          <cell r="BJ1662">
            <v>3503935</v>
          </cell>
        </row>
        <row r="1664">
          <cell r="BJ1664">
            <v>3029878</v>
          </cell>
        </row>
        <row r="1665">
          <cell r="BJ1665">
            <v>2657611</v>
          </cell>
        </row>
        <row r="1666">
          <cell r="BJ1666">
            <v>2284945.9500000002</v>
          </cell>
        </row>
        <row r="1668">
          <cell r="BJ1668">
            <v>1501742</v>
          </cell>
        </row>
        <row r="1670">
          <cell r="BJ1670">
            <v>1359041.1</v>
          </cell>
        </row>
        <row r="1672">
          <cell r="BJ1672">
            <v>2003858</v>
          </cell>
        </row>
        <row r="1673">
          <cell r="BJ1673">
            <v>3629093.69</v>
          </cell>
        </row>
        <row r="1674">
          <cell r="BJ1674">
            <v>5029458.28</v>
          </cell>
        </row>
        <row r="1675">
          <cell r="BJ1675">
            <v>1799767</v>
          </cell>
        </row>
        <row r="1677">
          <cell r="BJ1677">
            <v>3439523</v>
          </cell>
        </row>
        <row r="1679">
          <cell r="BJ1679">
            <v>2988570</v>
          </cell>
        </row>
        <row r="1680">
          <cell r="BJ1680">
            <v>1875655</v>
          </cell>
        </row>
        <row r="1682">
          <cell r="BJ1682">
            <v>3673940</v>
          </cell>
        </row>
        <row r="1683">
          <cell r="BJ1683">
            <v>4511313.8</v>
          </cell>
        </row>
        <row r="1684">
          <cell r="BJ1684">
            <v>1247392</v>
          </cell>
        </row>
        <row r="1686">
          <cell r="BJ1686">
            <v>2564487</v>
          </cell>
        </row>
        <row r="1687">
          <cell r="BJ1687">
            <v>1034058</v>
          </cell>
        </row>
        <row r="1689">
          <cell r="BJ1689">
            <v>1055850</v>
          </cell>
        </row>
        <row r="1691">
          <cell r="BJ1691">
            <v>1968659</v>
          </cell>
        </row>
        <row r="1693">
          <cell r="BJ1693">
            <v>3178193</v>
          </cell>
        </row>
        <row r="1695">
          <cell r="BJ1695">
            <v>2778494</v>
          </cell>
        </row>
        <row r="1697">
          <cell r="BJ1697">
            <v>2387389</v>
          </cell>
        </row>
        <row r="1698">
          <cell r="BJ1698">
            <v>300000</v>
          </cell>
        </row>
        <row r="1700">
          <cell r="BJ1700">
            <v>8968324.0800000001</v>
          </cell>
        </row>
        <row r="1702">
          <cell r="BJ1702">
            <v>11447749.85</v>
          </cell>
        </row>
        <row r="1704">
          <cell r="BJ1704">
            <v>4645400.45</v>
          </cell>
        </row>
        <row r="1706">
          <cell r="BJ1706">
            <v>4216243.0999999996</v>
          </cell>
        </row>
        <row r="1708">
          <cell r="BJ1708">
            <v>2047646.6000000003</v>
          </cell>
        </row>
        <row r="1710">
          <cell r="BJ1710">
            <v>1518686.5</v>
          </cell>
        </row>
        <row r="1712">
          <cell r="BJ1712">
            <v>1803840.25</v>
          </cell>
        </row>
        <row r="1714">
          <cell r="BJ1714">
            <v>3044260.5500000003</v>
          </cell>
        </row>
        <row r="1716">
          <cell r="BJ1716">
            <v>1592826.05</v>
          </cell>
        </row>
        <row r="1717">
          <cell r="BJ1717">
            <v>2081440.9</v>
          </cell>
        </row>
        <row r="1719">
          <cell r="BJ1719">
            <v>3248145.8000000003</v>
          </cell>
        </row>
        <row r="1721">
          <cell r="BJ1721">
            <v>2630787.4</v>
          </cell>
        </row>
        <row r="1723">
          <cell r="BJ1723">
            <v>5117330.6499999994</v>
          </cell>
        </row>
        <row r="1725">
          <cell r="BJ1725">
            <v>3373613.45</v>
          </cell>
        </row>
        <row r="1727">
          <cell r="BJ1727">
            <v>3469139.85</v>
          </cell>
        </row>
        <row r="1729">
          <cell r="BJ1729">
            <v>1544349.7000000002</v>
          </cell>
        </row>
        <row r="1731">
          <cell r="BJ1731">
            <v>2629065</v>
          </cell>
        </row>
        <row r="1733">
          <cell r="BJ1733">
            <v>1443575.9999999998</v>
          </cell>
        </row>
        <row r="1735">
          <cell r="BJ1735">
            <v>3835741.9999999995</v>
          </cell>
        </row>
        <row r="1737">
          <cell r="BJ1737">
            <v>974085.55000000016</v>
          </cell>
        </row>
        <row r="1739">
          <cell r="BJ1739">
            <v>9307377.5999999978</v>
          </cell>
        </row>
        <row r="1741">
          <cell r="BJ1741">
            <v>1810176.1500000001</v>
          </cell>
        </row>
        <row r="1742">
          <cell r="BJ1742">
            <v>3226000</v>
          </cell>
        </row>
        <row r="1744">
          <cell r="BJ1744">
            <v>2142975</v>
          </cell>
        </row>
        <row r="1746">
          <cell r="BJ1746">
            <v>5587077.2000000011</v>
          </cell>
        </row>
        <row r="1748">
          <cell r="BJ1748">
            <v>289429.25</v>
          </cell>
        </row>
        <row r="1750">
          <cell r="BJ1750">
            <v>347291.3</v>
          </cell>
        </row>
        <row r="1752">
          <cell r="BJ1752">
            <v>434699.35</v>
          </cell>
        </row>
        <row r="1754">
          <cell r="BJ1754">
            <v>3583572.8</v>
          </cell>
        </row>
        <row r="1756">
          <cell r="BJ1756">
            <v>280675.09999999998</v>
          </cell>
        </row>
        <row r="1758">
          <cell r="BJ1758">
            <v>262515.7</v>
          </cell>
        </row>
        <row r="1760">
          <cell r="BJ1760">
            <v>285701.15000000002</v>
          </cell>
        </row>
        <row r="1762">
          <cell r="BJ1762">
            <v>251010.95</v>
          </cell>
        </row>
        <row r="1764">
          <cell r="BJ1764">
            <v>1275000</v>
          </cell>
        </row>
        <row r="1766">
          <cell r="BJ1766">
            <v>11866751</v>
          </cell>
        </row>
        <row r="1768">
          <cell r="BJ1768">
            <v>2794247</v>
          </cell>
        </row>
        <row r="1770">
          <cell r="BJ1770">
            <v>27204409</v>
          </cell>
        </row>
        <row r="1772">
          <cell r="BJ1772">
            <v>3554242.47</v>
          </cell>
        </row>
        <row r="1774">
          <cell r="BJ1774">
            <v>31258861.959999997</v>
          </cell>
        </row>
        <row r="1776">
          <cell r="BJ1776">
            <v>18398598</v>
          </cell>
        </row>
        <row r="1778">
          <cell r="BJ1778">
            <v>2038722.06</v>
          </cell>
        </row>
        <row r="1779">
          <cell r="BJ1779">
            <v>3067927</v>
          </cell>
        </row>
        <row r="1781">
          <cell r="BJ1781">
            <v>21550401</v>
          </cell>
        </row>
        <row r="1783">
          <cell r="BJ1783">
            <v>17487038.100000001</v>
          </cell>
        </row>
        <row r="1785">
          <cell r="BJ1785">
            <v>10311486.029999999</v>
          </cell>
        </row>
        <row r="1787">
          <cell r="BJ1787">
            <v>5173530</v>
          </cell>
        </row>
        <row r="1789">
          <cell r="BJ1789">
            <v>30449858.299999997</v>
          </cell>
        </row>
        <row r="1791">
          <cell r="BJ1791">
            <v>27225595</v>
          </cell>
        </row>
        <row r="1793">
          <cell r="BJ1793">
            <v>12682175</v>
          </cell>
        </row>
        <row r="1795">
          <cell r="BJ1795">
            <v>4125213</v>
          </cell>
        </row>
        <row r="1797">
          <cell r="BJ1797">
            <v>3374060.0000000005</v>
          </cell>
        </row>
        <row r="1799">
          <cell r="BJ1799">
            <v>1064286.77</v>
          </cell>
        </row>
        <row r="1801">
          <cell r="BJ1801">
            <v>1124764.3399999999</v>
          </cell>
        </row>
        <row r="1803">
          <cell r="BJ1803">
            <v>270346</v>
          </cell>
        </row>
        <row r="1805">
          <cell r="BJ1805">
            <v>5791088</v>
          </cell>
        </row>
        <row r="1807">
          <cell r="BJ1807">
            <v>7247622.0000000009</v>
          </cell>
        </row>
        <row r="1809">
          <cell r="BJ1809">
            <v>917711.00000000012</v>
          </cell>
        </row>
        <row r="1811">
          <cell r="BJ1811">
            <v>1981562.33</v>
          </cell>
        </row>
        <row r="1813">
          <cell r="BJ1813">
            <v>4853010.4000000004</v>
          </cell>
        </row>
        <row r="1815">
          <cell r="BJ1815">
            <v>16046425.369999999</v>
          </cell>
        </row>
        <row r="1817">
          <cell r="BJ1817">
            <v>3681463.92</v>
          </cell>
        </row>
        <row r="1819">
          <cell r="BJ1819">
            <v>5342488.8500000006</v>
          </cell>
        </row>
        <row r="1821">
          <cell r="BJ1821">
            <v>7061049.540000001</v>
          </cell>
        </row>
        <row r="1823">
          <cell r="BJ1823">
            <v>4018012</v>
          </cell>
        </row>
        <row r="1825">
          <cell r="BJ1825">
            <v>3896000.7800000003</v>
          </cell>
        </row>
        <row r="1827">
          <cell r="BJ1827">
            <v>14188807.539999997</v>
          </cell>
        </row>
        <row r="1829">
          <cell r="BJ1829">
            <v>95346.2</v>
          </cell>
        </row>
        <row r="1831">
          <cell r="BJ1831">
            <v>42751.599999999991</v>
          </cell>
        </row>
        <row r="1833">
          <cell r="BJ1833">
            <v>224396.59999999998</v>
          </cell>
        </row>
        <row r="1835">
          <cell r="BJ1835">
            <v>168374.80000000002</v>
          </cell>
        </row>
        <row r="1837">
          <cell r="BJ1837">
            <v>124398.35</v>
          </cell>
        </row>
        <row r="1839">
          <cell r="BJ1839">
            <v>60746.100000000006</v>
          </cell>
        </row>
        <row r="1841">
          <cell r="BJ1841">
            <v>488455.05</v>
          </cell>
        </row>
        <row r="1843">
          <cell r="BJ1843">
            <v>291241.45</v>
          </cell>
        </row>
        <row r="1845">
          <cell r="BJ1845">
            <v>66961.3</v>
          </cell>
        </row>
        <row r="1847">
          <cell r="BJ1847">
            <v>92123.85</v>
          </cell>
        </row>
        <row r="1849">
          <cell r="BJ1849">
            <v>52167.900000000009</v>
          </cell>
        </row>
        <row r="1851">
          <cell r="BJ1851">
            <v>40387.75</v>
          </cell>
        </row>
        <row r="1853">
          <cell r="BJ1853">
            <v>26996</v>
          </cell>
        </row>
        <row r="1855">
          <cell r="BJ1855">
            <v>170422.44999999998</v>
          </cell>
        </row>
        <row r="1857">
          <cell r="BJ1857">
            <v>58171.45</v>
          </cell>
        </row>
        <row r="1859">
          <cell r="BJ1859">
            <v>85675.75</v>
          </cell>
        </row>
        <row r="1861">
          <cell r="BJ1861">
            <v>2975000</v>
          </cell>
        </row>
        <row r="1863">
          <cell r="BJ1863">
            <v>60355.1</v>
          </cell>
        </row>
        <row r="1865">
          <cell r="BJ1865">
            <v>81826.95</v>
          </cell>
        </row>
        <row r="1867">
          <cell r="BJ1867">
            <v>140125.9</v>
          </cell>
        </row>
        <row r="1869">
          <cell r="BJ1869">
            <v>193929.84999999998</v>
          </cell>
        </row>
        <row r="1871">
          <cell r="BJ1871">
            <v>327834.80000000005</v>
          </cell>
        </row>
        <row r="1873">
          <cell r="BJ1873">
            <v>53591.65</v>
          </cell>
        </row>
        <row r="1875">
          <cell r="BJ1875">
            <v>70789.06</v>
          </cell>
        </row>
        <row r="1877">
          <cell r="BJ1877">
            <v>309012.40000000002</v>
          </cell>
        </row>
        <row r="1879">
          <cell r="BJ1879">
            <v>331416.52</v>
          </cell>
        </row>
        <row r="1881">
          <cell r="BJ1881">
            <v>166643.35</v>
          </cell>
        </row>
        <row r="1883">
          <cell r="BJ1883">
            <v>248503.44999999998</v>
          </cell>
        </row>
        <row r="1885">
          <cell r="BJ1885">
            <v>41294.699999999997</v>
          </cell>
        </row>
        <row r="1887">
          <cell r="BJ1887">
            <v>90597.25</v>
          </cell>
        </row>
        <row r="1889">
          <cell r="BJ1889">
            <v>34264.350000000006</v>
          </cell>
        </row>
        <row r="1891">
          <cell r="BJ1891">
            <v>90860.75</v>
          </cell>
        </row>
        <row r="1893">
          <cell r="BJ1893">
            <v>94865.949999999983</v>
          </cell>
        </row>
        <row r="1895">
          <cell r="BJ1895">
            <v>56268.22</v>
          </cell>
        </row>
        <row r="1897">
          <cell r="BJ1897">
            <v>218491.65</v>
          </cell>
        </row>
        <row r="1899">
          <cell r="BJ1899">
            <v>253980</v>
          </cell>
        </row>
        <row r="1901">
          <cell r="BJ1901">
            <v>15532.05</v>
          </cell>
        </row>
        <row r="1903">
          <cell r="BJ1903">
            <v>35182.350000000006</v>
          </cell>
        </row>
        <row r="1905">
          <cell r="BJ1905">
            <v>41334.65</v>
          </cell>
        </row>
        <row r="1907">
          <cell r="BJ1907">
            <v>12850.3</v>
          </cell>
        </row>
        <row r="1909">
          <cell r="BJ1909">
            <v>59723.55</v>
          </cell>
        </row>
        <row r="1911">
          <cell r="BJ1911">
            <v>213590.55</v>
          </cell>
        </row>
        <row r="1913">
          <cell r="BJ1913">
            <v>41748.600000000006</v>
          </cell>
        </row>
        <row r="1915">
          <cell r="BJ1915">
            <v>214553.60000000001</v>
          </cell>
        </row>
        <row r="1917">
          <cell r="BJ1917">
            <v>138865.35</v>
          </cell>
        </row>
        <row r="1919">
          <cell r="BJ1919">
            <v>33819.800000000003</v>
          </cell>
        </row>
        <row r="1921">
          <cell r="BJ1921">
            <v>128392.5</v>
          </cell>
        </row>
        <row r="1923">
          <cell r="BJ1923">
            <v>53428.45</v>
          </cell>
        </row>
        <row r="1925">
          <cell r="BJ1925">
            <v>127361.45000000001</v>
          </cell>
        </row>
        <row r="1927">
          <cell r="BJ1927">
            <v>29034.3</v>
          </cell>
        </row>
        <row r="1929">
          <cell r="BJ1929">
            <v>28176.65</v>
          </cell>
        </row>
        <row r="1931">
          <cell r="BJ1931">
            <v>38169.25</v>
          </cell>
        </row>
        <row r="1933">
          <cell r="BJ1933">
            <v>79014.299999999988</v>
          </cell>
        </row>
        <row r="1935">
          <cell r="BJ1935">
            <v>177727.34999999998</v>
          </cell>
        </row>
        <row r="1937">
          <cell r="BJ1937">
            <v>39660.149999999994</v>
          </cell>
        </row>
        <row r="1939">
          <cell r="BJ1939">
            <v>249317.75</v>
          </cell>
        </row>
        <row r="1941">
          <cell r="BJ1941">
            <v>186909.9</v>
          </cell>
        </row>
        <row r="1943">
          <cell r="BJ1943">
            <v>21971.65</v>
          </cell>
        </row>
        <row r="1945">
          <cell r="BJ1945">
            <v>287391.8</v>
          </cell>
        </row>
        <row r="1947">
          <cell r="BJ1947">
            <v>69728.899999999994</v>
          </cell>
        </row>
        <row r="1949">
          <cell r="BJ1949">
            <v>102790.5</v>
          </cell>
        </row>
        <row r="1951">
          <cell r="BJ1951">
            <v>33123.65</v>
          </cell>
        </row>
        <row r="1953">
          <cell r="BJ1953">
            <v>66275.349999999991</v>
          </cell>
        </row>
        <row r="1955">
          <cell r="BJ1955">
            <v>262471.5</v>
          </cell>
        </row>
        <row r="1957">
          <cell r="BJ1957">
            <v>25543.309999999998</v>
          </cell>
        </row>
        <row r="1959">
          <cell r="BJ1959">
            <v>56222.400000000001</v>
          </cell>
        </row>
        <row r="1961">
          <cell r="BJ1961">
            <v>17917.150000000001</v>
          </cell>
        </row>
        <row r="1963">
          <cell r="BJ1963">
            <v>59506.799999999996</v>
          </cell>
        </row>
        <row r="1965">
          <cell r="BJ1965">
            <v>34351.049999999996</v>
          </cell>
        </row>
        <row r="1967">
          <cell r="BJ1967">
            <v>26060.15</v>
          </cell>
        </row>
        <row r="1969">
          <cell r="BJ1969">
            <v>99377.75</v>
          </cell>
        </row>
        <row r="1971">
          <cell r="BJ1971">
            <v>33435.600000000006</v>
          </cell>
        </row>
        <row r="1973">
          <cell r="BJ1973">
            <v>85704.650000000023</v>
          </cell>
        </row>
        <row r="1975">
          <cell r="BJ1975">
            <v>98055.150000000009</v>
          </cell>
        </row>
        <row r="1977">
          <cell r="BJ1977">
            <v>32142.75</v>
          </cell>
        </row>
        <row r="1979">
          <cell r="BJ1979">
            <v>55738.75</v>
          </cell>
        </row>
        <row r="1981">
          <cell r="BJ1981">
            <v>82575.8</v>
          </cell>
        </row>
        <row r="1983">
          <cell r="BJ1983">
            <v>542319.54999999993</v>
          </cell>
        </row>
        <row r="1985">
          <cell r="BJ1985">
            <v>60026.15</v>
          </cell>
        </row>
        <row r="1987">
          <cell r="BJ1987">
            <v>53435.25</v>
          </cell>
        </row>
        <row r="1989">
          <cell r="BJ1989">
            <v>687617.70000000007</v>
          </cell>
        </row>
        <row r="1991">
          <cell r="BJ1991">
            <v>67081.999999999985</v>
          </cell>
        </row>
        <row r="1993">
          <cell r="BJ1993">
            <v>53362.150000000009</v>
          </cell>
        </row>
        <row r="1995">
          <cell r="BJ1995">
            <v>255378.25</v>
          </cell>
        </row>
        <row r="1997">
          <cell r="BJ1997">
            <v>202678.25</v>
          </cell>
        </row>
        <row r="1999">
          <cell r="BJ1999">
            <v>250848.6</v>
          </cell>
        </row>
        <row r="2001">
          <cell r="BJ2001">
            <v>172146.25</v>
          </cell>
        </row>
        <row r="2003">
          <cell r="BJ2003">
            <v>20542.8</v>
          </cell>
        </row>
        <row r="2005">
          <cell r="BJ2005">
            <v>58949.2</v>
          </cell>
        </row>
        <row r="2007">
          <cell r="BJ2007">
            <v>92777.499999999985</v>
          </cell>
        </row>
        <row r="2009">
          <cell r="BJ2009">
            <v>843662.4</v>
          </cell>
        </row>
        <row r="2011">
          <cell r="BJ2011">
            <v>24531.85</v>
          </cell>
        </row>
        <row r="2013">
          <cell r="BJ2013">
            <v>349860.85000000003</v>
          </cell>
        </row>
        <row r="2015">
          <cell r="BJ2015">
            <v>42466</v>
          </cell>
        </row>
        <row r="2017">
          <cell r="BJ2017">
            <v>163963.29999999999</v>
          </cell>
        </row>
        <row r="2019">
          <cell r="BJ2019">
            <v>365293.45</v>
          </cell>
        </row>
        <row r="2020">
          <cell r="BJ2020">
            <v>0</v>
          </cell>
        </row>
        <row r="2021">
          <cell r="BJ2021">
            <v>0</v>
          </cell>
        </row>
        <row r="2022">
          <cell r="BJ2022">
            <v>0</v>
          </cell>
        </row>
        <row r="2023">
          <cell r="BJ2023">
            <v>0</v>
          </cell>
        </row>
        <row r="2024">
          <cell r="BJ2024">
            <v>0</v>
          </cell>
        </row>
        <row r="2025">
          <cell r="BJ2025">
            <v>0</v>
          </cell>
        </row>
        <row r="2026">
          <cell r="BJ2026">
            <v>0</v>
          </cell>
        </row>
        <row r="2027">
          <cell r="BJ2027">
            <v>0</v>
          </cell>
        </row>
        <row r="2028">
          <cell r="BJ2028">
            <v>0</v>
          </cell>
        </row>
        <row r="2029">
          <cell r="BJ2029">
            <v>0</v>
          </cell>
        </row>
        <row r="2030">
          <cell r="BJ2030">
            <v>0</v>
          </cell>
        </row>
        <row r="2031">
          <cell r="BJ2031">
            <v>0</v>
          </cell>
        </row>
        <row r="2032">
          <cell r="BJ2032">
            <v>0</v>
          </cell>
        </row>
        <row r="2033">
          <cell r="BJ2033">
            <v>0</v>
          </cell>
        </row>
        <row r="2034">
          <cell r="BJ2034">
            <v>0</v>
          </cell>
        </row>
        <row r="2035">
          <cell r="BJ2035">
            <v>0</v>
          </cell>
        </row>
        <row r="2036">
          <cell r="BJ2036">
            <v>0</v>
          </cell>
        </row>
        <row r="2037">
          <cell r="BJ2037">
            <v>0</v>
          </cell>
        </row>
        <row r="2038">
          <cell r="BJ2038">
            <v>0</v>
          </cell>
        </row>
        <row r="2039">
          <cell r="BJ2039">
            <v>0</v>
          </cell>
        </row>
        <row r="2040">
          <cell r="BJ2040">
            <v>0</v>
          </cell>
        </row>
        <row r="2041">
          <cell r="BJ2041">
            <v>0</v>
          </cell>
        </row>
        <row r="2042">
          <cell r="BJ2042">
            <v>0</v>
          </cell>
        </row>
        <row r="2043">
          <cell r="BJ2043">
            <v>0</v>
          </cell>
        </row>
        <row r="2044">
          <cell r="BJ2044">
            <v>0</v>
          </cell>
        </row>
        <row r="2045">
          <cell r="BJ2045">
            <v>0</v>
          </cell>
        </row>
        <row r="2046">
          <cell r="BJ2046">
            <v>0</v>
          </cell>
        </row>
        <row r="2047">
          <cell r="BJ2047">
            <v>0</v>
          </cell>
        </row>
        <row r="2048">
          <cell r="BJ2048">
            <v>0</v>
          </cell>
        </row>
        <row r="2049">
          <cell r="BJ2049">
            <v>0</v>
          </cell>
        </row>
        <row r="2050">
          <cell r="BJ2050">
            <v>0</v>
          </cell>
        </row>
        <row r="2051">
          <cell r="BJ2051">
            <v>0</v>
          </cell>
        </row>
        <row r="2052">
          <cell r="BJ2052">
            <v>0</v>
          </cell>
        </row>
        <row r="2053">
          <cell r="BJ2053">
            <v>0</v>
          </cell>
        </row>
        <row r="2054">
          <cell r="BJ2054">
            <v>0</v>
          </cell>
        </row>
        <row r="2055">
          <cell r="BJ2055">
            <v>0</v>
          </cell>
        </row>
        <row r="2056">
          <cell r="BJ2056">
            <v>0</v>
          </cell>
        </row>
        <row r="2057">
          <cell r="BJ2057">
            <v>0</v>
          </cell>
        </row>
        <row r="2058">
          <cell r="BJ2058">
            <v>0</v>
          </cell>
        </row>
        <row r="2059">
          <cell r="BJ2059">
            <v>0</v>
          </cell>
        </row>
        <row r="2060">
          <cell r="BJ2060">
            <v>0</v>
          </cell>
        </row>
        <row r="2061">
          <cell r="BJ2061">
            <v>0</v>
          </cell>
        </row>
        <row r="2062">
          <cell r="BJ2062">
            <v>0</v>
          </cell>
        </row>
        <row r="2063">
          <cell r="BJ2063">
            <v>0</v>
          </cell>
        </row>
        <row r="2064">
          <cell r="BJ2064">
            <v>0</v>
          </cell>
        </row>
        <row r="2065">
          <cell r="BJ2065">
            <v>0</v>
          </cell>
        </row>
        <row r="2066">
          <cell r="BJ2066">
            <v>0</v>
          </cell>
        </row>
        <row r="2067">
          <cell r="BJ2067">
            <v>0</v>
          </cell>
        </row>
        <row r="2068">
          <cell r="BJ2068">
            <v>0</v>
          </cell>
        </row>
        <row r="2069">
          <cell r="BJ2069">
            <v>0</v>
          </cell>
        </row>
        <row r="2070">
          <cell r="BJ2070">
            <v>0</v>
          </cell>
        </row>
        <row r="2071">
          <cell r="BJ2071">
            <v>0</v>
          </cell>
        </row>
        <row r="2072">
          <cell r="BJ2072">
            <v>0</v>
          </cell>
        </row>
        <row r="2073">
          <cell r="BJ2073">
            <v>0</v>
          </cell>
        </row>
        <row r="2074">
          <cell r="BJ2074">
            <v>0</v>
          </cell>
        </row>
        <row r="2075">
          <cell r="BJ2075">
            <v>0</v>
          </cell>
        </row>
        <row r="2076">
          <cell r="BJ2076">
            <v>0</v>
          </cell>
        </row>
        <row r="2077">
          <cell r="BJ2077">
            <v>0</v>
          </cell>
        </row>
        <row r="2078">
          <cell r="BJ2078">
            <v>0</v>
          </cell>
        </row>
        <row r="2079">
          <cell r="BJ2079">
            <v>0</v>
          </cell>
        </row>
        <row r="2080">
          <cell r="BJ2080">
            <v>0</v>
          </cell>
        </row>
        <row r="2081">
          <cell r="BJ2081">
            <v>0</v>
          </cell>
        </row>
        <row r="2082">
          <cell r="BJ2082">
            <v>0</v>
          </cell>
        </row>
        <row r="2083">
          <cell r="BJ2083">
            <v>0</v>
          </cell>
        </row>
        <row r="2084">
          <cell r="BJ2084">
            <v>0</v>
          </cell>
        </row>
        <row r="2085">
          <cell r="BJ2085">
            <v>0</v>
          </cell>
        </row>
        <row r="2086">
          <cell r="BJ2086">
            <v>0</v>
          </cell>
        </row>
        <row r="2087">
          <cell r="BJ2087">
            <v>0</v>
          </cell>
        </row>
        <row r="2088">
          <cell r="BJ2088">
            <v>0</v>
          </cell>
        </row>
        <row r="2089">
          <cell r="BJ2089">
            <v>0</v>
          </cell>
        </row>
        <row r="2090">
          <cell r="BJ2090">
            <v>0</v>
          </cell>
        </row>
        <row r="2091">
          <cell r="BJ2091">
            <v>0</v>
          </cell>
        </row>
        <row r="2092">
          <cell r="BJ2092">
            <v>0</v>
          </cell>
        </row>
        <row r="2093">
          <cell r="BJ2093">
            <v>0</v>
          </cell>
        </row>
        <row r="2094">
          <cell r="BJ2094">
            <v>0</v>
          </cell>
        </row>
        <row r="2095">
          <cell r="BJ2095">
            <v>0</v>
          </cell>
        </row>
        <row r="2096">
          <cell r="BJ2096">
            <v>0</v>
          </cell>
        </row>
        <row r="2097">
          <cell r="BJ2097">
            <v>0</v>
          </cell>
        </row>
        <row r="2098">
          <cell r="BJ2098">
            <v>0</v>
          </cell>
        </row>
        <row r="2099">
          <cell r="BJ2099">
            <v>0</v>
          </cell>
        </row>
        <row r="2100">
          <cell r="BJ2100">
            <v>0</v>
          </cell>
        </row>
        <row r="2101">
          <cell r="BJ2101">
            <v>0</v>
          </cell>
        </row>
        <row r="2102">
          <cell r="BJ2102">
            <v>0</v>
          </cell>
        </row>
        <row r="2103">
          <cell r="BJ2103">
            <v>0</v>
          </cell>
        </row>
        <row r="2104">
          <cell r="BJ2104">
            <v>0</v>
          </cell>
        </row>
        <row r="2105">
          <cell r="BJ2105">
            <v>0</v>
          </cell>
        </row>
        <row r="2106">
          <cell r="BJ2106">
            <v>0</v>
          </cell>
        </row>
        <row r="2107">
          <cell r="BJ2107">
            <v>0</v>
          </cell>
        </row>
        <row r="2108">
          <cell r="BJ2108">
            <v>0</v>
          </cell>
        </row>
        <row r="2109">
          <cell r="BJ2109">
            <v>0</v>
          </cell>
        </row>
        <row r="2110">
          <cell r="BJ2110">
            <v>0</v>
          </cell>
        </row>
        <row r="2111">
          <cell r="BJ2111">
            <v>0</v>
          </cell>
        </row>
        <row r="2112">
          <cell r="BJ2112">
            <v>0</v>
          </cell>
        </row>
        <row r="2113">
          <cell r="BJ2113">
            <v>0</v>
          </cell>
        </row>
        <row r="2114">
          <cell r="BJ2114">
            <v>0</v>
          </cell>
        </row>
        <row r="2115">
          <cell r="BJ2115">
            <v>0</v>
          </cell>
        </row>
        <row r="2116">
          <cell r="BJ2116">
            <v>0</v>
          </cell>
        </row>
        <row r="2117">
          <cell r="BJ2117">
            <v>0</v>
          </cell>
        </row>
        <row r="2118">
          <cell r="BJ2118">
            <v>0</v>
          </cell>
        </row>
        <row r="2119">
          <cell r="BJ2119">
            <v>0</v>
          </cell>
        </row>
        <row r="2120">
          <cell r="BJ2120">
            <v>0</v>
          </cell>
        </row>
        <row r="2121">
          <cell r="BJ2121">
            <v>0</v>
          </cell>
        </row>
        <row r="2122">
          <cell r="BJ2122">
            <v>0</v>
          </cell>
        </row>
        <row r="2123">
          <cell r="BJ2123">
            <v>0</v>
          </cell>
        </row>
        <row r="2124">
          <cell r="BJ2124">
            <v>0</v>
          </cell>
        </row>
        <row r="2125">
          <cell r="BJ2125">
            <v>0</v>
          </cell>
        </row>
        <row r="2126">
          <cell r="BJ2126">
            <v>0</v>
          </cell>
        </row>
        <row r="2127">
          <cell r="BJ2127">
            <v>0</v>
          </cell>
        </row>
        <row r="2128">
          <cell r="BJ2128">
            <v>0</v>
          </cell>
        </row>
        <row r="2129">
          <cell r="BJ2129">
            <v>0</v>
          </cell>
        </row>
        <row r="2130">
          <cell r="BJ2130">
            <v>0</v>
          </cell>
        </row>
        <row r="2131">
          <cell r="BJ2131">
            <v>0</v>
          </cell>
        </row>
        <row r="2132">
          <cell r="BJ2132">
            <v>0</v>
          </cell>
        </row>
        <row r="2134">
          <cell r="BJ2134">
            <v>8466086.6600000001</v>
          </cell>
        </row>
        <row r="2136">
          <cell r="BJ2136">
            <v>19351057.000000004</v>
          </cell>
        </row>
        <row r="2137">
          <cell r="BJ2137">
            <v>0</v>
          </cell>
        </row>
        <row r="2138">
          <cell r="BJ2138">
            <v>0</v>
          </cell>
        </row>
        <row r="2139">
          <cell r="BJ2139">
            <v>0</v>
          </cell>
        </row>
        <row r="2140">
          <cell r="BJ2140">
            <v>0</v>
          </cell>
        </row>
        <row r="2141">
          <cell r="BJ2141">
            <v>0</v>
          </cell>
        </row>
        <row r="2142">
          <cell r="BJ2142">
            <v>0</v>
          </cell>
        </row>
        <row r="2143">
          <cell r="BJ2143">
            <v>0</v>
          </cell>
        </row>
        <row r="2144">
          <cell r="BJ2144">
            <v>1300000</v>
          </cell>
        </row>
        <row r="2145">
          <cell r="BJ2145">
            <v>0</v>
          </cell>
        </row>
        <row r="2146">
          <cell r="BJ2146">
            <v>0</v>
          </cell>
        </row>
        <row r="2147">
          <cell r="BJ2147">
            <v>0</v>
          </cell>
        </row>
        <row r="2148">
          <cell r="BJ2148">
            <v>0</v>
          </cell>
        </row>
        <row r="2149">
          <cell r="BJ2149">
            <v>0</v>
          </cell>
        </row>
        <row r="2150">
          <cell r="BJ2150">
            <v>0</v>
          </cell>
        </row>
        <row r="2151">
          <cell r="BJ2151">
            <v>0</v>
          </cell>
        </row>
        <row r="2152">
          <cell r="BJ2152">
            <v>0</v>
          </cell>
        </row>
        <row r="2153">
          <cell r="BJ2153">
            <v>0</v>
          </cell>
        </row>
        <row r="2154">
          <cell r="BJ2154">
            <v>0</v>
          </cell>
        </row>
        <row r="2155">
          <cell r="BJ2155">
            <v>0</v>
          </cell>
        </row>
        <row r="2156">
          <cell r="BJ2156">
            <v>0</v>
          </cell>
        </row>
        <row r="2157">
          <cell r="BJ2157">
            <v>0</v>
          </cell>
        </row>
        <row r="2158">
          <cell r="BJ2158">
            <v>0</v>
          </cell>
        </row>
        <row r="2159">
          <cell r="BJ2159">
            <v>0</v>
          </cell>
        </row>
        <row r="2160">
          <cell r="BJ2160">
            <v>0</v>
          </cell>
        </row>
        <row r="2161">
          <cell r="BJ2161">
            <v>0</v>
          </cell>
        </row>
        <row r="2162">
          <cell r="BJ2162">
            <v>0</v>
          </cell>
        </row>
        <row r="2163">
          <cell r="BJ2163">
            <v>0</v>
          </cell>
        </row>
        <row r="2164">
          <cell r="BJ2164">
            <v>0</v>
          </cell>
        </row>
        <row r="2165">
          <cell r="BJ2165">
            <v>0</v>
          </cell>
        </row>
        <row r="2166">
          <cell r="BJ2166">
            <v>0</v>
          </cell>
        </row>
        <row r="2167">
          <cell r="BJ2167">
            <v>0</v>
          </cell>
        </row>
        <row r="2168">
          <cell r="BJ2168">
            <v>0</v>
          </cell>
        </row>
        <row r="2169">
          <cell r="BJ2169">
            <v>0</v>
          </cell>
        </row>
        <row r="2170">
          <cell r="BJ2170">
            <v>0</v>
          </cell>
        </row>
        <row r="2171">
          <cell r="BJ2171">
            <v>0</v>
          </cell>
        </row>
        <row r="2172">
          <cell r="BJ2172">
            <v>0</v>
          </cell>
        </row>
        <row r="2173">
          <cell r="BJ2173">
            <v>0</v>
          </cell>
        </row>
        <row r="2174">
          <cell r="BJ2174">
            <v>0</v>
          </cell>
        </row>
        <row r="2175">
          <cell r="BJ2175">
            <v>0</v>
          </cell>
        </row>
        <row r="2176">
          <cell r="BJ2176">
            <v>0</v>
          </cell>
        </row>
        <row r="2177">
          <cell r="BJ2177">
            <v>0</v>
          </cell>
        </row>
        <row r="2178">
          <cell r="BJ2178">
            <v>0</v>
          </cell>
        </row>
        <row r="2179">
          <cell r="BJ2179">
            <v>0</v>
          </cell>
        </row>
        <row r="2180">
          <cell r="BJ2180">
            <v>0</v>
          </cell>
        </row>
        <row r="2181">
          <cell r="BJ2181">
            <v>0</v>
          </cell>
        </row>
        <row r="2182">
          <cell r="BJ2182">
            <v>0</v>
          </cell>
        </row>
        <row r="2183">
          <cell r="BJ2183">
            <v>0</v>
          </cell>
        </row>
        <row r="2184">
          <cell r="BJ2184">
            <v>0</v>
          </cell>
        </row>
        <row r="2185">
          <cell r="BJ2185">
            <v>0</v>
          </cell>
        </row>
        <row r="2186">
          <cell r="BJ2186">
            <v>0</v>
          </cell>
        </row>
        <row r="2187">
          <cell r="BJ2187">
            <v>0</v>
          </cell>
        </row>
        <row r="2188">
          <cell r="BJ2188">
            <v>0</v>
          </cell>
        </row>
        <row r="2189">
          <cell r="BJ2189">
            <v>0</v>
          </cell>
        </row>
        <row r="2190">
          <cell r="BJ2190">
            <v>0</v>
          </cell>
        </row>
        <row r="2191">
          <cell r="BJ2191">
            <v>0</v>
          </cell>
        </row>
        <row r="2192">
          <cell r="BJ2192">
            <v>0</v>
          </cell>
        </row>
        <row r="2193">
          <cell r="BJ2193">
            <v>0</v>
          </cell>
        </row>
        <row r="2194">
          <cell r="BJ2194">
            <v>0</v>
          </cell>
        </row>
        <row r="2195">
          <cell r="BJ2195">
            <v>0</v>
          </cell>
        </row>
        <row r="2196">
          <cell r="BJ2196">
            <v>0</v>
          </cell>
        </row>
        <row r="2197">
          <cell r="BJ2197">
            <v>0</v>
          </cell>
        </row>
        <row r="2198">
          <cell r="BJ2198">
            <v>0</v>
          </cell>
        </row>
        <row r="2199">
          <cell r="BJ2199">
            <v>0</v>
          </cell>
        </row>
        <row r="2200">
          <cell r="BJ2200">
            <v>0</v>
          </cell>
        </row>
        <row r="2201">
          <cell r="BJ2201">
            <v>0</v>
          </cell>
        </row>
        <row r="2202">
          <cell r="BJ2202">
            <v>0</v>
          </cell>
        </row>
        <row r="2203">
          <cell r="BJ2203">
            <v>0</v>
          </cell>
        </row>
        <row r="2204">
          <cell r="BJ2204">
            <v>0</v>
          </cell>
        </row>
        <row r="2205">
          <cell r="BJ2205">
            <v>0</v>
          </cell>
        </row>
        <row r="2206">
          <cell r="BJ2206">
            <v>0</v>
          </cell>
        </row>
        <row r="2207">
          <cell r="BJ2207">
            <v>0</v>
          </cell>
        </row>
        <row r="2208">
          <cell r="BJ2208">
            <v>0</v>
          </cell>
        </row>
        <row r="2209">
          <cell r="BJ2209">
            <v>0</v>
          </cell>
        </row>
        <row r="2210">
          <cell r="BJ2210">
            <v>0</v>
          </cell>
        </row>
        <row r="2211">
          <cell r="BJ2211">
            <v>0</v>
          </cell>
        </row>
        <row r="2212">
          <cell r="BJ2212">
            <v>0</v>
          </cell>
        </row>
        <row r="2213">
          <cell r="BJ2213">
            <v>0</v>
          </cell>
        </row>
        <row r="2214">
          <cell r="BJ2214">
            <v>0</v>
          </cell>
        </row>
        <row r="2215">
          <cell r="BJ2215">
            <v>0</v>
          </cell>
        </row>
        <row r="2216">
          <cell r="BJ2216">
            <v>0</v>
          </cell>
        </row>
        <row r="2217">
          <cell r="BJ2217">
            <v>0</v>
          </cell>
        </row>
        <row r="2218">
          <cell r="BJ2218">
            <v>0</v>
          </cell>
        </row>
        <row r="2219">
          <cell r="BJ2219">
            <v>0</v>
          </cell>
        </row>
        <row r="2220">
          <cell r="BJ2220">
            <v>0</v>
          </cell>
        </row>
        <row r="2221">
          <cell r="BJ2221">
            <v>0</v>
          </cell>
        </row>
        <row r="2222">
          <cell r="BJ2222">
            <v>0</v>
          </cell>
        </row>
        <row r="2223">
          <cell r="BJ2223">
            <v>0</v>
          </cell>
        </row>
        <row r="2224">
          <cell r="BJ2224">
            <v>0</v>
          </cell>
        </row>
        <row r="2225">
          <cell r="BJ2225">
            <v>0</v>
          </cell>
        </row>
        <row r="2226">
          <cell r="BJ2226">
            <v>0</v>
          </cell>
        </row>
        <row r="2227">
          <cell r="BJ2227">
            <v>0</v>
          </cell>
        </row>
        <row r="2228">
          <cell r="BJ2228">
            <v>0</v>
          </cell>
        </row>
        <row r="2229">
          <cell r="BJ2229">
            <v>0</v>
          </cell>
        </row>
        <row r="2230">
          <cell r="BJ2230">
            <v>0</v>
          </cell>
        </row>
        <row r="2231">
          <cell r="BJ2231">
            <v>0</v>
          </cell>
        </row>
        <row r="2232">
          <cell r="BJ2232">
            <v>0</v>
          </cell>
        </row>
        <row r="2233">
          <cell r="BJ2233">
            <v>0</v>
          </cell>
        </row>
        <row r="2234">
          <cell r="BJ2234">
            <v>0</v>
          </cell>
        </row>
        <row r="2235">
          <cell r="BJ2235">
            <v>0</v>
          </cell>
        </row>
        <row r="2236">
          <cell r="BJ2236">
            <v>0</v>
          </cell>
        </row>
        <row r="2237">
          <cell r="BJ2237">
            <v>0</v>
          </cell>
        </row>
        <row r="2238">
          <cell r="BJ2238">
            <v>0</v>
          </cell>
        </row>
        <row r="2239">
          <cell r="BJ2239">
            <v>0</v>
          </cell>
        </row>
        <row r="2240">
          <cell r="BJ2240">
            <v>0</v>
          </cell>
        </row>
        <row r="2241">
          <cell r="BJ2241">
            <v>0</v>
          </cell>
        </row>
        <row r="2242">
          <cell r="BJ2242">
            <v>0</v>
          </cell>
        </row>
        <row r="2243">
          <cell r="BJ2243">
            <v>0</v>
          </cell>
        </row>
        <row r="2244">
          <cell r="BJ2244">
            <v>0</v>
          </cell>
        </row>
        <row r="2245">
          <cell r="BJ2245">
            <v>0</v>
          </cell>
        </row>
        <row r="2246">
          <cell r="BJ2246">
            <v>0</v>
          </cell>
        </row>
        <row r="2247">
          <cell r="BJ2247">
            <v>0</v>
          </cell>
        </row>
        <row r="2248">
          <cell r="BJ2248">
            <v>0</v>
          </cell>
        </row>
        <row r="2249">
          <cell r="BJ2249">
            <v>0</v>
          </cell>
        </row>
        <row r="2250">
          <cell r="BJ2250">
            <v>0</v>
          </cell>
        </row>
        <row r="2251">
          <cell r="BJ2251">
            <v>0</v>
          </cell>
        </row>
        <row r="2253">
          <cell r="BJ2253">
            <v>3465513.0000000005</v>
          </cell>
        </row>
        <row r="2255">
          <cell r="BJ2255">
            <v>15205196.949999997</v>
          </cell>
        </row>
        <row r="2257">
          <cell r="BJ2257">
            <v>9483571.5499999989</v>
          </cell>
        </row>
        <row r="2259">
          <cell r="BJ2259">
            <v>1520519.95</v>
          </cell>
        </row>
        <row r="2260">
          <cell r="BJ2260">
            <v>0</v>
          </cell>
        </row>
        <row r="2262">
          <cell r="BJ2262">
            <v>1520519.9500000002</v>
          </cell>
        </row>
        <row r="2264">
          <cell r="BJ2264">
            <v>12094376</v>
          </cell>
        </row>
        <row r="2266">
          <cell r="BJ2266">
            <v>6520112</v>
          </cell>
        </row>
        <row r="2268">
          <cell r="BJ2268">
            <v>8362328.8999999994</v>
          </cell>
        </row>
        <row r="2270">
          <cell r="BJ2270">
            <v>1824623.6</v>
          </cell>
        </row>
        <row r="2272">
          <cell r="BJ2272">
            <v>5381785.2000000002</v>
          </cell>
        </row>
        <row r="2274">
          <cell r="BJ2274">
            <v>4258424</v>
          </cell>
        </row>
        <row r="2276">
          <cell r="BJ2276">
            <v>3374076.7</v>
          </cell>
        </row>
        <row r="2278">
          <cell r="BJ2278">
            <v>64334618.317278087</v>
          </cell>
        </row>
        <row r="2279">
          <cell r="BJ2279">
            <v>0</v>
          </cell>
        </row>
        <row r="2281">
          <cell r="BJ2281">
            <v>1042326.01</v>
          </cell>
        </row>
        <row r="2282">
          <cell r="BJ2282">
            <v>0</v>
          </cell>
        </row>
        <row r="2284">
          <cell r="BJ2284">
            <v>574940</v>
          </cell>
        </row>
        <row r="2286">
          <cell r="BJ2286">
            <v>21250</v>
          </cell>
        </row>
        <row r="2288">
          <cell r="BJ2288">
            <v>243955.1</v>
          </cell>
        </row>
        <row r="2290">
          <cell r="BJ2290">
            <v>28635.95</v>
          </cell>
        </row>
        <row r="2292">
          <cell r="BJ2292">
            <v>94188.200000000012</v>
          </cell>
        </row>
        <row r="2294">
          <cell r="BJ2294">
            <v>170000</v>
          </cell>
        </row>
        <row r="2296">
          <cell r="BJ2296">
            <v>153327.25</v>
          </cell>
        </row>
        <row r="2298">
          <cell r="BJ2298">
            <v>100187.49</v>
          </cell>
        </row>
        <row r="2300">
          <cell r="BJ2300">
            <v>368347.5</v>
          </cell>
        </row>
        <row r="2302">
          <cell r="BJ2302">
            <v>85000</v>
          </cell>
        </row>
        <row r="2304">
          <cell r="BJ2304">
            <v>285719.84999999998</v>
          </cell>
        </row>
        <row r="2305">
          <cell r="BJ2305">
            <v>0</v>
          </cell>
        </row>
        <row r="2306">
          <cell r="BJ2306">
            <v>0</v>
          </cell>
        </row>
        <row r="2307">
          <cell r="BJ2307">
            <v>0</v>
          </cell>
        </row>
        <row r="2308">
          <cell r="BJ2308">
            <v>0</v>
          </cell>
        </row>
        <row r="2309">
          <cell r="BJ2309">
            <v>0</v>
          </cell>
        </row>
        <row r="2310">
          <cell r="BJ2310">
            <v>0</v>
          </cell>
        </row>
        <row r="2311">
          <cell r="BJ2311">
            <v>0</v>
          </cell>
        </row>
        <row r="2312">
          <cell r="BJ2312">
            <v>0</v>
          </cell>
        </row>
        <row r="2313">
          <cell r="BJ2313">
            <v>0</v>
          </cell>
        </row>
        <row r="2314">
          <cell r="BJ2314">
            <v>0</v>
          </cell>
        </row>
        <row r="2315">
          <cell r="BJ2315">
            <v>0</v>
          </cell>
        </row>
        <row r="2317">
          <cell r="BJ2317">
            <v>39666.100000000006</v>
          </cell>
        </row>
        <row r="2319">
          <cell r="BJ2319">
            <v>393868.75</v>
          </cell>
        </row>
        <row r="2321">
          <cell r="BJ2321">
            <v>416500</v>
          </cell>
        </row>
        <row r="2323">
          <cell r="BJ2323">
            <v>3551380.75</v>
          </cell>
        </row>
        <row r="2325">
          <cell r="BJ2325">
            <v>39666.100000000006</v>
          </cell>
        </row>
        <row r="2327">
          <cell r="BJ2327">
            <v>742730.5</v>
          </cell>
        </row>
        <row r="2329">
          <cell r="BJ2329">
            <v>288936.64</v>
          </cell>
        </row>
        <row r="2331">
          <cell r="BJ2331">
            <v>557487.80000000005</v>
          </cell>
        </row>
        <row r="2333">
          <cell r="BJ2333">
            <v>39666.100000000006</v>
          </cell>
        </row>
        <row r="2335">
          <cell r="BJ2335">
            <v>37352.82</v>
          </cell>
        </row>
        <row r="2337">
          <cell r="BJ2337">
            <v>4144600</v>
          </cell>
        </row>
        <row r="2339">
          <cell r="BJ2339">
            <v>2722839.01</v>
          </cell>
        </row>
        <row r="2341">
          <cell r="BJ2341">
            <v>376412.99</v>
          </cell>
        </row>
        <row r="2343">
          <cell r="BJ2343">
            <v>1567109.3</v>
          </cell>
        </row>
        <row r="2345">
          <cell r="BJ2345">
            <v>39666.1</v>
          </cell>
        </row>
        <row r="2347">
          <cell r="BJ2347">
            <v>1145800</v>
          </cell>
        </row>
        <row r="2349">
          <cell r="BJ2349">
            <v>39666.1</v>
          </cell>
        </row>
        <row r="2351">
          <cell r="BJ2351">
            <v>39666.1</v>
          </cell>
        </row>
        <row r="2353">
          <cell r="BJ2353">
            <v>39666.100000000006</v>
          </cell>
        </row>
        <row r="2355">
          <cell r="BJ2355">
            <v>2565300</v>
          </cell>
        </row>
        <row r="2357">
          <cell r="BJ2357">
            <v>39666.1</v>
          </cell>
        </row>
        <row r="2358">
          <cell r="BJ2358">
            <v>0</v>
          </cell>
        </row>
        <row r="2359">
          <cell r="BJ2359">
            <v>0</v>
          </cell>
        </row>
        <row r="2360">
          <cell r="BJ2360">
            <v>0</v>
          </cell>
        </row>
        <row r="2361">
          <cell r="BJ2361">
            <v>0</v>
          </cell>
        </row>
        <row r="2362">
          <cell r="BJ2362">
            <v>0</v>
          </cell>
        </row>
        <row r="2363">
          <cell r="BJ2363">
            <v>0</v>
          </cell>
        </row>
        <row r="2364">
          <cell r="BJ2364">
            <v>0</v>
          </cell>
        </row>
        <row r="2365">
          <cell r="BJ2365">
            <v>0</v>
          </cell>
        </row>
        <row r="2366">
          <cell r="BJ2366">
            <v>0</v>
          </cell>
        </row>
        <row r="2367">
          <cell r="BJ2367">
            <v>0</v>
          </cell>
        </row>
        <row r="2368">
          <cell r="BJ2368">
            <v>0</v>
          </cell>
        </row>
        <row r="2369">
          <cell r="BJ2369">
            <v>0</v>
          </cell>
        </row>
        <row r="2370">
          <cell r="BJ2370">
            <v>0</v>
          </cell>
        </row>
        <row r="2371">
          <cell r="BJ2371">
            <v>0</v>
          </cell>
        </row>
        <row r="2372">
          <cell r="BJ2372">
            <v>0</v>
          </cell>
        </row>
        <row r="2373">
          <cell r="BJ2373">
            <v>0</v>
          </cell>
        </row>
        <row r="2374">
          <cell r="BJ2374">
            <v>0</v>
          </cell>
        </row>
        <row r="2375">
          <cell r="BJ2375">
            <v>0</v>
          </cell>
        </row>
        <row r="2376">
          <cell r="BJ2376">
            <v>0</v>
          </cell>
        </row>
        <row r="2377">
          <cell r="BJ2377">
            <v>0</v>
          </cell>
        </row>
        <row r="2378">
          <cell r="BJ2378">
            <v>0</v>
          </cell>
        </row>
        <row r="2380">
          <cell r="BJ2380">
            <v>1427999.9900000002</v>
          </cell>
        </row>
        <row r="2382">
          <cell r="BJ2382">
            <v>5907500</v>
          </cell>
        </row>
        <row r="2384">
          <cell r="BJ2384">
            <v>110500</v>
          </cell>
        </row>
        <row r="2386">
          <cell r="BJ2386">
            <v>12182119.25</v>
          </cell>
        </row>
        <row r="2388">
          <cell r="BJ2388">
            <v>119000</v>
          </cell>
        </row>
        <row r="2389">
          <cell r="BJ2389">
            <v>0</v>
          </cell>
        </row>
        <row r="2390">
          <cell r="BJ2390">
            <v>0</v>
          </cell>
        </row>
        <row r="2391">
          <cell r="BJ2391">
            <v>0</v>
          </cell>
        </row>
        <row r="2392">
          <cell r="BJ2392">
            <v>0</v>
          </cell>
        </row>
        <row r="2393">
          <cell r="BJ2393">
            <v>0</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sejuma_sanemeja_prognozes"/>
      <sheetName val="EM_rezerves_ēkas_4.2.1."/>
      <sheetName val="MP iesniegšanas prognozes"/>
      <sheetName val="MP iesniegšana"/>
      <sheetName val="SI2018_izpilde_PV_Fonds"/>
      <sheetName val="PIMPIG_AV"/>
      <sheetName val="PIMPIG_SP"/>
      <sheetName val="PIMPIG_2019-2023_SN"/>
      <sheetName val="Avansi"/>
      <sheetName val="atlases_statu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ow r="3">
          <cell r="C3" t="str">
            <v>Projekta statuss</v>
          </cell>
          <cell r="D3" t="str">
            <v>Finansējuma avots</v>
          </cell>
        </row>
        <row r="6">
          <cell r="D6" t="str">
            <v>Projekts</v>
          </cell>
        </row>
        <row r="7">
          <cell r="C7" t="str">
            <v>Noraidīts</v>
          </cell>
          <cell r="D7" t="str">
            <v>1.1.1.1/16/A/002</v>
          </cell>
        </row>
        <row r="8">
          <cell r="C8" t="str">
            <v>Noraidīts</v>
          </cell>
          <cell r="D8" t="str">
            <v>1.1.1.1/16/A/005</v>
          </cell>
        </row>
        <row r="9">
          <cell r="C9" t="str">
            <v>Noraidīts</v>
          </cell>
          <cell r="D9" t="str">
            <v>1.1.1.1/16/A/006</v>
          </cell>
        </row>
        <row r="10">
          <cell r="C10" t="str">
            <v>Noraidīts</v>
          </cell>
          <cell r="D10" t="str">
            <v>1.1.1.1/16/A/009</v>
          </cell>
        </row>
        <row r="11">
          <cell r="C11" t="str">
            <v>Noraidīts</v>
          </cell>
          <cell r="D11" t="str">
            <v>1.1.1.1/16/A/011</v>
          </cell>
        </row>
        <row r="12">
          <cell r="C12" t="str">
            <v>Noraidīts</v>
          </cell>
          <cell r="D12" t="str">
            <v>1.1.1.1/16/A/014</v>
          </cell>
        </row>
        <row r="13">
          <cell r="C13" t="str">
            <v>Noraidīts</v>
          </cell>
          <cell r="D13" t="str">
            <v>1.1.1.1/16/A/017</v>
          </cell>
        </row>
        <row r="14">
          <cell r="C14" t="str">
            <v>Noraidīts</v>
          </cell>
          <cell r="D14" t="str">
            <v>1.1.1.1/16/A/018</v>
          </cell>
        </row>
        <row r="15">
          <cell r="C15" t="str">
            <v>Noraidīts</v>
          </cell>
          <cell r="D15" t="str">
            <v>1.1.1.1/16/A/019</v>
          </cell>
        </row>
        <row r="16">
          <cell r="C16" t="str">
            <v>Noraidīts</v>
          </cell>
          <cell r="D16" t="str">
            <v>1.1.1.1/16/A/021</v>
          </cell>
        </row>
        <row r="17">
          <cell r="C17" t="str">
            <v>Noraidīts</v>
          </cell>
          <cell r="D17" t="str">
            <v>1.1.1.1/16/A/022</v>
          </cell>
        </row>
        <row r="18">
          <cell r="C18" t="str">
            <v>Noraidīts</v>
          </cell>
          <cell r="D18" t="str">
            <v>1.1.1.1/16/A/023</v>
          </cell>
        </row>
        <row r="19">
          <cell r="C19" t="str">
            <v>Noraidīts</v>
          </cell>
          <cell r="D19" t="str">
            <v>1.1.1.1/16/A/024</v>
          </cell>
        </row>
        <row r="20">
          <cell r="C20" t="str">
            <v>Noraidīts</v>
          </cell>
          <cell r="D20" t="str">
            <v>1.1.1.1/16/A/026</v>
          </cell>
        </row>
        <row r="21">
          <cell r="C21" t="str">
            <v>Noraidīts</v>
          </cell>
          <cell r="D21" t="str">
            <v>1.1.1.1/16/A/027</v>
          </cell>
        </row>
        <row r="22">
          <cell r="C22" t="str">
            <v>Noraidīts</v>
          </cell>
          <cell r="D22" t="str">
            <v>1.1.1.1/16/A/028</v>
          </cell>
        </row>
        <row r="23">
          <cell r="C23" t="str">
            <v>Noraidīts</v>
          </cell>
          <cell r="D23" t="str">
            <v>1.1.1.1/16/A/029</v>
          </cell>
        </row>
        <row r="24">
          <cell r="C24" t="str">
            <v>Noraidīts</v>
          </cell>
          <cell r="D24" t="str">
            <v>1.1.1.1/16/A/030</v>
          </cell>
        </row>
        <row r="25">
          <cell r="C25" t="str">
            <v>Noraidīts</v>
          </cell>
          <cell r="D25" t="str">
            <v>1.1.1.1/16/A/032</v>
          </cell>
        </row>
        <row r="26">
          <cell r="C26" t="str">
            <v>Noraidīts</v>
          </cell>
          <cell r="D26" t="str">
            <v>1.1.1.1/16/A/033</v>
          </cell>
        </row>
        <row r="27">
          <cell r="C27" t="str">
            <v>Noraidīts</v>
          </cell>
          <cell r="D27" t="str">
            <v>1.1.1.1/16/A/034</v>
          </cell>
        </row>
        <row r="28">
          <cell r="C28" t="str">
            <v>Noraidīts</v>
          </cell>
          <cell r="D28" t="str">
            <v>1.1.1.1/16/A/035</v>
          </cell>
        </row>
        <row r="29">
          <cell r="C29" t="str">
            <v>Noraidīts</v>
          </cell>
          <cell r="D29" t="str">
            <v>1.1.1.1/16/A/036</v>
          </cell>
        </row>
        <row r="30">
          <cell r="C30" t="str">
            <v>Noraidīts</v>
          </cell>
          <cell r="D30" t="str">
            <v>1.1.1.1/16/A/037</v>
          </cell>
        </row>
        <row r="31">
          <cell r="C31" t="str">
            <v>Noraidīts</v>
          </cell>
          <cell r="D31" t="str">
            <v>1.1.1.1/16/A/038</v>
          </cell>
        </row>
        <row r="32">
          <cell r="C32" t="str">
            <v>Noraidīts</v>
          </cell>
          <cell r="D32" t="str">
            <v>1.1.1.1/16/A/039</v>
          </cell>
        </row>
        <row r="33">
          <cell r="C33" t="str">
            <v>Noraidīts</v>
          </cell>
          <cell r="D33" t="str">
            <v>1.1.1.1/16/A/041</v>
          </cell>
        </row>
        <row r="34">
          <cell r="C34" t="str">
            <v>Noraidīts</v>
          </cell>
          <cell r="D34" t="str">
            <v>1.1.1.1/16/A/043</v>
          </cell>
        </row>
        <row r="35">
          <cell r="C35" t="str">
            <v>Noraidīts</v>
          </cell>
          <cell r="D35" t="str">
            <v>1.1.1.1/16/A/045</v>
          </cell>
        </row>
        <row r="36">
          <cell r="C36" t="str">
            <v>Noraidīts</v>
          </cell>
          <cell r="D36" t="str">
            <v>1.1.1.1/16/A/049</v>
          </cell>
        </row>
        <row r="37">
          <cell r="C37" t="str">
            <v>Noraidīts</v>
          </cell>
          <cell r="D37" t="str">
            <v>1.1.1.1/16/A/051</v>
          </cell>
        </row>
        <row r="38">
          <cell r="C38" t="str">
            <v>Noraidīts</v>
          </cell>
          <cell r="D38" t="str">
            <v>1.1.1.1/16/A/052</v>
          </cell>
        </row>
        <row r="39">
          <cell r="C39" t="str">
            <v>Noraidīts</v>
          </cell>
          <cell r="D39" t="str">
            <v>1.1.1.1/16/A/053</v>
          </cell>
        </row>
        <row r="40">
          <cell r="C40" t="str">
            <v>Noraidīts</v>
          </cell>
          <cell r="D40" t="str">
            <v>1.1.1.1/16/A/056</v>
          </cell>
        </row>
        <row r="41">
          <cell r="C41" t="str">
            <v>Noraidīts</v>
          </cell>
          <cell r="D41" t="str">
            <v>1.1.1.1/16/A/057</v>
          </cell>
        </row>
        <row r="42">
          <cell r="C42" t="str">
            <v>Noraidīts</v>
          </cell>
          <cell r="D42" t="str">
            <v>1.1.1.1/16/A/058</v>
          </cell>
        </row>
        <row r="43">
          <cell r="C43" t="str">
            <v>Noraidīts</v>
          </cell>
          <cell r="D43" t="str">
            <v>1.1.1.1/16/A/059</v>
          </cell>
        </row>
        <row r="44">
          <cell r="C44" t="str">
            <v>Noraidīts</v>
          </cell>
          <cell r="D44" t="str">
            <v>1.1.1.1/16/A/060</v>
          </cell>
        </row>
        <row r="45">
          <cell r="C45" t="str">
            <v>Noraidīts</v>
          </cell>
          <cell r="D45" t="str">
            <v>1.1.1.1/16/A/061</v>
          </cell>
        </row>
        <row r="46">
          <cell r="C46" t="str">
            <v>Noraidīts</v>
          </cell>
          <cell r="D46" t="str">
            <v>1.1.1.1/16/A/062</v>
          </cell>
        </row>
        <row r="47">
          <cell r="C47" t="str">
            <v>Noraidīts</v>
          </cell>
          <cell r="D47" t="str">
            <v>1.1.1.1/16/A/063</v>
          </cell>
        </row>
        <row r="48">
          <cell r="C48" t="str">
            <v>Noraidīts</v>
          </cell>
          <cell r="D48" t="str">
            <v>1.1.1.1/16/A/064</v>
          </cell>
        </row>
        <row r="49">
          <cell r="C49" t="str">
            <v>Noraidīts</v>
          </cell>
          <cell r="D49" t="str">
            <v>1.1.1.1/16/A/067</v>
          </cell>
        </row>
        <row r="50">
          <cell r="C50" t="str">
            <v>Noraidīts</v>
          </cell>
          <cell r="D50" t="str">
            <v>1.1.1.1/16/A/068</v>
          </cell>
        </row>
        <row r="51">
          <cell r="C51" t="str">
            <v>Noraidīts</v>
          </cell>
          <cell r="D51" t="str">
            <v>1.1.1.1/16/A/069</v>
          </cell>
        </row>
        <row r="52">
          <cell r="C52" t="str">
            <v>Noraidīts</v>
          </cell>
          <cell r="D52" t="str">
            <v>1.1.1.1/16/A/070</v>
          </cell>
        </row>
        <row r="53">
          <cell r="C53" t="str">
            <v>Noraidīts</v>
          </cell>
          <cell r="D53" t="str">
            <v>1.1.1.1/16/A/071</v>
          </cell>
        </row>
        <row r="54">
          <cell r="C54" t="str">
            <v>Noraidīts</v>
          </cell>
          <cell r="D54" t="str">
            <v>1.1.1.1/16/A/074</v>
          </cell>
        </row>
        <row r="55">
          <cell r="C55" t="str">
            <v>Noraidīts</v>
          </cell>
          <cell r="D55" t="str">
            <v>1.1.1.1/16/A/075</v>
          </cell>
        </row>
        <row r="56">
          <cell r="C56" t="str">
            <v>Noraidīts</v>
          </cell>
          <cell r="D56" t="str">
            <v>1.1.1.1/16/A/076</v>
          </cell>
        </row>
        <row r="57">
          <cell r="C57" t="str">
            <v>Noraidīts</v>
          </cell>
          <cell r="D57" t="str">
            <v>1.1.1.1/16/A/080</v>
          </cell>
        </row>
        <row r="58">
          <cell r="C58" t="str">
            <v>Noraidīts</v>
          </cell>
          <cell r="D58" t="str">
            <v>1.1.1.1/16/A/081</v>
          </cell>
        </row>
        <row r="59">
          <cell r="C59" t="str">
            <v>Noraidīts</v>
          </cell>
          <cell r="D59" t="str">
            <v>1.1.1.1/16/A/082</v>
          </cell>
        </row>
        <row r="60">
          <cell r="C60" t="str">
            <v>Noraidīts</v>
          </cell>
          <cell r="D60" t="str">
            <v>1.1.1.1/16/A/083</v>
          </cell>
        </row>
        <row r="61">
          <cell r="C61" t="str">
            <v>Noraidīts</v>
          </cell>
          <cell r="D61" t="str">
            <v>1.1.1.1/16/A/084</v>
          </cell>
        </row>
        <row r="62">
          <cell r="C62" t="str">
            <v>Noraidīts</v>
          </cell>
          <cell r="D62" t="str">
            <v>1.1.1.1/16/A/086</v>
          </cell>
        </row>
        <row r="63">
          <cell r="C63" t="str">
            <v>Noraidīts</v>
          </cell>
          <cell r="D63" t="str">
            <v>1.1.1.1/16/A/087</v>
          </cell>
        </row>
        <row r="64">
          <cell r="C64" t="str">
            <v>Noraidīts</v>
          </cell>
          <cell r="D64" t="str">
            <v>1.1.1.1/16/A/088</v>
          </cell>
        </row>
        <row r="65">
          <cell r="C65" t="str">
            <v>Noraidīts</v>
          </cell>
          <cell r="D65" t="str">
            <v>1.1.1.1/16/A/089</v>
          </cell>
        </row>
        <row r="66">
          <cell r="C66" t="str">
            <v>Noraidīts</v>
          </cell>
          <cell r="D66" t="str">
            <v>1.1.1.1/16/A/090</v>
          </cell>
        </row>
        <row r="67">
          <cell r="C67" t="str">
            <v>Noraidīts</v>
          </cell>
          <cell r="D67" t="str">
            <v>1.1.1.1/16/A/092</v>
          </cell>
        </row>
        <row r="68">
          <cell r="C68" t="str">
            <v>Noraidīts</v>
          </cell>
          <cell r="D68" t="str">
            <v>1.1.1.1/16/A/093</v>
          </cell>
        </row>
        <row r="69">
          <cell r="C69" t="str">
            <v>Noraidīts</v>
          </cell>
          <cell r="D69" t="str">
            <v>1.1.1.1/16/A/095</v>
          </cell>
        </row>
        <row r="70">
          <cell r="C70" t="str">
            <v>Noraidīts</v>
          </cell>
          <cell r="D70" t="str">
            <v>1.1.1.1/16/A/096</v>
          </cell>
        </row>
        <row r="71">
          <cell r="C71" t="str">
            <v>Noraidīts</v>
          </cell>
          <cell r="D71" t="str">
            <v>1.1.1.1/16/A/098</v>
          </cell>
        </row>
        <row r="72">
          <cell r="C72" t="str">
            <v>Noraidīts</v>
          </cell>
          <cell r="D72" t="str">
            <v>1.1.1.1/16/A/099</v>
          </cell>
        </row>
        <row r="73">
          <cell r="C73" t="str">
            <v>Noraidīts</v>
          </cell>
          <cell r="D73" t="str">
            <v>1.1.1.1/16/A/100</v>
          </cell>
        </row>
        <row r="74">
          <cell r="C74" t="str">
            <v>Noraidīts</v>
          </cell>
          <cell r="D74" t="str">
            <v>1.1.1.1/16/A/102</v>
          </cell>
        </row>
        <row r="75">
          <cell r="C75" t="str">
            <v>Noraidīts</v>
          </cell>
          <cell r="D75" t="str">
            <v>1.1.1.1/16/A/103</v>
          </cell>
        </row>
        <row r="76">
          <cell r="C76" t="str">
            <v>Noraidīts</v>
          </cell>
          <cell r="D76" t="str">
            <v>1.1.1.1/16/A/105</v>
          </cell>
        </row>
        <row r="77">
          <cell r="C77" t="str">
            <v>Noraidīts</v>
          </cell>
          <cell r="D77" t="str">
            <v>1.1.1.1/16/A/106</v>
          </cell>
        </row>
        <row r="78">
          <cell r="C78" t="str">
            <v>Noraidīts</v>
          </cell>
          <cell r="D78" t="str">
            <v>1.1.1.1/16/A/108</v>
          </cell>
        </row>
        <row r="79">
          <cell r="C79" t="str">
            <v>Noraidīts</v>
          </cell>
          <cell r="D79" t="str">
            <v>1.1.1.1/16/A/109</v>
          </cell>
        </row>
        <row r="80">
          <cell r="C80" t="str">
            <v>Noraidīts</v>
          </cell>
          <cell r="D80" t="str">
            <v>1.1.1.1/16/A/110</v>
          </cell>
        </row>
        <row r="81">
          <cell r="C81" t="str">
            <v>Noraidīts</v>
          </cell>
          <cell r="D81" t="str">
            <v>1.1.1.1/16/A/111</v>
          </cell>
        </row>
        <row r="82">
          <cell r="C82" t="str">
            <v>Noraidīts</v>
          </cell>
          <cell r="D82" t="str">
            <v>1.1.1.1/16/A/112</v>
          </cell>
        </row>
        <row r="83">
          <cell r="C83" t="str">
            <v>Noraidīts</v>
          </cell>
          <cell r="D83" t="str">
            <v>1.1.1.1/16/A/114</v>
          </cell>
        </row>
        <row r="84">
          <cell r="C84" t="str">
            <v>Noraidīts</v>
          </cell>
          <cell r="D84" t="str">
            <v>1.1.1.1/16/A/115</v>
          </cell>
        </row>
        <row r="85">
          <cell r="C85" t="str">
            <v>Noraidīts</v>
          </cell>
          <cell r="D85" t="str">
            <v>1.1.1.1/16/A/116</v>
          </cell>
        </row>
        <row r="86">
          <cell r="C86" t="str">
            <v>Noraidīts</v>
          </cell>
          <cell r="D86" t="str">
            <v>1.1.1.1/16/A/117</v>
          </cell>
        </row>
        <row r="87">
          <cell r="C87" t="str">
            <v>Noraidīts</v>
          </cell>
          <cell r="D87" t="str">
            <v>1.1.1.1/16/A/118</v>
          </cell>
        </row>
        <row r="88">
          <cell r="C88" t="str">
            <v>Noraidīts</v>
          </cell>
          <cell r="D88" t="str">
            <v>1.1.1.1/16/A/119</v>
          </cell>
        </row>
        <row r="89">
          <cell r="C89" t="str">
            <v>Noraidīts</v>
          </cell>
          <cell r="D89" t="str">
            <v>1.1.1.1/16/A/120</v>
          </cell>
        </row>
        <row r="90">
          <cell r="C90" t="str">
            <v>Noraidīts</v>
          </cell>
          <cell r="D90" t="str">
            <v>1.1.1.1/16/A/121</v>
          </cell>
        </row>
        <row r="91">
          <cell r="C91" t="str">
            <v>Noraidīts</v>
          </cell>
          <cell r="D91" t="str">
            <v>1.1.1.1/16/A/122</v>
          </cell>
        </row>
        <row r="92">
          <cell r="C92" t="str">
            <v>Noraidīts</v>
          </cell>
          <cell r="D92" t="str">
            <v>1.1.1.1/16/A/123</v>
          </cell>
        </row>
        <row r="93">
          <cell r="C93" t="str">
            <v>Noraidīts</v>
          </cell>
          <cell r="D93" t="str">
            <v>1.1.1.1/16/A/124</v>
          </cell>
        </row>
        <row r="94">
          <cell r="C94" t="str">
            <v>Noraidīts</v>
          </cell>
          <cell r="D94" t="str">
            <v>1.1.1.1/16/A/125</v>
          </cell>
        </row>
        <row r="95">
          <cell r="C95" t="str">
            <v>Noraidīts</v>
          </cell>
          <cell r="D95" t="str">
            <v>1.1.1.1/16/A/126</v>
          </cell>
        </row>
        <row r="96">
          <cell r="C96" t="str">
            <v>Noraidīts</v>
          </cell>
          <cell r="D96" t="str">
            <v>1.1.1.1/16/A/127</v>
          </cell>
        </row>
        <row r="97">
          <cell r="C97" t="str">
            <v>Noraidīts</v>
          </cell>
          <cell r="D97" t="str">
            <v>1.1.1.1/16/A/128</v>
          </cell>
        </row>
        <row r="98">
          <cell r="C98" t="str">
            <v>Noraidīts</v>
          </cell>
          <cell r="D98" t="str">
            <v>1.1.1.1/16/A/130</v>
          </cell>
        </row>
        <row r="99">
          <cell r="C99" t="str">
            <v>Noraidīts</v>
          </cell>
          <cell r="D99" t="str">
            <v>1.1.1.1/16/A/132</v>
          </cell>
        </row>
        <row r="100">
          <cell r="C100" t="str">
            <v>Noraidīts</v>
          </cell>
          <cell r="D100" t="str">
            <v>1.1.1.1/16/A/134</v>
          </cell>
        </row>
        <row r="101">
          <cell r="C101" t="str">
            <v>Noraidīts</v>
          </cell>
          <cell r="D101" t="str">
            <v>1.1.1.1/16/A/136</v>
          </cell>
        </row>
        <row r="102">
          <cell r="C102" t="str">
            <v>Noraidīts</v>
          </cell>
          <cell r="D102" t="str">
            <v>1.1.1.1/16/A/137</v>
          </cell>
        </row>
        <row r="103">
          <cell r="C103" t="str">
            <v>Noraidīts</v>
          </cell>
          <cell r="D103" t="str">
            <v>1.1.1.1/16/A/138</v>
          </cell>
        </row>
        <row r="104">
          <cell r="C104" t="str">
            <v>Noraidīts</v>
          </cell>
          <cell r="D104" t="str">
            <v>1.1.1.1/16/A/139</v>
          </cell>
        </row>
        <row r="105">
          <cell r="C105" t="str">
            <v>Noraidīts</v>
          </cell>
          <cell r="D105" t="str">
            <v>1.1.1.1/16/A/140</v>
          </cell>
        </row>
        <row r="106">
          <cell r="C106" t="str">
            <v>Noraidīts</v>
          </cell>
          <cell r="D106" t="str">
            <v>1.1.1.1/16/A/142</v>
          </cell>
        </row>
        <row r="107">
          <cell r="C107" t="str">
            <v>Noraidīts</v>
          </cell>
          <cell r="D107" t="str">
            <v>1.1.1.1/16/A/143</v>
          </cell>
        </row>
        <row r="108">
          <cell r="C108" t="str">
            <v>Noraidīts</v>
          </cell>
          <cell r="D108" t="str">
            <v>1.1.1.1/16/A/145</v>
          </cell>
        </row>
        <row r="109">
          <cell r="C109" t="str">
            <v>Noraidīts</v>
          </cell>
          <cell r="D109" t="str">
            <v>1.1.1.1/16/A/146</v>
          </cell>
        </row>
        <row r="110">
          <cell r="C110" t="str">
            <v>Noraidīts</v>
          </cell>
          <cell r="D110" t="str">
            <v>1.1.1.1/16/A/149</v>
          </cell>
        </row>
        <row r="111">
          <cell r="C111" t="str">
            <v>Noraidīts</v>
          </cell>
          <cell r="D111" t="str">
            <v>1.1.1.1/16/A/150</v>
          </cell>
        </row>
        <row r="112">
          <cell r="C112" t="str">
            <v>Noraidīts</v>
          </cell>
          <cell r="D112" t="str">
            <v>1.1.1.1/16/A/151</v>
          </cell>
        </row>
        <row r="113">
          <cell r="C113" t="str">
            <v>Noraidīts</v>
          </cell>
          <cell r="D113" t="str">
            <v>1.1.1.1/16/A/152</v>
          </cell>
        </row>
        <row r="114">
          <cell r="C114" t="str">
            <v>Noraidīts</v>
          </cell>
          <cell r="D114" t="str">
            <v>1.1.1.1/16/A/153</v>
          </cell>
        </row>
        <row r="115">
          <cell r="C115" t="str">
            <v>Noraidīts</v>
          </cell>
          <cell r="D115" t="str">
            <v>1.1.1.1/16/A/155</v>
          </cell>
        </row>
        <row r="116">
          <cell r="C116" t="str">
            <v>Noraidīts</v>
          </cell>
          <cell r="D116" t="str">
            <v>1.1.1.1/16/A/156</v>
          </cell>
        </row>
        <row r="117">
          <cell r="C117" t="str">
            <v>Noraidīts</v>
          </cell>
          <cell r="D117" t="str">
            <v>1.1.1.1/16/A/157</v>
          </cell>
        </row>
        <row r="118">
          <cell r="C118" t="str">
            <v>Noraidīts</v>
          </cell>
          <cell r="D118" t="str">
            <v>1.1.1.1/16/A/158</v>
          </cell>
        </row>
        <row r="119">
          <cell r="C119" t="str">
            <v>Noraidīts</v>
          </cell>
          <cell r="D119" t="str">
            <v>1.1.1.1/16/A/159</v>
          </cell>
        </row>
        <row r="120">
          <cell r="C120" t="str">
            <v>Noraidīts</v>
          </cell>
          <cell r="D120" t="str">
            <v>1.1.1.1/16/A/161</v>
          </cell>
        </row>
        <row r="121">
          <cell r="C121" t="str">
            <v>Noraidīts</v>
          </cell>
          <cell r="D121" t="str">
            <v>1.1.1.1/16/A/162</v>
          </cell>
        </row>
        <row r="122">
          <cell r="C122" t="str">
            <v>Noraidīts</v>
          </cell>
          <cell r="D122" t="str">
            <v>1.1.1.1/16/A/163</v>
          </cell>
        </row>
        <row r="123">
          <cell r="C123" t="str">
            <v>Noraidīts</v>
          </cell>
          <cell r="D123" t="str">
            <v>1.1.1.1/16/A/164</v>
          </cell>
        </row>
        <row r="124">
          <cell r="C124" t="str">
            <v>Noraidīts</v>
          </cell>
          <cell r="D124" t="str">
            <v>1.1.1.1/16/A/166</v>
          </cell>
        </row>
        <row r="125">
          <cell r="C125" t="str">
            <v>Noraidīts</v>
          </cell>
          <cell r="D125" t="str">
            <v>1.1.1.1/16/A/167</v>
          </cell>
        </row>
        <row r="126">
          <cell r="C126" t="str">
            <v>Noraidīts</v>
          </cell>
          <cell r="D126" t="str">
            <v>1.1.1.1/16/A/168</v>
          </cell>
        </row>
        <row r="127">
          <cell r="C127" t="str">
            <v>Noraidīts</v>
          </cell>
          <cell r="D127" t="str">
            <v>1.1.1.1/16/A/169</v>
          </cell>
        </row>
        <row r="128">
          <cell r="C128" t="str">
            <v>Noraidīts</v>
          </cell>
          <cell r="D128" t="str">
            <v>1.1.1.1/16/A/170</v>
          </cell>
        </row>
        <row r="129">
          <cell r="C129" t="str">
            <v>Noraidīts</v>
          </cell>
          <cell r="D129" t="str">
            <v>1.1.1.1/16/A/171</v>
          </cell>
        </row>
        <row r="130">
          <cell r="C130" t="str">
            <v>Noraidīts</v>
          </cell>
          <cell r="D130" t="str">
            <v>1.1.1.1/16/A/172</v>
          </cell>
        </row>
        <row r="131">
          <cell r="C131" t="str">
            <v>Noraidīts</v>
          </cell>
          <cell r="D131" t="str">
            <v>1.1.1.1/16/A/173</v>
          </cell>
        </row>
        <row r="132">
          <cell r="C132" t="str">
            <v>Noraidīts</v>
          </cell>
          <cell r="D132" t="str">
            <v>1.1.1.1/16/A/175</v>
          </cell>
        </row>
        <row r="133">
          <cell r="C133" t="str">
            <v>Noraidīts</v>
          </cell>
          <cell r="D133" t="str">
            <v>1.1.1.1/16/A/176</v>
          </cell>
        </row>
        <row r="134">
          <cell r="C134" t="str">
            <v>Noraidīts</v>
          </cell>
          <cell r="D134" t="str">
            <v>1.1.1.1/16/A/177</v>
          </cell>
        </row>
        <row r="135">
          <cell r="C135" t="str">
            <v>Noraidīts</v>
          </cell>
          <cell r="D135" t="str">
            <v>1.1.1.1/16/A/178</v>
          </cell>
        </row>
        <row r="136">
          <cell r="C136" t="str">
            <v>Noraidīts</v>
          </cell>
          <cell r="D136" t="str">
            <v>1.1.1.1/16/A/179</v>
          </cell>
        </row>
        <row r="137">
          <cell r="C137" t="str">
            <v>Noraidīts</v>
          </cell>
          <cell r="D137" t="str">
            <v>1.1.1.1/16/A/180</v>
          </cell>
        </row>
        <row r="138">
          <cell r="C138" t="str">
            <v>Noraidīts</v>
          </cell>
          <cell r="D138" t="str">
            <v>1.1.1.1/16/A/181</v>
          </cell>
        </row>
        <row r="139">
          <cell r="C139" t="str">
            <v>Noraidīts</v>
          </cell>
          <cell r="D139" t="str">
            <v>1.1.1.1/16/A/183</v>
          </cell>
        </row>
        <row r="140">
          <cell r="C140" t="str">
            <v>Noraidīts</v>
          </cell>
          <cell r="D140" t="str">
            <v>1.1.1.1/16/A/184</v>
          </cell>
        </row>
        <row r="141">
          <cell r="C141" t="str">
            <v>Noraidīts</v>
          </cell>
          <cell r="D141" t="str">
            <v>1.1.1.1/16/A/186</v>
          </cell>
        </row>
        <row r="142">
          <cell r="C142" t="str">
            <v>Noraidīts</v>
          </cell>
          <cell r="D142" t="str">
            <v>1.1.1.1/16/A/187</v>
          </cell>
        </row>
        <row r="143">
          <cell r="C143" t="str">
            <v>Noraidīts</v>
          </cell>
          <cell r="D143" t="str">
            <v>1.1.1.1/16/A/188</v>
          </cell>
        </row>
        <row r="144">
          <cell r="C144" t="str">
            <v>Noraidīts</v>
          </cell>
          <cell r="D144" t="str">
            <v>1.1.1.1/16/A/189</v>
          </cell>
        </row>
        <row r="145">
          <cell r="C145" t="str">
            <v>Noraidīts</v>
          </cell>
          <cell r="D145" t="str">
            <v>1.1.1.1/16/A/190</v>
          </cell>
        </row>
        <row r="146">
          <cell r="C146" t="str">
            <v>Noraidīts</v>
          </cell>
          <cell r="D146" t="str">
            <v>1.1.1.1/16/A/191</v>
          </cell>
        </row>
        <row r="147">
          <cell r="C147" t="str">
            <v>Noraidīts</v>
          </cell>
          <cell r="D147" t="str">
            <v>1.1.1.1/16/A/193</v>
          </cell>
        </row>
        <row r="148">
          <cell r="C148" t="str">
            <v>Noraidīts</v>
          </cell>
          <cell r="D148" t="str">
            <v>1.1.1.1/16/A/194</v>
          </cell>
        </row>
        <row r="149">
          <cell r="C149" t="str">
            <v>Noraidīts</v>
          </cell>
          <cell r="D149" t="str">
            <v>1.1.1.1/16/A/195</v>
          </cell>
        </row>
        <row r="150">
          <cell r="C150" t="str">
            <v>Noraidīts</v>
          </cell>
          <cell r="D150" t="str">
            <v>1.1.1.1/16/A/196</v>
          </cell>
        </row>
        <row r="151">
          <cell r="C151" t="str">
            <v>Noraidīts</v>
          </cell>
          <cell r="D151" t="str">
            <v>1.1.1.1/16/A/198</v>
          </cell>
        </row>
        <row r="152">
          <cell r="C152" t="str">
            <v>Noraidīts</v>
          </cell>
          <cell r="D152" t="str">
            <v>1.1.1.1/16/A/199</v>
          </cell>
        </row>
        <row r="153">
          <cell r="C153" t="str">
            <v>Noraidīts</v>
          </cell>
          <cell r="D153" t="str">
            <v>1.1.1.1/16/A/200</v>
          </cell>
        </row>
        <row r="154">
          <cell r="C154" t="str">
            <v>Noraidīts</v>
          </cell>
          <cell r="D154" t="str">
            <v>1.1.1.1/16/A/201</v>
          </cell>
        </row>
        <row r="155">
          <cell r="C155" t="str">
            <v>Noraidīts</v>
          </cell>
          <cell r="D155" t="str">
            <v>1.1.1.1/16/A/202</v>
          </cell>
        </row>
        <row r="156">
          <cell r="C156" t="str">
            <v>Noraidīts</v>
          </cell>
          <cell r="D156" t="str">
            <v>1.1.1.1/16/A/204</v>
          </cell>
        </row>
        <row r="157">
          <cell r="C157" t="str">
            <v>Noraidīts</v>
          </cell>
          <cell r="D157" t="str">
            <v>1.1.1.1/16/A/205</v>
          </cell>
        </row>
        <row r="158">
          <cell r="C158" t="str">
            <v>Noraidīts</v>
          </cell>
          <cell r="D158" t="str">
            <v>1.1.1.1/16/A/206</v>
          </cell>
        </row>
        <row r="159">
          <cell r="C159" t="str">
            <v>Noraidīts</v>
          </cell>
          <cell r="D159" t="str">
            <v>1.1.1.1/16/A/207</v>
          </cell>
        </row>
        <row r="160">
          <cell r="C160" t="str">
            <v>Noraidīts</v>
          </cell>
          <cell r="D160" t="str">
            <v>1.1.1.1/16/A/208</v>
          </cell>
        </row>
        <row r="161">
          <cell r="C161" t="str">
            <v>Noraidīts</v>
          </cell>
          <cell r="D161" t="str">
            <v>1.1.1.1/16/A/209</v>
          </cell>
        </row>
        <row r="162">
          <cell r="C162" t="str">
            <v>Noraidīts</v>
          </cell>
          <cell r="D162" t="str">
            <v>1.1.1.1/16/A/210</v>
          </cell>
        </row>
        <row r="163">
          <cell r="C163" t="str">
            <v>Noraidīts</v>
          </cell>
          <cell r="D163" t="str">
            <v>1.1.1.1/16/A/212</v>
          </cell>
        </row>
        <row r="164">
          <cell r="C164" t="str">
            <v>Noraidīts</v>
          </cell>
          <cell r="D164" t="str">
            <v>1.1.1.1/16/A/214</v>
          </cell>
        </row>
        <row r="165">
          <cell r="C165" t="str">
            <v>Noraidīts</v>
          </cell>
          <cell r="D165" t="str">
            <v>1.1.1.1/16/A/216</v>
          </cell>
        </row>
        <row r="166">
          <cell r="C166" t="str">
            <v>Noraidīts</v>
          </cell>
          <cell r="D166" t="str">
            <v>1.1.1.1/16/A/217</v>
          </cell>
        </row>
        <row r="167">
          <cell r="C167" t="str">
            <v>Noraidīts</v>
          </cell>
          <cell r="D167" t="str">
            <v>1.1.1.1/16/A/218</v>
          </cell>
        </row>
        <row r="168">
          <cell r="C168" t="str">
            <v>Noraidīts</v>
          </cell>
          <cell r="D168" t="str">
            <v>1.1.1.1/16/A/220</v>
          </cell>
        </row>
        <row r="169">
          <cell r="C169" t="str">
            <v>Noraidīts</v>
          </cell>
          <cell r="D169" t="str">
            <v>1.1.1.1/16/A/221</v>
          </cell>
        </row>
        <row r="170">
          <cell r="C170" t="str">
            <v>Noraidīts</v>
          </cell>
          <cell r="D170" t="str">
            <v>1.1.1.1/16/A/222</v>
          </cell>
        </row>
        <row r="171">
          <cell r="C171" t="str">
            <v>Noraidīts</v>
          </cell>
          <cell r="D171" t="str">
            <v>1.1.1.1/16/A/223</v>
          </cell>
        </row>
        <row r="172">
          <cell r="C172" t="str">
            <v>Noraidīts</v>
          </cell>
          <cell r="D172" t="str">
            <v>1.1.1.1/16/A/224</v>
          </cell>
        </row>
        <row r="173">
          <cell r="C173" t="str">
            <v>Noraidīts</v>
          </cell>
          <cell r="D173" t="str">
            <v>1.1.1.1/16/A/225</v>
          </cell>
        </row>
        <row r="174">
          <cell r="C174" t="str">
            <v>Noraidīts</v>
          </cell>
          <cell r="D174" t="str">
            <v>1.1.1.1/16/A/226</v>
          </cell>
        </row>
        <row r="175">
          <cell r="C175" t="str">
            <v>Noraidīts</v>
          </cell>
          <cell r="D175" t="str">
            <v>1.1.1.1/16/A/227</v>
          </cell>
        </row>
        <row r="176">
          <cell r="C176" t="str">
            <v>Noraidīts</v>
          </cell>
          <cell r="D176" t="str">
            <v>1.1.1.1/16/A/228</v>
          </cell>
        </row>
        <row r="177">
          <cell r="C177" t="str">
            <v>Noraidīts</v>
          </cell>
          <cell r="D177" t="str">
            <v>1.1.1.1/16/A/229</v>
          </cell>
        </row>
        <row r="178">
          <cell r="C178" t="str">
            <v>Noraidīts</v>
          </cell>
          <cell r="D178" t="str">
            <v>1.1.1.1/16/A/230</v>
          </cell>
        </row>
        <row r="179">
          <cell r="C179" t="str">
            <v>Noraidīts</v>
          </cell>
          <cell r="D179" t="str">
            <v>1.1.1.1/16/A/231</v>
          </cell>
        </row>
        <row r="180">
          <cell r="C180" t="str">
            <v>Noraidīts</v>
          </cell>
          <cell r="D180" t="str">
            <v>1.1.1.1/16/A/232</v>
          </cell>
        </row>
        <row r="181">
          <cell r="C181" t="str">
            <v>Noraidīts</v>
          </cell>
          <cell r="D181" t="str">
            <v>1.1.1.1/16/A/233</v>
          </cell>
        </row>
        <row r="182">
          <cell r="C182" t="str">
            <v>Noraidīts</v>
          </cell>
          <cell r="D182" t="str">
            <v>1.1.1.1/16/A/235</v>
          </cell>
        </row>
        <row r="183">
          <cell r="C183" t="str">
            <v>Noraidīts</v>
          </cell>
          <cell r="D183" t="str">
            <v>1.1.1.1/16/A/236</v>
          </cell>
        </row>
        <row r="184">
          <cell r="C184" t="str">
            <v>Noraidīts</v>
          </cell>
          <cell r="D184" t="str">
            <v>1.1.1.1/16/A/237</v>
          </cell>
        </row>
        <row r="185">
          <cell r="C185" t="str">
            <v>Noraidīts</v>
          </cell>
          <cell r="D185" t="str">
            <v>1.1.1.1/16/A/238</v>
          </cell>
        </row>
        <row r="186">
          <cell r="C186" t="str">
            <v>Noraidīts</v>
          </cell>
          <cell r="D186" t="str">
            <v>1.1.1.1/16/A/239</v>
          </cell>
        </row>
        <row r="187">
          <cell r="C187" t="str">
            <v>Noraidīts</v>
          </cell>
          <cell r="D187" t="str">
            <v>1.1.1.1/16/A/240</v>
          </cell>
        </row>
        <row r="188">
          <cell r="C188" t="str">
            <v>Noraidīts</v>
          </cell>
          <cell r="D188" t="str">
            <v>1.1.1.1/16/A/241</v>
          </cell>
        </row>
        <row r="189">
          <cell r="C189" t="str">
            <v>Noraidīts</v>
          </cell>
          <cell r="D189" t="str">
            <v>1.1.1.1/16/A/242</v>
          </cell>
        </row>
        <row r="190">
          <cell r="C190" t="str">
            <v>Noraidīts</v>
          </cell>
          <cell r="D190" t="str">
            <v>1.1.1.1/16/A/243</v>
          </cell>
        </row>
        <row r="191">
          <cell r="C191" t="str">
            <v>Noraidīts</v>
          </cell>
          <cell r="D191" t="str">
            <v>1.1.1.1/16/A/244</v>
          </cell>
        </row>
        <row r="192">
          <cell r="C192" t="str">
            <v>Noraidīts</v>
          </cell>
          <cell r="D192" t="str">
            <v>1.1.1.1/16/A/245</v>
          </cell>
        </row>
        <row r="193">
          <cell r="C193" t="str">
            <v>Noraidīts</v>
          </cell>
          <cell r="D193" t="str">
            <v>1.1.1.1/16/A/246</v>
          </cell>
        </row>
        <row r="194">
          <cell r="C194" t="str">
            <v>Noraidīts</v>
          </cell>
          <cell r="D194" t="str">
            <v>1.1.1.1/16/A/247</v>
          </cell>
        </row>
        <row r="195">
          <cell r="C195" t="str">
            <v>Noraidīts</v>
          </cell>
          <cell r="D195" t="str">
            <v>1.1.1.1/16/A/248</v>
          </cell>
        </row>
        <row r="196">
          <cell r="C196" t="str">
            <v>Noraidīts</v>
          </cell>
          <cell r="D196" t="str">
            <v>1.1.1.1/16/A/249</v>
          </cell>
        </row>
        <row r="197">
          <cell r="C197" t="str">
            <v>Noraidīts</v>
          </cell>
          <cell r="D197" t="str">
            <v>1.1.1.1/16/A/250</v>
          </cell>
        </row>
        <row r="198">
          <cell r="C198" t="str">
            <v>Noraidīts</v>
          </cell>
          <cell r="D198" t="str">
            <v>1.1.1.1/16/A/251</v>
          </cell>
        </row>
        <row r="199">
          <cell r="C199" t="str">
            <v>Noraidīts</v>
          </cell>
          <cell r="D199" t="str">
            <v>1.1.1.1/16/A/253</v>
          </cell>
        </row>
        <row r="200">
          <cell r="C200" t="str">
            <v>Noraidīts</v>
          </cell>
          <cell r="D200" t="str">
            <v>1.1.1.1/16/A/254</v>
          </cell>
        </row>
        <row r="201">
          <cell r="C201" t="str">
            <v>Noraidīts</v>
          </cell>
          <cell r="D201" t="str">
            <v>1.1.1.1/16/A/255</v>
          </cell>
        </row>
        <row r="202">
          <cell r="C202" t="str">
            <v>Noraidīts</v>
          </cell>
          <cell r="D202" t="str">
            <v>1.1.1.1/16/A/262</v>
          </cell>
        </row>
        <row r="203">
          <cell r="C203" t="str">
            <v>Noraidīts</v>
          </cell>
          <cell r="D203" t="str">
            <v>1.1.1.1/16/A/263</v>
          </cell>
        </row>
        <row r="204">
          <cell r="C204" t="str">
            <v>Noraidīts</v>
          </cell>
          <cell r="D204" t="str">
            <v>1.1.1.1/16/A/264</v>
          </cell>
        </row>
        <row r="205">
          <cell r="C205" t="str">
            <v>Noraidīts</v>
          </cell>
          <cell r="D205" t="str">
            <v>1.1.1.1/16/A/265</v>
          </cell>
        </row>
        <row r="206">
          <cell r="C206" t="str">
            <v>Noraidīts</v>
          </cell>
          <cell r="D206" t="str">
            <v>1.1.1.1/16/A/266</v>
          </cell>
        </row>
        <row r="207">
          <cell r="C207" t="str">
            <v>Noraidīts</v>
          </cell>
          <cell r="D207" t="str">
            <v>1.1.1.1/16/A/268</v>
          </cell>
        </row>
        <row r="208">
          <cell r="C208" t="str">
            <v>Noraidīts</v>
          </cell>
          <cell r="D208" t="str">
            <v>1.1.1.1/16/A/269</v>
          </cell>
        </row>
        <row r="209">
          <cell r="C209" t="str">
            <v>Noraidīts</v>
          </cell>
          <cell r="D209" t="str">
            <v>1.1.1.1/16/A/270</v>
          </cell>
        </row>
        <row r="210">
          <cell r="C210" t="str">
            <v>Noraidīts</v>
          </cell>
          <cell r="D210" t="str">
            <v>1.1.1.1/16/A/271</v>
          </cell>
        </row>
        <row r="211">
          <cell r="C211" t="str">
            <v>Noraidīts</v>
          </cell>
          <cell r="D211" t="str">
            <v>1.1.1.1/16/A/273</v>
          </cell>
        </row>
        <row r="212">
          <cell r="C212" t="str">
            <v>Noraidīts</v>
          </cell>
          <cell r="D212" t="str">
            <v>1.1.1.1/16/A/274</v>
          </cell>
        </row>
        <row r="213">
          <cell r="C213" t="str">
            <v>Noraidīts</v>
          </cell>
          <cell r="D213" t="str">
            <v>1.1.1.1/16/A/275</v>
          </cell>
        </row>
        <row r="214">
          <cell r="C214" t="str">
            <v>Noraidīts</v>
          </cell>
          <cell r="D214" t="str">
            <v>1.1.1.1/16/A/276</v>
          </cell>
        </row>
        <row r="215">
          <cell r="C215" t="str">
            <v>Noraidīts</v>
          </cell>
          <cell r="D215" t="str">
            <v>1.1.1.1/16/A/277</v>
          </cell>
        </row>
        <row r="216">
          <cell r="C216" t="str">
            <v>Noraidīts</v>
          </cell>
          <cell r="D216" t="str">
            <v>1.1.1.1/16/A/278</v>
          </cell>
        </row>
        <row r="217">
          <cell r="C217" t="str">
            <v>Noraidīts</v>
          </cell>
          <cell r="D217" t="str">
            <v>1.1.1.1/16/A/279</v>
          </cell>
        </row>
        <row r="218">
          <cell r="C218" t="str">
            <v>Noraidīts</v>
          </cell>
          <cell r="D218" t="str">
            <v>1.1.1.1/16/A/282</v>
          </cell>
        </row>
        <row r="219">
          <cell r="C219" t="str">
            <v>Noraidīts</v>
          </cell>
          <cell r="D219" t="str">
            <v>1.1.1.1/16/A/283</v>
          </cell>
        </row>
        <row r="220">
          <cell r="C220" t="str">
            <v>Noraidīts</v>
          </cell>
          <cell r="D220" t="str">
            <v>1.1.1.1/16/A/284</v>
          </cell>
        </row>
        <row r="221">
          <cell r="C221" t="str">
            <v>Noraidīts</v>
          </cell>
          <cell r="D221" t="str">
            <v>1.1.1.1/16/A/285</v>
          </cell>
        </row>
        <row r="222">
          <cell r="C222" t="str">
            <v>Noraidīts</v>
          </cell>
          <cell r="D222" t="str">
            <v>1.1.1.1/16/A/286</v>
          </cell>
        </row>
        <row r="223">
          <cell r="C223" t="str">
            <v>Noraidīts</v>
          </cell>
          <cell r="D223" t="str">
            <v>1.1.1.1/16/A/287</v>
          </cell>
        </row>
        <row r="224">
          <cell r="C224" t="str">
            <v>Noraidīts</v>
          </cell>
          <cell r="D224" t="str">
            <v>1.1.1.1/16/A/289</v>
          </cell>
        </row>
        <row r="225">
          <cell r="C225" t="str">
            <v>Noraidīts</v>
          </cell>
          <cell r="D225" t="str">
            <v>1.1.1.1/16/A/291</v>
          </cell>
        </row>
        <row r="226">
          <cell r="C226" t="str">
            <v>Noraidīts</v>
          </cell>
          <cell r="D226" t="str">
            <v>1.1.1.1/16/A/293</v>
          </cell>
        </row>
        <row r="227">
          <cell r="C227" t="str">
            <v>Noraidīts</v>
          </cell>
          <cell r="D227" t="str">
            <v>1.1.1.1/16/A/295</v>
          </cell>
        </row>
        <row r="228">
          <cell r="C228" t="str">
            <v>Noraidīts</v>
          </cell>
          <cell r="D228" t="str">
            <v>1.1.1.1/16/A/296</v>
          </cell>
        </row>
        <row r="229">
          <cell r="C229" t="str">
            <v>Noraidīts</v>
          </cell>
          <cell r="D229" t="str">
            <v>1.1.1.1/16/A/297</v>
          </cell>
        </row>
        <row r="230">
          <cell r="C230" t="str">
            <v>Noraidīts</v>
          </cell>
          <cell r="D230" t="str">
            <v>1.1.1.1/16/A/298</v>
          </cell>
        </row>
        <row r="231">
          <cell r="C231" t="str">
            <v>Noraidīts</v>
          </cell>
          <cell r="D231" t="str">
            <v>1.1.1.1/16/A/299</v>
          </cell>
        </row>
        <row r="232">
          <cell r="C232" t="str">
            <v>Noraidīts</v>
          </cell>
          <cell r="D232" t="str">
            <v>1.1.1.1/16/A/300</v>
          </cell>
        </row>
        <row r="233">
          <cell r="C233" t="str">
            <v>Noraidīts</v>
          </cell>
          <cell r="D233" t="str">
            <v>1.1.1.1/16/A/301</v>
          </cell>
        </row>
        <row r="234">
          <cell r="C234" t="str">
            <v>Noraidīts</v>
          </cell>
          <cell r="D234" t="str">
            <v>1.1.1.1/16/A/302</v>
          </cell>
        </row>
        <row r="235">
          <cell r="C235" t="str">
            <v>Noraidīts</v>
          </cell>
          <cell r="D235" t="str">
            <v>1.1.1.1/16/A/303</v>
          </cell>
        </row>
        <row r="236">
          <cell r="C236" t="str">
            <v>Noraidīts</v>
          </cell>
          <cell r="D236" t="str">
            <v>1.1.1.1/16/A/304</v>
          </cell>
        </row>
        <row r="237">
          <cell r="C237" t="str">
            <v>Noraidīts</v>
          </cell>
          <cell r="D237" t="str">
            <v>1.1.1.1/16/A/305</v>
          </cell>
        </row>
        <row r="238">
          <cell r="C238" t="str">
            <v>Noraidīts</v>
          </cell>
          <cell r="D238" t="str">
            <v>1.1.1.1/16/A/306</v>
          </cell>
        </row>
        <row r="239">
          <cell r="C239" t="str">
            <v>Noraidīts</v>
          </cell>
          <cell r="D239" t="str">
            <v>1.1.1.1/16/A/308</v>
          </cell>
        </row>
        <row r="240">
          <cell r="C240" t="str">
            <v>Noraidīts</v>
          </cell>
          <cell r="D240" t="str">
            <v>1.1.1.1/16/A/309</v>
          </cell>
        </row>
        <row r="241">
          <cell r="C241" t="str">
            <v>Noraidīts</v>
          </cell>
          <cell r="D241" t="str">
            <v>1.1.1.1/16/A/310</v>
          </cell>
        </row>
        <row r="242">
          <cell r="C242" t="str">
            <v>Līgums</v>
          </cell>
          <cell r="D242" t="str">
            <v>1.1.1.1/16/A/001</v>
          </cell>
        </row>
        <row r="243">
          <cell r="C243" t="str">
            <v>Līgums</v>
          </cell>
          <cell r="D243" t="str">
            <v>1.1.1.1/16/A/003</v>
          </cell>
        </row>
        <row r="244">
          <cell r="C244" t="str">
            <v>Līgums</v>
          </cell>
          <cell r="D244" t="str">
            <v>1.1.1.1/16/A/004</v>
          </cell>
        </row>
        <row r="245">
          <cell r="C245" t="str">
            <v>Līgums</v>
          </cell>
          <cell r="D245" t="str">
            <v>1.1.1.1/16/A/007</v>
          </cell>
        </row>
        <row r="246">
          <cell r="C246" t="str">
            <v>Līgums</v>
          </cell>
          <cell r="D246" t="str">
            <v>1.1.1.1/16/A/008</v>
          </cell>
        </row>
        <row r="247">
          <cell r="C247" t="str">
            <v>Līgums</v>
          </cell>
          <cell r="D247" t="str">
            <v>1.1.1.1/16/A/010</v>
          </cell>
        </row>
        <row r="248">
          <cell r="C248" t="str">
            <v>Līgums</v>
          </cell>
          <cell r="D248" t="str">
            <v>1.1.1.1/16/A/013</v>
          </cell>
        </row>
        <row r="249">
          <cell r="C249" t="str">
            <v>Līgums</v>
          </cell>
          <cell r="D249" t="str">
            <v>1.1.1.1/16/A/015</v>
          </cell>
        </row>
        <row r="250">
          <cell r="C250" t="str">
            <v>Līgums</v>
          </cell>
          <cell r="D250" t="str">
            <v>1.1.1.1/16/A/016</v>
          </cell>
        </row>
        <row r="251">
          <cell r="C251" t="str">
            <v>Līgums</v>
          </cell>
          <cell r="D251" t="str">
            <v>1.1.1.1/16/A/020</v>
          </cell>
        </row>
        <row r="252">
          <cell r="C252" t="str">
            <v>Līgums</v>
          </cell>
          <cell r="D252" t="str">
            <v>1.1.1.1/16/A/025</v>
          </cell>
        </row>
        <row r="253">
          <cell r="C253" t="str">
            <v>Līgums</v>
          </cell>
          <cell r="D253" t="str">
            <v>1.1.1.1/16/A/031</v>
          </cell>
        </row>
        <row r="254">
          <cell r="C254" t="str">
            <v>Līgums</v>
          </cell>
          <cell r="D254" t="str">
            <v>1.1.1.1/16/A/040</v>
          </cell>
        </row>
        <row r="255">
          <cell r="C255" t="str">
            <v>Līgums</v>
          </cell>
          <cell r="D255" t="str">
            <v>1.1.1.1/16/A/042</v>
          </cell>
        </row>
        <row r="256">
          <cell r="C256" t="str">
            <v>Līgums</v>
          </cell>
          <cell r="D256" t="str">
            <v>1.1.1.1/16/A/044</v>
          </cell>
        </row>
        <row r="257">
          <cell r="C257" t="str">
            <v>Līgums</v>
          </cell>
          <cell r="D257" t="str">
            <v>1.1.1.1/16/A/046</v>
          </cell>
        </row>
        <row r="258">
          <cell r="C258" t="str">
            <v>Līgums</v>
          </cell>
          <cell r="D258" t="str">
            <v>1.1.1.1/16/A/047</v>
          </cell>
        </row>
        <row r="259">
          <cell r="C259" t="str">
            <v>Līgums</v>
          </cell>
          <cell r="D259" t="str">
            <v>1.1.1.1/16/A/048</v>
          </cell>
        </row>
        <row r="260">
          <cell r="C260" t="str">
            <v>Līgums</v>
          </cell>
          <cell r="D260" t="str">
            <v>1.1.1.1/16/A/050</v>
          </cell>
        </row>
        <row r="261">
          <cell r="C261" t="str">
            <v>Līgums</v>
          </cell>
          <cell r="D261" t="str">
            <v>1.1.1.1/16/A/054</v>
          </cell>
        </row>
        <row r="262">
          <cell r="C262" t="str">
            <v>Līgums</v>
          </cell>
          <cell r="D262" t="str">
            <v>1.1.1.1/16/A/055</v>
          </cell>
        </row>
        <row r="263">
          <cell r="C263" t="str">
            <v>Līgums</v>
          </cell>
          <cell r="D263" t="str">
            <v>1.1.1.1/16/A/065</v>
          </cell>
        </row>
        <row r="264">
          <cell r="C264" t="str">
            <v>Līgums</v>
          </cell>
          <cell r="D264" t="str">
            <v>1.1.1.1/16/A/066</v>
          </cell>
        </row>
        <row r="265">
          <cell r="C265" t="str">
            <v>Līgums</v>
          </cell>
          <cell r="D265" t="str">
            <v>1.1.1.1/16/A/072</v>
          </cell>
        </row>
        <row r="266">
          <cell r="C266" t="str">
            <v>Līgums</v>
          </cell>
          <cell r="D266" t="str">
            <v>1.1.1.1/16/A/073</v>
          </cell>
        </row>
        <row r="267">
          <cell r="C267" t="str">
            <v>Līgums</v>
          </cell>
          <cell r="D267" t="str">
            <v>1.1.1.1/16/A/077</v>
          </cell>
        </row>
        <row r="268">
          <cell r="C268" t="str">
            <v>Līgums</v>
          </cell>
          <cell r="D268" t="str">
            <v>1.1.1.1/16/A/078</v>
          </cell>
        </row>
        <row r="269">
          <cell r="C269" t="str">
            <v>Līgums</v>
          </cell>
          <cell r="D269" t="str">
            <v>1.1.1.1/16/A/079</v>
          </cell>
        </row>
        <row r="270">
          <cell r="C270" t="str">
            <v>Līgums</v>
          </cell>
          <cell r="D270" t="str">
            <v>1.1.1.1/16/A/085</v>
          </cell>
        </row>
        <row r="271">
          <cell r="C271" t="str">
            <v>Līgums</v>
          </cell>
          <cell r="D271" t="str">
            <v>1.1.1.1/16/A/091</v>
          </cell>
        </row>
        <row r="272">
          <cell r="C272" t="str">
            <v>Līgums</v>
          </cell>
          <cell r="D272" t="str">
            <v>1.1.1.1/16/A/094</v>
          </cell>
        </row>
        <row r="273">
          <cell r="C273" t="str">
            <v>Līgums</v>
          </cell>
          <cell r="D273" t="str">
            <v>1.1.1.1/16/A/097</v>
          </cell>
        </row>
        <row r="274">
          <cell r="C274" t="str">
            <v>Līgums</v>
          </cell>
          <cell r="D274" t="str">
            <v>1.1.1.1/16/A/101</v>
          </cell>
        </row>
        <row r="275">
          <cell r="C275" t="str">
            <v>Līgums</v>
          </cell>
          <cell r="D275" t="str">
            <v>1.1.1.1/16/A/104</v>
          </cell>
        </row>
        <row r="276">
          <cell r="C276" t="str">
            <v>Līgums</v>
          </cell>
          <cell r="D276" t="str">
            <v>1.1.1.1/16/A/107</v>
          </cell>
        </row>
        <row r="277">
          <cell r="C277" t="str">
            <v>Līgums</v>
          </cell>
          <cell r="D277" t="str">
            <v>1.1.1.1/16/A/113</v>
          </cell>
        </row>
        <row r="278">
          <cell r="C278" t="str">
            <v>Līgums</v>
          </cell>
          <cell r="D278" t="str">
            <v>1.1.1.1/16/A/129</v>
          </cell>
        </row>
        <row r="279">
          <cell r="C279" t="str">
            <v>Līgums</v>
          </cell>
          <cell r="D279" t="str">
            <v>1.1.1.1/16/A/131</v>
          </cell>
        </row>
        <row r="280">
          <cell r="C280" t="str">
            <v>Līgums</v>
          </cell>
          <cell r="D280" t="str">
            <v>1.1.1.1/16/A/133</v>
          </cell>
        </row>
        <row r="281">
          <cell r="C281" t="str">
            <v>Līgums</v>
          </cell>
          <cell r="D281" t="str">
            <v>1.1.1.1/16/A/135</v>
          </cell>
        </row>
        <row r="282">
          <cell r="C282" t="str">
            <v>Līgums</v>
          </cell>
          <cell r="D282" t="str">
            <v>1.1.1.1/16/A/141</v>
          </cell>
        </row>
        <row r="283">
          <cell r="C283" t="str">
            <v>Līgums</v>
          </cell>
          <cell r="D283" t="str">
            <v>1.1.1.1/16/A/144</v>
          </cell>
        </row>
        <row r="284">
          <cell r="C284" t="str">
            <v>Līgums</v>
          </cell>
          <cell r="D284" t="str">
            <v>1.1.1.1/16/A/147</v>
          </cell>
        </row>
        <row r="285">
          <cell r="C285" t="str">
            <v>Līgums</v>
          </cell>
          <cell r="D285" t="str">
            <v>1.1.1.1/16/A/148</v>
          </cell>
        </row>
        <row r="286">
          <cell r="C286" t="str">
            <v>Līgums</v>
          </cell>
          <cell r="D286" t="str">
            <v>1.1.1.1/16/A/154</v>
          </cell>
        </row>
        <row r="287">
          <cell r="C287" t="str">
            <v>Līgums</v>
          </cell>
          <cell r="D287" t="str">
            <v>1.1.1.1/16/A/160</v>
          </cell>
        </row>
        <row r="288">
          <cell r="C288" t="str">
            <v>Līgums</v>
          </cell>
          <cell r="D288" t="str">
            <v>1.1.1.1/16/A/165</v>
          </cell>
        </row>
        <row r="289">
          <cell r="C289" t="str">
            <v>Līgums</v>
          </cell>
          <cell r="D289" t="str">
            <v>1.1.1.1/16/A/174</v>
          </cell>
        </row>
        <row r="290">
          <cell r="C290" t="str">
            <v>Līgums</v>
          </cell>
          <cell r="D290" t="str">
            <v>1.1.1.1/16/A/182</v>
          </cell>
        </row>
        <row r="291">
          <cell r="C291" t="str">
            <v>Līgums</v>
          </cell>
          <cell r="D291" t="str">
            <v>1.1.1.1/16/A/185</v>
          </cell>
        </row>
        <row r="292">
          <cell r="C292" t="str">
            <v>Līgums</v>
          </cell>
          <cell r="D292" t="str">
            <v>1.1.1.1/16/A/192</v>
          </cell>
        </row>
        <row r="293">
          <cell r="C293" t="str">
            <v>Līgums</v>
          </cell>
          <cell r="D293" t="str">
            <v>1.1.1.1/16/A/197</v>
          </cell>
        </row>
        <row r="294">
          <cell r="C294" t="str">
            <v>Līgums</v>
          </cell>
          <cell r="D294" t="str">
            <v>1.1.1.1/16/A/203</v>
          </cell>
        </row>
        <row r="295">
          <cell r="C295" t="str">
            <v>Līgums</v>
          </cell>
          <cell r="D295" t="str">
            <v>1.1.1.1/16/A/211</v>
          </cell>
        </row>
        <row r="296">
          <cell r="C296" t="str">
            <v>Līgums</v>
          </cell>
          <cell r="D296" t="str">
            <v>1.1.1.1/16/A/213</v>
          </cell>
        </row>
        <row r="297">
          <cell r="C297" t="str">
            <v>Līgums</v>
          </cell>
          <cell r="D297" t="str">
            <v>1.1.1.1/16/A/215</v>
          </cell>
        </row>
        <row r="298">
          <cell r="C298" t="str">
            <v>Līgums</v>
          </cell>
          <cell r="D298" t="str">
            <v>1.1.1.1/16/A/219</v>
          </cell>
        </row>
        <row r="299">
          <cell r="C299" t="str">
            <v>Līgums</v>
          </cell>
          <cell r="D299" t="str">
            <v>1.1.1.1/16/A/234</v>
          </cell>
        </row>
        <row r="300">
          <cell r="C300" t="str">
            <v>Līgums</v>
          </cell>
          <cell r="D300" t="str">
            <v>1.1.1.1/16/A/252</v>
          </cell>
        </row>
        <row r="301">
          <cell r="C301" t="str">
            <v>Līgums</v>
          </cell>
          <cell r="D301" t="str">
            <v>1.1.1.1/16/A/256</v>
          </cell>
        </row>
        <row r="302">
          <cell r="C302" t="str">
            <v>Līgums</v>
          </cell>
          <cell r="D302" t="str">
            <v>1.1.1.1/16/A/257</v>
          </cell>
        </row>
        <row r="303">
          <cell r="C303" t="str">
            <v>Līgums</v>
          </cell>
          <cell r="D303" t="str">
            <v>1.1.1.1/16/A/258</v>
          </cell>
        </row>
        <row r="304">
          <cell r="C304" t="str">
            <v>Līgums</v>
          </cell>
          <cell r="D304" t="str">
            <v>1.1.1.1/16/A/259</v>
          </cell>
        </row>
        <row r="305">
          <cell r="C305" t="str">
            <v>Līgums</v>
          </cell>
          <cell r="D305" t="str">
            <v>1.1.1.1/16/A/260</v>
          </cell>
        </row>
        <row r="306">
          <cell r="C306" t="str">
            <v>Līgums</v>
          </cell>
          <cell r="D306" t="str">
            <v>1.1.1.1/16/A/261</v>
          </cell>
        </row>
        <row r="307">
          <cell r="C307" t="str">
            <v>Līgums</v>
          </cell>
          <cell r="D307" t="str">
            <v>1.1.1.1/16/A/267</v>
          </cell>
        </row>
        <row r="308">
          <cell r="C308" t="str">
            <v>Līgums</v>
          </cell>
          <cell r="D308" t="str">
            <v>1.1.1.1/16/A/272</v>
          </cell>
        </row>
        <row r="309">
          <cell r="C309" t="str">
            <v>Līgums</v>
          </cell>
          <cell r="D309" t="str">
            <v>1.1.1.1/16/A/280</v>
          </cell>
        </row>
        <row r="310">
          <cell r="C310" t="str">
            <v>Līgums</v>
          </cell>
          <cell r="D310" t="str">
            <v>1.1.1.1/16/A/281</v>
          </cell>
        </row>
        <row r="311">
          <cell r="C311" t="str">
            <v>Līgums</v>
          </cell>
          <cell r="D311" t="str">
            <v>1.1.1.1/16/A/288</v>
          </cell>
        </row>
        <row r="312">
          <cell r="C312" t="str">
            <v>Līgums</v>
          </cell>
          <cell r="D312" t="str">
            <v>1.1.1.1/16/A/290</v>
          </cell>
        </row>
        <row r="313">
          <cell r="C313" t="str">
            <v>Līgums</v>
          </cell>
          <cell r="D313" t="str">
            <v>1.1.1.1/16/A/292</v>
          </cell>
        </row>
        <row r="314">
          <cell r="C314" t="str">
            <v>Līgums</v>
          </cell>
          <cell r="D314" t="str">
            <v>1.1.1.1/16/A/294</v>
          </cell>
        </row>
        <row r="315">
          <cell r="C315" t="str">
            <v>Līgums</v>
          </cell>
          <cell r="D315" t="str">
            <v>1.1.1.1/16/A/307</v>
          </cell>
        </row>
        <row r="316">
          <cell r="C316" t="str">
            <v>Iesniegts</v>
          </cell>
          <cell r="D316" t="str">
            <v>1.1.1.5/17/I/001</v>
          </cell>
        </row>
        <row r="317">
          <cell r="C317" t="str">
            <v>Apstiprināts ar nosacījumu</v>
          </cell>
          <cell r="D317" t="str">
            <v>1.1.1.5/17/I/002</v>
          </cell>
        </row>
        <row r="318">
          <cell r="C318" t="str">
            <v>Iesniegts</v>
          </cell>
          <cell r="D318" t="str">
            <v>1.1.1.5/17/A/003</v>
          </cell>
        </row>
        <row r="319">
          <cell r="C319" t="str">
            <v>Iesniegts</v>
          </cell>
          <cell r="D319" t="str">
            <v>1.1.1.5/17/A/004</v>
          </cell>
        </row>
        <row r="320">
          <cell r="C320" t="str">
            <v>Līgums</v>
          </cell>
          <cell r="D320" t="str">
            <v>1.1.1.2/16/I/001</v>
          </cell>
        </row>
        <row r="321">
          <cell r="C321" t="str">
            <v>Atsaukts</v>
          </cell>
          <cell r="D321" t="str">
            <v>1.1.1.4/17/I/001</v>
          </cell>
        </row>
        <row r="322">
          <cell r="C322" t="str">
            <v>Apstiprināts</v>
          </cell>
          <cell r="D322" t="str">
            <v>1.1.1.4/17/I/010</v>
          </cell>
        </row>
        <row r="323">
          <cell r="C323" t="str">
            <v>Līgums</v>
          </cell>
          <cell r="D323" t="str">
            <v>1.1.1.4/17/I/002</v>
          </cell>
        </row>
        <row r="324">
          <cell r="C324" t="str">
            <v>Līgums</v>
          </cell>
          <cell r="D324" t="str">
            <v>1.1.1.4/17/I/003</v>
          </cell>
        </row>
        <row r="325">
          <cell r="C325" t="str">
            <v>Līgums</v>
          </cell>
          <cell r="D325" t="str">
            <v>1.1.1.4/17/I/004</v>
          </cell>
        </row>
        <row r="326">
          <cell r="C326" t="str">
            <v>Līgums</v>
          </cell>
          <cell r="D326" t="str">
            <v>1.1.1.4/17/I/005</v>
          </cell>
        </row>
        <row r="327">
          <cell r="C327" t="str">
            <v>Līgums</v>
          </cell>
          <cell r="D327" t="str">
            <v>1.1.1.4/17/I/006</v>
          </cell>
        </row>
        <row r="328">
          <cell r="C328" t="str">
            <v>Līgums</v>
          </cell>
          <cell r="D328" t="str">
            <v>1.1.1.4/17/I/007</v>
          </cell>
        </row>
        <row r="329">
          <cell r="C329" t="str">
            <v>Līgums</v>
          </cell>
          <cell r="D329" t="str">
            <v>1.1.1.4/17/I/008</v>
          </cell>
        </row>
        <row r="330">
          <cell r="C330" t="str">
            <v>Līgums</v>
          </cell>
          <cell r="D330" t="str">
            <v>1.1.1.4/17/I/009</v>
          </cell>
        </row>
        <row r="331">
          <cell r="C331" t="str">
            <v>Līgums</v>
          </cell>
          <cell r="D331" t="str">
            <v>1.1.1.4/17/I/011</v>
          </cell>
        </row>
        <row r="332">
          <cell r="C332" t="str">
            <v>Līgums</v>
          </cell>
          <cell r="D332" t="str">
            <v>1.1.1.4/17/I/012</v>
          </cell>
        </row>
        <row r="333">
          <cell r="C333" t="str">
            <v>Līgums</v>
          </cell>
          <cell r="D333" t="str">
            <v>1.1.1.4/17/I/014</v>
          </cell>
        </row>
        <row r="334">
          <cell r="C334" t="str">
            <v>Līgums</v>
          </cell>
          <cell r="D334" t="str">
            <v>1.1.1.4/17/I/015</v>
          </cell>
        </row>
        <row r="335">
          <cell r="C335" t="str">
            <v>Iesniegti precizējumi</v>
          </cell>
          <cell r="D335" t="str">
            <v>1.1.1.4/17/I/013</v>
          </cell>
        </row>
        <row r="336">
          <cell r="C336" t="str">
            <v>Līgums</v>
          </cell>
          <cell r="D336" t="str">
            <v>1.2.1.1/16/I/001</v>
          </cell>
        </row>
        <row r="337">
          <cell r="C337" t="str">
            <v>Noraidīts</v>
          </cell>
          <cell r="D337" t="str">
            <v>1.2.1.4/16/A/001</v>
          </cell>
        </row>
        <row r="338">
          <cell r="C338" t="str">
            <v>Noraidīts</v>
          </cell>
          <cell r="D338" t="str">
            <v>1.2.1.4/16/A/002</v>
          </cell>
        </row>
        <row r="339">
          <cell r="C339" t="str">
            <v>Noraidīts</v>
          </cell>
          <cell r="D339" t="str">
            <v>1.2.1.4/16/A/003</v>
          </cell>
        </row>
        <row r="340">
          <cell r="C340" t="str">
            <v>Noraidīts</v>
          </cell>
          <cell r="D340" t="str">
            <v>1.2.1.4/16/A/004</v>
          </cell>
        </row>
        <row r="341">
          <cell r="C341" t="str">
            <v>Noraidīts</v>
          </cell>
          <cell r="D341" t="str">
            <v>1.2.1.4/16/A/005</v>
          </cell>
        </row>
        <row r="342">
          <cell r="C342" t="str">
            <v>Noraidīts</v>
          </cell>
          <cell r="D342" t="str">
            <v>1.2.1.4/16/A/006</v>
          </cell>
        </row>
        <row r="343">
          <cell r="C343" t="str">
            <v>Noraidīts</v>
          </cell>
          <cell r="D343" t="str">
            <v>1.2.1.4/16/A/009</v>
          </cell>
        </row>
        <row r="344">
          <cell r="C344" t="str">
            <v>Noraidīts</v>
          </cell>
          <cell r="D344" t="str">
            <v>1.2.1.4/16/A/010</v>
          </cell>
        </row>
        <row r="345">
          <cell r="C345" t="str">
            <v>Noraidīts</v>
          </cell>
          <cell r="D345" t="str">
            <v>1.2.1.4/16/A/013</v>
          </cell>
        </row>
        <row r="346">
          <cell r="C346" t="str">
            <v>Noraidīts</v>
          </cell>
          <cell r="D346" t="str">
            <v>1.2.1.4/16/A/017</v>
          </cell>
        </row>
        <row r="347">
          <cell r="C347" t="str">
            <v>Noraidīts</v>
          </cell>
          <cell r="D347" t="str">
            <v>1.2.1.4/16/A/019</v>
          </cell>
        </row>
        <row r="348">
          <cell r="C348" t="str">
            <v>Noraidīts</v>
          </cell>
          <cell r="D348" t="str">
            <v>1.2.1.4/16/A/020</v>
          </cell>
        </row>
        <row r="349">
          <cell r="C349" t="str">
            <v>Noraidīts</v>
          </cell>
          <cell r="D349" t="str">
            <v>1.2.1.4/16/A/022</v>
          </cell>
        </row>
        <row r="350">
          <cell r="C350" t="str">
            <v>Noraidīts</v>
          </cell>
          <cell r="D350" t="str">
            <v>1.2.1.4/16/A/023</v>
          </cell>
        </row>
        <row r="351">
          <cell r="C351" t="str">
            <v>Noraidīts</v>
          </cell>
          <cell r="D351" t="str">
            <v>1.2.1.4/16/A/025</v>
          </cell>
        </row>
        <row r="352">
          <cell r="C352" t="str">
            <v>Noraidīts</v>
          </cell>
          <cell r="D352" t="str">
            <v>1.2.1.4/16/A/026</v>
          </cell>
        </row>
        <row r="353">
          <cell r="C353" t="str">
            <v>Noraidīts</v>
          </cell>
          <cell r="D353" t="str">
            <v>1.2.1.4/16/A/027</v>
          </cell>
        </row>
        <row r="354">
          <cell r="C354" t="str">
            <v>Noraidīts</v>
          </cell>
          <cell r="D354" t="str">
            <v>1.2.1.4/16/A/029</v>
          </cell>
        </row>
        <row r="355">
          <cell r="C355" t="str">
            <v>Noraidīts</v>
          </cell>
          <cell r="D355" t="str">
            <v>1.2.1.4/16/A/030</v>
          </cell>
        </row>
        <row r="356">
          <cell r="C356" t="str">
            <v>Noraidīts</v>
          </cell>
          <cell r="D356" t="str">
            <v>1.2.1.4/16/A/035</v>
          </cell>
        </row>
        <row r="357">
          <cell r="C357" t="str">
            <v>Noraidīts</v>
          </cell>
          <cell r="D357" t="str">
            <v>1.2.1.4/16/A/036</v>
          </cell>
        </row>
        <row r="358">
          <cell r="C358" t="str">
            <v>Noraidīts</v>
          </cell>
          <cell r="D358" t="str">
            <v>1.2.1.4/16/A/037</v>
          </cell>
        </row>
        <row r="359">
          <cell r="C359" t="str">
            <v>Noraidīts</v>
          </cell>
          <cell r="D359" t="str">
            <v>1.2.1.4/16/A/039</v>
          </cell>
        </row>
        <row r="360">
          <cell r="C360" t="str">
            <v>Noraidīts</v>
          </cell>
          <cell r="D360" t="str">
            <v>1.2.1.4/16/A/041</v>
          </cell>
        </row>
        <row r="361">
          <cell r="C361" t="str">
            <v>Līgums</v>
          </cell>
          <cell r="D361" t="str">
            <v>1.2.1.4/16/A/007</v>
          </cell>
        </row>
        <row r="362">
          <cell r="C362" t="str">
            <v>Līgums</v>
          </cell>
          <cell r="D362" t="str">
            <v>1.2.1.4/16/A/008</v>
          </cell>
        </row>
        <row r="363">
          <cell r="C363" t="str">
            <v>Līgums</v>
          </cell>
          <cell r="D363" t="str">
            <v>1.2.1.4/16/A/011</v>
          </cell>
        </row>
        <row r="364">
          <cell r="C364" t="str">
            <v>Līgums</v>
          </cell>
          <cell r="D364" t="str">
            <v>1.2.1.4/16/A/012</v>
          </cell>
        </row>
        <row r="365">
          <cell r="C365" t="str">
            <v>Līgums</v>
          </cell>
          <cell r="D365" t="str">
            <v>1.2.1.4/16/A/014</v>
          </cell>
        </row>
        <row r="366">
          <cell r="C366" t="str">
            <v>Līgums</v>
          </cell>
          <cell r="D366" t="str">
            <v>1.2.1.4/16/A/015</v>
          </cell>
        </row>
        <row r="367">
          <cell r="C367" t="str">
            <v>Līgums</v>
          </cell>
          <cell r="D367" t="str">
            <v>1.2.1.4/16/A/016</v>
          </cell>
        </row>
        <row r="368">
          <cell r="C368" t="str">
            <v>Līgums</v>
          </cell>
          <cell r="D368" t="str">
            <v>1.2.1.4/16/A/018</v>
          </cell>
        </row>
        <row r="369">
          <cell r="C369" t="str">
            <v>Līgums</v>
          </cell>
          <cell r="D369" t="str">
            <v>1.2.1.4/16/A/021</v>
          </cell>
        </row>
        <row r="370">
          <cell r="C370" t="str">
            <v>Līgums</v>
          </cell>
          <cell r="D370" t="str">
            <v>1.2.1.4/16/A/024</v>
          </cell>
        </row>
        <row r="371">
          <cell r="C371" t="str">
            <v>Līgums</v>
          </cell>
          <cell r="D371" t="str">
            <v>1.2.1.4/16/A/028</v>
          </cell>
        </row>
        <row r="372">
          <cell r="C372" t="str">
            <v>Līgums</v>
          </cell>
          <cell r="D372" t="str">
            <v>1.2.1.4/16/A/031</v>
          </cell>
        </row>
        <row r="373">
          <cell r="C373" t="str">
            <v>Līgums</v>
          </cell>
          <cell r="D373" t="str">
            <v>1.2.1.4/16/A/032</v>
          </cell>
        </row>
        <row r="374">
          <cell r="C374" t="str">
            <v>Līgums</v>
          </cell>
          <cell r="D374" t="str">
            <v>1.2.1.4/16/A/033</v>
          </cell>
        </row>
        <row r="375">
          <cell r="C375" t="str">
            <v>Līgums</v>
          </cell>
          <cell r="D375" t="str">
            <v>1.2.1.4/16/A/034</v>
          </cell>
        </row>
        <row r="376">
          <cell r="C376" t="str">
            <v>Līgums</v>
          </cell>
          <cell r="D376" t="str">
            <v>1.2.1.4/16/A/038</v>
          </cell>
        </row>
        <row r="377">
          <cell r="C377" t="str">
            <v>Līgums</v>
          </cell>
          <cell r="D377" t="str">
            <v>1.2.1.4/16/A/040</v>
          </cell>
        </row>
        <row r="378">
          <cell r="C378" t="str">
            <v>Līgums</v>
          </cell>
          <cell r="D378" t="str">
            <v>1.2.1.1/16/A/002</v>
          </cell>
        </row>
        <row r="379">
          <cell r="C379" t="str">
            <v>Līgums</v>
          </cell>
          <cell r="D379" t="str">
            <v>1.2.1.1/16/A/003</v>
          </cell>
        </row>
        <row r="380">
          <cell r="C380" t="str">
            <v>Līgums</v>
          </cell>
          <cell r="D380" t="str">
            <v>1.2.1.1/16/A/004</v>
          </cell>
        </row>
        <row r="381">
          <cell r="C381" t="str">
            <v>Līgums</v>
          </cell>
          <cell r="D381" t="str">
            <v>1.2.1.1/16/A/005</v>
          </cell>
        </row>
        <row r="382">
          <cell r="C382" t="str">
            <v>Līgums</v>
          </cell>
          <cell r="D382" t="str">
            <v>1.2.1.1/16/A/006</v>
          </cell>
        </row>
        <row r="383">
          <cell r="C383" t="str">
            <v>Līgums</v>
          </cell>
          <cell r="D383" t="str">
            <v>1.2.1.1/16/A/007</v>
          </cell>
        </row>
        <row r="384">
          <cell r="C384" t="str">
            <v>Līgums</v>
          </cell>
          <cell r="D384" t="str">
            <v>1.2.1.1/16/A/008</v>
          </cell>
        </row>
        <row r="385">
          <cell r="C385" t="str">
            <v>Līgums</v>
          </cell>
          <cell r="D385" t="str">
            <v>1.2.1.1/16/A/009</v>
          </cell>
        </row>
        <row r="386">
          <cell r="C386" t="str">
            <v>Līgums</v>
          </cell>
          <cell r="D386" t="str">
            <v>1.2.1.2/16/I/001</v>
          </cell>
        </row>
        <row r="387">
          <cell r="C387" t="str">
            <v>Noraidīts</v>
          </cell>
          <cell r="D387" t="str">
            <v>1.2.2.1/16/A/005</v>
          </cell>
        </row>
        <row r="388">
          <cell r="C388" t="str">
            <v>Noraidīts</v>
          </cell>
          <cell r="D388" t="str">
            <v>1.2.2.1/16/A/012</v>
          </cell>
        </row>
        <row r="389">
          <cell r="C389" t="str">
            <v>Noraidīts</v>
          </cell>
          <cell r="D389" t="str">
            <v>1.2.2.1/16/A/013</v>
          </cell>
        </row>
        <row r="390">
          <cell r="C390" t="str">
            <v>Līgums</v>
          </cell>
          <cell r="D390" t="str">
            <v>1.2.2.1/16/A/001</v>
          </cell>
        </row>
        <row r="391">
          <cell r="C391" t="str">
            <v>Līgums</v>
          </cell>
          <cell r="D391" t="str">
            <v>1.2.2.1/16/A/002</v>
          </cell>
        </row>
        <row r="392">
          <cell r="C392" t="str">
            <v>Līgums</v>
          </cell>
          <cell r="D392" t="str">
            <v>1.2.2.1/16/A/003</v>
          </cell>
        </row>
        <row r="393">
          <cell r="C393" t="str">
            <v>Līgums</v>
          </cell>
          <cell r="D393" t="str">
            <v>1.2.2.1/16/A/004</v>
          </cell>
        </row>
        <row r="394">
          <cell r="C394" t="str">
            <v>Līgums</v>
          </cell>
          <cell r="D394" t="str">
            <v>1.2.2.1/16/A/006</v>
          </cell>
        </row>
        <row r="395">
          <cell r="C395" t="str">
            <v>Līgums</v>
          </cell>
          <cell r="D395" t="str">
            <v>1.2.2.1/16/A/007</v>
          </cell>
        </row>
        <row r="396">
          <cell r="C396" t="str">
            <v>Līgums</v>
          </cell>
          <cell r="D396" t="str">
            <v>1.2.2.1/16/A/008</v>
          </cell>
        </row>
        <row r="397">
          <cell r="C397" t="str">
            <v>Līgums</v>
          </cell>
          <cell r="D397" t="str">
            <v>1.2.2.1/16/A/009</v>
          </cell>
        </row>
        <row r="398">
          <cell r="C398" t="str">
            <v>Līgums</v>
          </cell>
          <cell r="D398" t="str">
            <v>1.2.2.1/16/A/010</v>
          </cell>
        </row>
        <row r="399">
          <cell r="C399" t="str">
            <v>Līgums</v>
          </cell>
          <cell r="D399" t="str">
            <v>1.2.2.1/16/A/011</v>
          </cell>
        </row>
        <row r="400">
          <cell r="C400" t="str">
            <v>Līgums</v>
          </cell>
          <cell r="D400" t="str">
            <v>1.2.2.2/16/I/001</v>
          </cell>
        </row>
        <row r="401">
          <cell r="C401" t="str">
            <v>Līgums</v>
          </cell>
          <cell r="D401" t="str">
            <v>1.2.2.3/16/I/001</v>
          </cell>
        </row>
        <row r="402">
          <cell r="C402" t="str">
            <v>Līgums</v>
          </cell>
          <cell r="D402" t="str">
            <v>1.2.2.3/16/I/002</v>
          </cell>
        </row>
        <row r="403">
          <cell r="C403" t="str">
            <v>Līgums</v>
          </cell>
          <cell r="D403" t="str">
            <v>1.2.2.3/16/I/003</v>
          </cell>
        </row>
        <row r="404">
          <cell r="C404" t="str">
            <v>Līgums</v>
          </cell>
          <cell r="D404" t="str">
            <v>10.1.1.0/15/TP/001</v>
          </cell>
        </row>
        <row r="405">
          <cell r="C405" t="str">
            <v>Līgums</v>
          </cell>
          <cell r="D405" t="str">
            <v>10.1.2.0/15/TP/001</v>
          </cell>
        </row>
        <row r="406">
          <cell r="C406" t="str">
            <v>Līgums</v>
          </cell>
          <cell r="D406" t="str">
            <v>10.1.2.0/15/TP/002</v>
          </cell>
        </row>
        <row r="407">
          <cell r="C407" t="str">
            <v>Līgums</v>
          </cell>
          <cell r="D407" t="str">
            <v>10.1.2.0/15/TP/003</v>
          </cell>
        </row>
        <row r="408">
          <cell r="C408" t="str">
            <v>Līgums</v>
          </cell>
          <cell r="D408" t="str">
            <v>10.1.2.0/15/TP/004</v>
          </cell>
        </row>
        <row r="409">
          <cell r="C409" t="str">
            <v>Līgums</v>
          </cell>
          <cell r="D409" t="str">
            <v>10.1.2.0/15/TP/005</v>
          </cell>
        </row>
        <row r="410">
          <cell r="C410" t="str">
            <v>Līgums</v>
          </cell>
          <cell r="D410" t="str">
            <v>10.1.2.0/15/TP/006</v>
          </cell>
        </row>
        <row r="411">
          <cell r="C411" t="str">
            <v>Līgums</v>
          </cell>
          <cell r="D411" t="str">
            <v>10.1.2.0/15/TP/007</v>
          </cell>
        </row>
        <row r="412">
          <cell r="C412" t="str">
            <v>Līgums</v>
          </cell>
          <cell r="D412" t="str">
            <v>10.1.2.0/15/TP/008</v>
          </cell>
        </row>
        <row r="413">
          <cell r="C413" t="str">
            <v>Līgums</v>
          </cell>
          <cell r="D413" t="str">
            <v>10.1.2.0/15/TP/009</v>
          </cell>
        </row>
        <row r="414">
          <cell r="C414" t="str">
            <v>Līgums</v>
          </cell>
          <cell r="D414" t="str">
            <v>10.1.2.0/15/TP/010</v>
          </cell>
        </row>
        <row r="415">
          <cell r="C415" t="str">
            <v>Līgums</v>
          </cell>
          <cell r="D415" t="str">
            <v>10.1.2.0/15/TP/011</v>
          </cell>
        </row>
        <row r="416">
          <cell r="C416" t="str">
            <v>Atsaukts</v>
          </cell>
          <cell r="D416" t="str">
            <v>11.1.1.0/15/TP/019</v>
          </cell>
        </row>
        <row r="417">
          <cell r="C417" t="str">
            <v>Līgums</v>
          </cell>
          <cell r="D417" t="str">
            <v>11.1.1.0/15/TP/001</v>
          </cell>
        </row>
        <row r="418">
          <cell r="C418" t="str">
            <v>Līgums</v>
          </cell>
          <cell r="D418" t="str">
            <v>11.1.1.0/15/TP/002</v>
          </cell>
        </row>
        <row r="419">
          <cell r="C419" t="str">
            <v>Līgums</v>
          </cell>
          <cell r="D419" t="str">
            <v>11.1.1.0/15/TP/003</v>
          </cell>
        </row>
        <row r="420">
          <cell r="C420" t="str">
            <v>Līgums</v>
          </cell>
          <cell r="D420" t="str">
            <v>11.1.1.0/15/TP/004</v>
          </cell>
        </row>
        <row r="421">
          <cell r="C421" t="str">
            <v>Līgums</v>
          </cell>
          <cell r="D421" t="str">
            <v>11.1.1.0/15/TP/005</v>
          </cell>
        </row>
        <row r="422">
          <cell r="C422" t="str">
            <v>Līgums</v>
          </cell>
          <cell r="D422" t="str">
            <v>11.1.1.0/15/TP/006</v>
          </cell>
        </row>
        <row r="423">
          <cell r="C423" t="str">
            <v>Līgums</v>
          </cell>
          <cell r="D423" t="str">
            <v>11.1.1.0/15/TP/007</v>
          </cell>
        </row>
        <row r="424">
          <cell r="C424" t="str">
            <v>Līgums</v>
          </cell>
          <cell r="D424" t="str">
            <v>11.1.1.0/15/TP/008</v>
          </cell>
        </row>
        <row r="425">
          <cell r="C425" t="str">
            <v>Līgums</v>
          </cell>
          <cell r="D425" t="str">
            <v>11.1.1.0/15/TP/009</v>
          </cell>
        </row>
        <row r="426">
          <cell r="C426" t="str">
            <v>Līgums</v>
          </cell>
          <cell r="D426" t="str">
            <v>11.1.1.0/15/TP/010</v>
          </cell>
        </row>
        <row r="427">
          <cell r="C427" t="str">
            <v>Līgums</v>
          </cell>
          <cell r="D427" t="str">
            <v>11.1.1.0/15/TP/011</v>
          </cell>
        </row>
        <row r="428">
          <cell r="C428" t="str">
            <v>Līgums</v>
          </cell>
          <cell r="D428" t="str">
            <v>11.1.1.0/15/TP/012</v>
          </cell>
        </row>
        <row r="429">
          <cell r="C429" t="str">
            <v>Līgums</v>
          </cell>
          <cell r="D429" t="str">
            <v>11.1.1.0/15/TP/013</v>
          </cell>
        </row>
        <row r="430">
          <cell r="C430" t="str">
            <v>Līgums</v>
          </cell>
          <cell r="D430" t="str">
            <v>11.1.1.0/15/TP/014</v>
          </cell>
        </row>
        <row r="431">
          <cell r="C431" t="str">
            <v>Līgums</v>
          </cell>
          <cell r="D431" t="str">
            <v>11.1.1.0/15/TP/015</v>
          </cell>
        </row>
        <row r="432">
          <cell r="C432" t="str">
            <v>Līgums</v>
          </cell>
          <cell r="D432" t="str">
            <v>11.1.1.0/15/TP/016</v>
          </cell>
        </row>
        <row r="433">
          <cell r="C433" t="str">
            <v>Līgums</v>
          </cell>
          <cell r="D433" t="str">
            <v>11.1.1.0/15/TP/017</v>
          </cell>
        </row>
        <row r="434">
          <cell r="C434" t="str">
            <v>Līgums</v>
          </cell>
          <cell r="D434" t="str">
            <v>11.1.1.0/15/TP/018</v>
          </cell>
        </row>
        <row r="435">
          <cell r="C435" t="str">
            <v>Līgums</v>
          </cell>
          <cell r="D435" t="str">
            <v>11.1.1.0/15/TP/020</v>
          </cell>
        </row>
        <row r="436">
          <cell r="C436" t="str">
            <v>Līgums</v>
          </cell>
          <cell r="D436" t="str">
            <v>11.1.1.0/15/TP/021</v>
          </cell>
        </row>
        <row r="437">
          <cell r="C437" t="str">
            <v>Līgums</v>
          </cell>
          <cell r="D437" t="str">
            <v>11.1.1.0/15/TP/022</v>
          </cell>
        </row>
        <row r="438">
          <cell r="C438" t="str">
            <v>Līgums</v>
          </cell>
          <cell r="D438" t="str">
            <v>12.1.1.0/15/TP/001</v>
          </cell>
        </row>
        <row r="439">
          <cell r="C439" t="str">
            <v>Līgums</v>
          </cell>
          <cell r="D439" t="str">
            <v>12.1.1.0/15/TP/002</v>
          </cell>
        </row>
        <row r="440">
          <cell r="C440" t="str">
            <v>Līgums</v>
          </cell>
          <cell r="D440" t="str">
            <v>12.1.1.0/15/TP/003</v>
          </cell>
        </row>
        <row r="441">
          <cell r="C441" t="str">
            <v>Līgums</v>
          </cell>
          <cell r="D441" t="str">
            <v>12.1.1.0/15/TP/004</v>
          </cell>
        </row>
        <row r="442">
          <cell r="C442" t="str">
            <v>Līgums</v>
          </cell>
          <cell r="D442" t="str">
            <v>12.1.1.0/15/TP/005</v>
          </cell>
        </row>
        <row r="443">
          <cell r="C443" t="str">
            <v>Līgums</v>
          </cell>
          <cell r="D443" t="str">
            <v>2.1.1.0/16/I/001</v>
          </cell>
        </row>
        <row r="444">
          <cell r="C444" t="str">
            <v>Iesniegts</v>
          </cell>
          <cell r="D444" t="str">
            <v>2.2.1.1/17/I/026</v>
          </cell>
        </row>
        <row r="445">
          <cell r="C445" t="str">
            <v>Iesniegts</v>
          </cell>
          <cell r="D445" t="str">
            <v>2.2.1.1/17/I/035</v>
          </cell>
        </row>
        <row r="446">
          <cell r="C446" t="str">
            <v>Līgums</v>
          </cell>
          <cell r="D446" t="str">
            <v>2.2.1.1/16/I/001</v>
          </cell>
        </row>
        <row r="447">
          <cell r="C447" t="str">
            <v>Līgums</v>
          </cell>
          <cell r="D447" t="str">
            <v>2.2.1.1/16/I/002</v>
          </cell>
        </row>
        <row r="448">
          <cell r="C448" t="str">
            <v>Līgums</v>
          </cell>
          <cell r="D448" t="str">
            <v>2.2.1.1/16/I/003</v>
          </cell>
        </row>
        <row r="449">
          <cell r="C449" t="str">
            <v>Līgums</v>
          </cell>
          <cell r="D449" t="str">
            <v>2.2.1.1/16/I/004</v>
          </cell>
        </row>
        <row r="450">
          <cell r="C450" t="str">
            <v>Līgums</v>
          </cell>
          <cell r="D450" t="str">
            <v>2.2.1.1/17/I/001</v>
          </cell>
        </row>
        <row r="451">
          <cell r="C451" t="str">
            <v>Līgums</v>
          </cell>
          <cell r="D451" t="str">
            <v>2.2.1.1/17/I/002</v>
          </cell>
        </row>
        <row r="452">
          <cell r="C452" t="str">
            <v>Līgums</v>
          </cell>
          <cell r="D452" t="str">
            <v>2.2.1.1/17/I/003</v>
          </cell>
        </row>
        <row r="453">
          <cell r="C453" t="str">
            <v>Līgums</v>
          </cell>
          <cell r="D453" t="str">
            <v>2.2.1.1/17/I/004</v>
          </cell>
        </row>
        <row r="454">
          <cell r="C454" t="str">
            <v>Līgums</v>
          </cell>
          <cell r="D454" t="str">
            <v>2.2.1.1/17/I/008</v>
          </cell>
        </row>
        <row r="455">
          <cell r="C455" t="str">
            <v>Līgums</v>
          </cell>
          <cell r="D455" t="str">
            <v>2.2.1.1/17/I/009</v>
          </cell>
        </row>
        <row r="456">
          <cell r="C456" t="str">
            <v>Līgums</v>
          </cell>
          <cell r="D456" t="str">
            <v>2.2.1.1/17/I/015</v>
          </cell>
        </row>
        <row r="457">
          <cell r="C457" t="str">
            <v>Līgums</v>
          </cell>
          <cell r="D457" t="str">
            <v>2.2.1.1/17/I/021</v>
          </cell>
        </row>
        <row r="458">
          <cell r="C458" t="str">
            <v>Apstiprināts ar nosacījumu</v>
          </cell>
          <cell r="D458" t="str">
            <v>2.2.1.1/17/I/006</v>
          </cell>
        </row>
        <row r="459">
          <cell r="C459" t="str">
            <v>Apstiprināts ar nosacījumu</v>
          </cell>
          <cell r="D459" t="str">
            <v>2.2.1.1/17/I/010</v>
          </cell>
        </row>
        <row r="460">
          <cell r="C460" t="str">
            <v>Apstiprināts ar nosacījumu</v>
          </cell>
          <cell r="D460" t="str">
            <v>2.2.1.1/17/I/011</v>
          </cell>
        </row>
        <row r="461">
          <cell r="C461" t="str">
            <v>Apstiprināts ar nosacījumu</v>
          </cell>
          <cell r="D461" t="str">
            <v>2.2.1.1/17/I/012</v>
          </cell>
        </row>
        <row r="462">
          <cell r="C462" t="str">
            <v>Apstiprināts ar nosacījumu</v>
          </cell>
          <cell r="D462" t="str">
            <v>2.2.1.1/17/I/013</v>
          </cell>
        </row>
        <row r="463">
          <cell r="C463" t="str">
            <v>Apstiprināts ar nosacījumu</v>
          </cell>
          <cell r="D463" t="str">
            <v>2.2.1.1/17/I/017</v>
          </cell>
        </row>
        <row r="464">
          <cell r="C464" t="str">
            <v>Apstiprināts ar nosacījumu</v>
          </cell>
          <cell r="D464" t="str">
            <v>2.2.1.1/17/I/019</v>
          </cell>
        </row>
        <row r="465">
          <cell r="C465" t="str">
            <v>Apstiprināts ar nosacījumu</v>
          </cell>
          <cell r="D465" t="str">
            <v>2.2.1.1/17/I/022</v>
          </cell>
        </row>
        <row r="466">
          <cell r="C466" t="str">
            <v>Apstiprināts ar nosacījumu</v>
          </cell>
          <cell r="D466" t="str">
            <v>2.2.1.1/17/I/023</v>
          </cell>
        </row>
        <row r="467">
          <cell r="C467" t="str">
            <v>Apstiprināts ar nosacījumu</v>
          </cell>
          <cell r="D467" t="str">
            <v>2.2.1.1/17/I/024</v>
          </cell>
        </row>
        <row r="468">
          <cell r="C468" t="str">
            <v>Apstiprināts ar nosacījumu</v>
          </cell>
          <cell r="D468" t="str">
            <v>2.2.1.1/17/I/025</v>
          </cell>
        </row>
        <row r="469">
          <cell r="C469" t="str">
            <v>Apstiprināts ar nosacījumu</v>
          </cell>
          <cell r="D469" t="str">
            <v>2.2.1.1/17/I/027</v>
          </cell>
        </row>
        <row r="470">
          <cell r="C470" t="str">
            <v>Apstiprināts ar nosacījumu</v>
          </cell>
          <cell r="D470" t="str">
            <v>2.2.1.1/17/I/030</v>
          </cell>
        </row>
        <row r="471">
          <cell r="C471" t="str">
            <v>Apstiprināts ar nosacījumu</v>
          </cell>
          <cell r="D471" t="str">
            <v>2.2.1.1/17/I/031</v>
          </cell>
        </row>
        <row r="472">
          <cell r="C472" t="str">
            <v>Apstiprināts ar nosacījumu</v>
          </cell>
          <cell r="D472" t="str">
            <v>2.2.1.1/17/I/032</v>
          </cell>
        </row>
        <row r="473">
          <cell r="C473" t="str">
            <v>Apstiprināts ar nosacījumu</v>
          </cell>
          <cell r="D473" t="str">
            <v>2.2.1.1/17/I/033</v>
          </cell>
        </row>
        <row r="474">
          <cell r="C474" t="str">
            <v>Apstiprināts ar nosacījumu</v>
          </cell>
          <cell r="D474" t="str">
            <v>2.2.1.1/17/I/034</v>
          </cell>
        </row>
        <row r="475">
          <cell r="C475" t="str">
            <v>Apstiprināts ar nosacījumu 2</v>
          </cell>
          <cell r="D475" t="str">
            <v>2.2.1.1/17/I/005</v>
          </cell>
        </row>
        <row r="476">
          <cell r="C476" t="str">
            <v>Apstiprināts ar nosacījumu 2</v>
          </cell>
          <cell r="D476" t="str">
            <v>2.2.1.1/17/I/007</v>
          </cell>
        </row>
        <row r="477">
          <cell r="C477" t="str">
            <v>Iesniegti precizējumi</v>
          </cell>
          <cell r="D477" t="str">
            <v>2.2.1.1/17/I/014</v>
          </cell>
        </row>
        <row r="478">
          <cell r="C478" t="str">
            <v>Iesniegti precizējumi</v>
          </cell>
          <cell r="D478" t="str">
            <v>2.2.1.1/17/I/016</v>
          </cell>
        </row>
        <row r="479">
          <cell r="C479" t="str">
            <v>Iesniegti precizējumi</v>
          </cell>
          <cell r="D479" t="str">
            <v>2.2.1.1/17/I/018</v>
          </cell>
        </row>
        <row r="480">
          <cell r="C480" t="str">
            <v>Iesniegti precizējumi</v>
          </cell>
          <cell r="D480" t="str">
            <v>2.2.1.1/17/I/020</v>
          </cell>
        </row>
        <row r="481">
          <cell r="C481" t="str">
            <v>Iesniegti precizējumi</v>
          </cell>
          <cell r="D481" t="str">
            <v>2.2.1.1/17/I/028</v>
          </cell>
        </row>
        <row r="482">
          <cell r="C482" t="str">
            <v>Iesniegti precizējumi</v>
          </cell>
          <cell r="D482" t="str">
            <v>2.2.1.1/17/I/029</v>
          </cell>
        </row>
        <row r="483">
          <cell r="C483" t="str">
            <v>Līgums</v>
          </cell>
          <cell r="D483" t="str">
            <v>2.2.1.2/17/I/001</v>
          </cell>
        </row>
        <row r="484">
          <cell r="C484" t="str">
            <v>Noraidīts</v>
          </cell>
          <cell r="D484" t="str">
            <v>3.1.1.5/16/A/001</v>
          </cell>
        </row>
        <row r="485">
          <cell r="C485" t="str">
            <v>Noraidīts</v>
          </cell>
          <cell r="D485" t="str">
            <v>3.1.1.5/16/A/006</v>
          </cell>
        </row>
        <row r="486">
          <cell r="C486" t="str">
            <v>Noraidīts</v>
          </cell>
          <cell r="D486" t="str">
            <v>3.1.1.5/16/A/007</v>
          </cell>
        </row>
        <row r="487">
          <cell r="C487" t="str">
            <v>Noraidīts</v>
          </cell>
          <cell r="D487" t="str">
            <v>3.1.1.5/16/A/011</v>
          </cell>
        </row>
        <row r="488">
          <cell r="C488" t="str">
            <v>Noraidīts</v>
          </cell>
          <cell r="D488" t="str">
            <v>3.1.1.5/16/A/014</v>
          </cell>
        </row>
        <row r="489">
          <cell r="C489" t="str">
            <v>Noraidīts</v>
          </cell>
          <cell r="D489" t="str">
            <v>3.1.1.5/16/A/018</v>
          </cell>
        </row>
        <row r="490">
          <cell r="C490" t="str">
            <v>Noraidīts</v>
          </cell>
          <cell r="D490" t="str">
            <v>3.1.1.5/16/A/019</v>
          </cell>
        </row>
        <row r="491">
          <cell r="C491" t="str">
            <v>Noraidīts</v>
          </cell>
          <cell r="D491" t="str">
            <v>3.1.1.5/16/A/020</v>
          </cell>
        </row>
        <row r="492">
          <cell r="C492" t="str">
            <v>Noraidīts</v>
          </cell>
          <cell r="D492" t="str">
            <v>3.1.1.5/16/A/021</v>
          </cell>
        </row>
        <row r="493">
          <cell r="C493" t="str">
            <v>Noraidīts</v>
          </cell>
          <cell r="D493" t="str">
            <v>3.1.1.5/16/A/027</v>
          </cell>
        </row>
        <row r="494">
          <cell r="C494" t="str">
            <v>Noraidīts</v>
          </cell>
          <cell r="D494" t="str">
            <v>3.1.1.5/16/A/028</v>
          </cell>
        </row>
        <row r="495">
          <cell r="C495" t="str">
            <v>Noraidīts</v>
          </cell>
          <cell r="D495" t="str">
            <v>3.1.1.5/16/A/030</v>
          </cell>
        </row>
        <row r="496">
          <cell r="C496" t="str">
            <v>Noraidīts</v>
          </cell>
          <cell r="D496" t="str">
            <v>3.1.1.5/16/A/031</v>
          </cell>
        </row>
        <row r="497">
          <cell r="C497" t="str">
            <v>Noraidīts</v>
          </cell>
          <cell r="D497" t="str">
            <v>3.1.1.5/16/A/032</v>
          </cell>
        </row>
        <row r="498">
          <cell r="C498" t="str">
            <v>Noraidīts</v>
          </cell>
          <cell r="D498" t="str">
            <v>3.1.1.5/16/A/041</v>
          </cell>
        </row>
        <row r="499">
          <cell r="C499" t="str">
            <v>Noraidīts</v>
          </cell>
          <cell r="D499" t="str">
            <v>3.1.1.5/16/A/042</v>
          </cell>
        </row>
        <row r="500">
          <cell r="C500" t="str">
            <v>Noraidīts</v>
          </cell>
          <cell r="D500" t="str">
            <v>3.1.1.5/16/A/043</v>
          </cell>
        </row>
        <row r="501">
          <cell r="C501" t="str">
            <v>Noraidīts</v>
          </cell>
          <cell r="D501" t="str">
            <v>3.1.1.5/16/A/045</v>
          </cell>
        </row>
        <row r="502">
          <cell r="C502" t="str">
            <v>Noraidīts</v>
          </cell>
          <cell r="D502" t="str">
            <v>3.1.1.5/16/A/046</v>
          </cell>
        </row>
        <row r="503">
          <cell r="C503" t="str">
            <v>Noraidīts</v>
          </cell>
          <cell r="D503" t="str">
            <v>3.1.1.5/16/A/047</v>
          </cell>
        </row>
        <row r="504">
          <cell r="C504" t="str">
            <v>Noraidīts</v>
          </cell>
          <cell r="D504" t="str">
            <v>3.1.1.5/16/A/049</v>
          </cell>
        </row>
        <row r="505">
          <cell r="C505" t="str">
            <v>Noraidīts</v>
          </cell>
          <cell r="D505" t="str">
            <v>3.1.1.5/16/A/052</v>
          </cell>
        </row>
        <row r="506">
          <cell r="C506" t="str">
            <v>Noraidīts</v>
          </cell>
          <cell r="D506" t="str">
            <v>3.1.1.5/16/A/053</v>
          </cell>
        </row>
        <row r="507">
          <cell r="C507" t="str">
            <v>Noraidīts</v>
          </cell>
          <cell r="D507" t="str">
            <v>3.1.1.5/16/A/056</v>
          </cell>
        </row>
        <row r="508">
          <cell r="C508" t="str">
            <v>Noraidīts</v>
          </cell>
          <cell r="D508" t="str">
            <v>3.1.1.5/16/A/057</v>
          </cell>
        </row>
        <row r="509">
          <cell r="C509" t="str">
            <v>Noraidīts</v>
          </cell>
          <cell r="D509" t="str">
            <v>3.1.1.5/16/A/058</v>
          </cell>
        </row>
        <row r="510">
          <cell r="C510" t="str">
            <v>Noraidīts</v>
          </cell>
          <cell r="D510" t="str">
            <v>3.1.1.5/16/A/059</v>
          </cell>
        </row>
        <row r="511">
          <cell r="C511" t="str">
            <v>Noraidīts</v>
          </cell>
          <cell r="D511" t="str">
            <v>3.1.1.5/16/A/060</v>
          </cell>
        </row>
        <row r="512">
          <cell r="C512" t="str">
            <v>Noraidīts</v>
          </cell>
          <cell r="D512" t="str">
            <v>3.1.1.5/16/A/061</v>
          </cell>
        </row>
        <row r="513">
          <cell r="C513" t="str">
            <v>Noraidīts</v>
          </cell>
          <cell r="D513" t="str">
            <v>3.1.1.5/16/A/062</v>
          </cell>
        </row>
        <row r="514">
          <cell r="C514" t="str">
            <v>Noraidīts</v>
          </cell>
          <cell r="D514" t="str">
            <v>3.1.1.5/16/A/064</v>
          </cell>
        </row>
        <row r="515">
          <cell r="C515" t="str">
            <v>Noraidīts</v>
          </cell>
          <cell r="D515" t="str">
            <v>3.1.1.5/16/A/065</v>
          </cell>
        </row>
        <row r="516">
          <cell r="C516" t="str">
            <v>Noraidīts</v>
          </cell>
          <cell r="D516" t="str">
            <v>3.1.1.5/16/A/067</v>
          </cell>
        </row>
        <row r="517">
          <cell r="C517" t="str">
            <v>Noraidīts</v>
          </cell>
          <cell r="D517" t="str">
            <v>3.1.1.5/16/A/069</v>
          </cell>
        </row>
        <row r="518">
          <cell r="C518" t="str">
            <v>Noraidīts</v>
          </cell>
          <cell r="D518" t="str">
            <v>3.1.1.5/16/A/071</v>
          </cell>
        </row>
        <row r="519">
          <cell r="C519" t="str">
            <v>Noraidīts</v>
          </cell>
          <cell r="D519" t="str">
            <v>3.1.1.5/16/A/074</v>
          </cell>
        </row>
        <row r="520">
          <cell r="C520" t="str">
            <v>Noraidīts</v>
          </cell>
          <cell r="D520" t="str">
            <v>3.1.1.5/16/A/075</v>
          </cell>
        </row>
        <row r="521">
          <cell r="C521" t="str">
            <v>Līgums</v>
          </cell>
          <cell r="D521" t="str">
            <v>3.1.1.5/16/A/002</v>
          </cell>
        </row>
        <row r="522">
          <cell r="C522" t="str">
            <v>Līgums</v>
          </cell>
          <cell r="D522" t="str">
            <v>3.1.1.5/16/A/004</v>
          </cell>
        </row>
        <row r="523">
          <cell r="C523" t="str">
            <v>Līgums</v>
          </cell>
          <cell r="D523" t="str">
            <v>3.1.1.5/16/A/005</v>
          </cell>
        </row>
        <row r="524">
          <cell r="C524" t="str">
            <v>Līgums</v>
          </cell>
          <cell r="D524" t="str">
            <v>3.1.1.5/16/A/008</v>
          </cell>
        </row>
        <row r="525">
          <cell r="C525" t="str">
            <v>Līgums</v>
          </cell>
          <cell r="D525" t="str">
            <v>3.1.1.5/16/A/009</v>
          </cell>
        </row>
        <row r="526">
          <cell r="C526" t="str">
            <v>Līgums</v>
          </cell>
          <cell r="D526" t="str">
            <v>3.1.1.5/16/A/010</v>
          </cell>
        </row>
        <row r="527">
          <cell r="C527" t="str">
            <v>Līgums</v>
          </cell>
          <cell r="D527" t="str">
            <v>3.1.1.5/16/A/012</v>
          </cell>
        </row>
        <row r="528">
          <cell r="C528" t="str">
            <v>Līgums</v>
          </cell>
          <cell r="D528" t="str">
            <v>3.1.1.5/16/A/013</v>
          </cell>
        </row>
        <row r="529">
          <cell r="C529" t="str">
            <v>Līgums</v>
          </cell>
          <cell r="D529" t="str">
            <v>3.1.1.5/16/A/015</v>
          </cell>
        </row>
        <row r="530">
          <cell r="C530" t="str">
            <v>Līgums</v>
          </cell>
          <cell r="D530" t="str">
            <v>3.1.1.5/16/A/016</v>
          </cell>
        </row>
        <row r="531">
          <cell r="C531" t="str">
            <v>Līgums</v>
          </cell>
          <cell r="D531" t="str">
            <v>3.1.1.5/16/A/017</v>
          </cell>
        </row>
        <row r="532">
          <cell r="C532" t="str">
            <v>Līgums</v>
          </cell>
          <cell r="D532" t="str">
            <v>3.1.1.5/16/A/022</v>
          </cell>
        </row>
        <row r="533">
          <cell r="C533" t="str">
            <v>Līgums</v>
          </cell>
          <cell r="D533" t="str">
            <v>3.1.1.5/16/A/023</v>
          </cell>
        </row>
        <row r="534">
          <cell r="C534" t="str">
            <v>Līgums</v>
          </cell>
          <cell r="D534" t="str">
            <v>3.1.1.5/16/A/024</v>
          </cell>
        </row>
        <row r="535">
          <cell r="C535" t="str">
            <v>Līgums</v>
          </cell>
          <cell r="D535" t="str">
            <v>3.1.1.5/16/A/025</v>
          </cell>
        </row>
        <row r="536">
          <cell r="C536" t="str">
            <v>Līgums</v>
          </cell>
          <cell r="D536" t="str">
            <v>3.1.1.5/16/A/026</v>
          </cell>
        </row>
        <row r="537">
          <cell r="C537" t="str">
            <v>Līgums</v>
          </cell>
          <cell r="D537" t="str">
            <v>3.1.1.5/16/A/029</v>
          </cell>
        </row>
        <row r="538">
          <cell r="C538" t="str">
            <v>Līgums</v>
          </cell>
          <cell r="D538" t="str">
            <v>3.1.1.5/16/A/033</v>
          </cell>
        </row>
        <row r="539">
          <cell r="C539" t="str">
            <v>Līgums</v>
          </cell>
          <cell r="D539" t="str">
            <v>3.1.1.5/16/A/034</v>
          </cell>
        </row>
        <row r="540">
          <cell r="C540" t="str">
            <v>Līgums</v>
          </cell>
          <cell r="D540" t="str">
            <v>3.1.1.5/16/A/035</v>
          </cell>
        </row>
        <row r="541">
          <cell r="C541" t="str">
            <v>Līgums</v>
          </cell>
          <cell r="D541" t="str">
            <v>3.1.1.5/16/A/036</v>
          </cell>
        </row>
        <row r="542">
          <cell r="C542" t="str">
            <v>Līgums</v>
          </cell>
          <cell r="D542" t="str">
            <v>3.1.1.5/16/A/037</v>
          </cell>
        </row>
        <row r="543">
          <cell r="C543" t="str">
            <v>Līgums</v>
          </cell>
          <cell r="D543" t="str">
            <v>3.1.1.5/16/A/038</v>
          </cell>
        </row>
        <row r="544">
          <cell r="C544" t="str">
            <v>Līgums</v>
          </cell>
          <cell r="D544" t="str">
            <v>3.1.1.5/16/A/039</v>
          </cell>
        </row>
        <row r="545">
          <cell r="C545" t="str">
            <v>Līgums</v>
          </cell>
          <cell r="D545" t="str">
            <v>3.1.1.5/16/A/040</v>
          </cell>
        </row>
        <row r="546">
          <cell r="C546" t="str">
            <v>Līgums</v>
          </cell>
          <cell r="D546" t="str">
            <v>3.1.1.5/16/A/044</v>
          </cell>
        </row>
        <row r="547">
          <cell r="C547" t="str">
            <v>Līgums</v>
          </cell>
          <cell r="D547" t="str">
            <v>3.1.1.5/16/A/048</v>
          </cell>
        </row>
        <row r="548">
          <cell r="C548" t="str">
            <v>Līgums</v>
          </cell>
          <cell r="D548" t="str">
            <v>3.1.1.5/16/A/050</v>
          </cell>
        </row>
        <row r="549">
          <cell r="C549" t="str">
            <v>Līgums</v>
          </cell>
          <cell r="D549" t="str">
            <v>3.1.1.5/16/A/051</v>
          </cell>
        </row>
        <row r="550">
          <cell r="C550" t="str">
            <v>Līgums</v>
          </cell>
          <cell r="D550" t="str">
            <v>3.1.1.5/16/A/054</v>
          </cell>
        </row>
        <row r="551">
          <cell r="C551" t="str">
            <v>Līgums</v>
          </cell>
          <cell r="D551" t="str">
            <v>3.1.1.5/16/A/055</v>
          </cell>
        </row>
        <row r="552">
          <cell r="C552" t="str">
            <v>Līgums</v>
          </cell>
          <cell r="D552" t="str">
            <v>3.1.1.5/16/A/063</v>
          </cell>
        </row>
        <row r="553">
          <cell r="C553" t="str">
            <v>Līgums</v>
          </cell>
          <cell r="D553" t="str">
            <v>3.1.1.5/16/A/066</v>
          </cell>
        </row>
        <row r="554">
          <cell r="C554" t="str">
            <v>Līgums</v>
          </cell>
          <cell r="D554" t="str">
            <v>3.1.1.5/16/A/068</v>
          </cell>
        </row>
        <row r="555">
          <cell r="C555" t="str">
            <v>Līgums</v>
          </cell>
          <cell r="D555" t="str">
            <v>3.1.1.5/16/A/070</v>
          </cell>
        </row>
        <row r="556">
          <cell r="C556" t="str">
            <v>Līgums</v>
          </cell>
          <cell r="D556" t="str">
            <v>3.1.1.5/16/A/072</v>
          </cell>
        </row>
        <row r="557">
          <cell r="C557" t="str">
            <v>Līgums</v>
          </cell>
          <cell r="D557" t="str">
            <v>3.1.1.5/16/A/073</v>
          </cell>
        </row>
        <row r="558">
          <cell r="C558" t="str">
            <v>Līgums</v>
          </cell>
          <cell r="D558" t="str">
            <v>3.1.1.5/16/A/076</v>
          </cell>
        </row>
        <row r="559">
          <cell r="C559" t="str">
            <v>Līgums</v>
          </cell>
          <cell r="D559" t="str">
            <v>3.1.1.5/16/A/077</v>
          </cell>
        </row>
        <row r="560">
          <cell r="C560" t="str">
            <v>Pabeigts</v>
          </cell>
          <cell r="D560" t="str">
            <v>3.1.1.5/16/A/003</v>
          </cell>
        </row>
        <row r="561">
          <cell r="C561" t="str">
            <v>Līgums</v>
          </cell>
          <cell r="D561" t="str">
            <v>3.1.1.6/16/I/001</v>
          </cell>
        </row>
        <row r="562">
          <cell r="C562" t="str">
            <v>Līgums</v>
          </cell>
          <cell r="D562" t="str">
            <v>3.0.0.0/16/FI/001</v>
          </cell>
        </row>
        <row r="563">
          <cell r="C563" t="str">
            <v>Noraidīts</v>
          </cell>
          <cell r="D563" t="str">
            <v>3.2.1.1/16/A/005</v>
          </cell>
        </row>
        <row r="564">
          <cell r="C564" t="str">
            <v>Noraidīts</v>
          </cell>
          <cell r="D564" t="str">
            <v>3.2.1.1/16/A/008</v>
          </cell>
        </row>
        <row r="565">
          <cell r="C565" t="str">
            <v>Noraidīts</v>
          </cell>
          <cell r="D565" t="str">
            <v>3.2.1.1/16/A/015</v>
          </cell>
        </row>
        <row r="566">
          <cell r="C566" t="str">
            <v>Līgums</v>
          </cell>
          <cell r="D566" t="str">
            <v>3.2.1.1/16/A/001</v>
          </cell>
        </row>
        <row r="567">
          <cell r="C567" t="str">
            <v>Līgums</v>
          </cell>
          <cell r="D567" t="str">
            <v>3.2.1.1/16/A/002</v>
          </cell>
        </row>
        <row r="568">
          <cell r="C568" t="str">
            <v>Līgums</v>
          </cell>
          <cell r="D568" t="str">
            <v>3.2.1.1/16/A/003</v>
          </cell>
        </row>
        <row r="569">
          <cell r="C569" t="str">
            <v>Līgums</v>
          </cell>
          <cell r="D569" t="str">
            <v>3.2.1.1/16/A/004</v>
          </cell>
        </row>
        <row r="570">
          <cell r="C570" t="str">
            <v>Līgums</v>
          </cell>
          <cell r="D570" t="str">
            <v>3.2.1.1/16/A/006</v>
          </cell>
        </row>
        <row r="571">
          <cell r="C571" t="str">
            <v>Līgums</v>
          </cell>
          <cell r="D571" t="str">
            <v>3.2.1.1/16/A/007</v>
          </cell>
        </row>
        <row r="572">
          <cell r="C572" t="str">
            <v>Līgums</v>
          </cell>
          <cell r="D572" t="str">
            <v>3.2.1.1/16/A/009</v>
          </cell>
        </row>
        <row r="573">
          <cell r="C573" t="str">
            <v>Līgums</v>
          </cell>
          <cell r="D573" t="str">
            <v>3.2.1.1/16/A/010</v>
          </cell>
        </row>
        <row r="574">
          <cell r="C574" t="str">
            <v>Līgums</v>
          </cell>
          <cell r="D574" t="str">
            <v>3.2.1.1/16/A/011</v>
          </cell>
        </row>
        <row r="575">
          <cell r="C575" t="str">
            <v>Līgums</v>
          </cell>
          <cell r="D575" t="str">
            <v>3.2.1.1/16/A/012</v>
          </cell>
        </row>
        <row r="576">
          <cell r="C576" t="str">
            <v>Līgums</v>
          </cell>
          <cell r="D576" t="str">
            <v>3.2.1.1/16/A/013</v>
          </cell>
        </row>
        <row r="577">
          <cell r="C577" t="str">
            <v>Līgums</v>
          </cell>
          <cell r="D577" t="str">
            <v>3.2.1.1/16/A/014</v>
          </cell>
        </row>
        <row r="578">
          <cell r="C578" t="str">
            <v>Līgums</v>
          </cell>
          <cell r="D578" t="str">
            <v>3.2.1.1/16/A/016</v>
          </cell>
        </row>
        <row r="579">
          <cell r="C579" t="str">
            <v>Līgums</v>
          </cell>
          <cell r="D579" t="str">
            <v>3.2.1.1/16/A/017</v>
          </cell>
        </row>
        <row r="580">
          <cell r="C580" t="str">
            <v>Līgums</v>
          </cell>
          <cell r="D580" t="str">
            <v>3.2.1.2/16/I/001</v>
          </cell>
        </row>
        <row r="581">
          <cell r="C581" t="str">
            <v>Līgums</v>
          </cell>
          <cell r="D581" t="str">
            <v>3.2.1.2/16/I/002</v>
          </cell>
        </row>
        <row r="582">
          <cell r="C582" t="str">
            <v>Iesniegts</v>
          </cell>
          <cell r="D582" t="str">
            <v>3.3.1.0/17/I/014</v>
          </cell>
        </row>
        <row r="583">
          <cell r="C583" t="str">
            <v>Iesniegts</v>
          </cell>
          <cell r="D583" t="str">
            <v>3.3.1.0/17/I/044</v>
          </cell>
        </row>
        <row r="584">
          <cell r="C584" t="str">
            <v>Iesniegts</v>
          </cell>
          <cell r="D584" t="str">
            <v>3.3.1.0/17/I/045</v>
          </cell>
        </row>
        <row r="585">
          <cell r="C585" t="str">
            <v>Līgums</v>
          </cell>
          <cell r="D585" t="str">
            <v>3.3.1.0/16/I/005</v>
          </cell>
        </row>
        <row r="586">
          <cell r="C586" t="str">
            <v>Līgums</v>
          </cell>
          <cell r="D586" t="str">
            <v>3.3.1.0/16/I/031</v>
          </cell>
        </row>
        <row r="587">
          <cell r="C587" t="str">
            <v>Līgums</v>
          </cell>
          <cell r="D587" t="str">
            <v>3.3.1.0/17/I/005</v>
          </cell>
        </row>
        <row r="588">
          <cell r="C588" t="str">
            <v>Līgums</v>
          </cell>
          <cell r="D588" t="str">
            <v>3.3.1.0/17/I/006</v>
          </cell>
        </row>
        <row r="589">
          <cell r="C589" t="str">
            <v>Atsaukts</v>
          </cell>
          <cell r="D589" t="str">
            <v>3.3.1.0/16/I/017</v>
          </cell>
        </row>
        <row r="590">
          <cell r="C590" t="str">
            <v>Atsaukts</v>
          </cell>
          <cell r="D590" t="str">
            <v>3.3.1.0/17/I/016</v>
          </cell>
        </row>
        <row r="591">
          <cell r="C591" t="str">
            <v>Atsaukts</v>
          </cell>
          <cell r="D591" t="str">
            <v>3.3.1.0/17/I/019</v>
          </cell>
        </row>
        <row r="592">
          <cell r="C592" t="str">
            <v>Atsaukts</v>
          </cell>
          <cell r="D592" t="str">
            <v>3.3.1.0/17/I/027</v>
          </cell>
        </row>
        <row r="593">
          <cell r="C593" t="str">
            <v>Apstiprināts</v>
          </cell>
          <cell r="D593" t="str">
            <v>3.3.1.0/17/I/009</v>
          </cell>
        </row>
        <row r="594">
          <cell r="C594" t="str">
            <v>Līgums</v>
          </cell>
          <cell r="D594" t="str">
            <v>3.3.1.0/16/I/001</v>
          </cell>
        </row>
        <row r="595">
          <cell r="C595" t="str">
            <v>Līgums</v>
          </cell>
          <cell r="D595" t="str">
            <v>3.3.1.0/16/I/003</v>
          </cell>
        </row>
        <row r="596">
          <cell r="C596" t="str">
            <v>Līgums</v>
          </cell>
          <cell r="D596" t="str">
            <v>3.3.1.0/16/I/004</v>
          </cell>
        </row>
        <row r="597">
          <cell r="C597" t="str">
            <v>Līgums</v>
          </cell>
          <cell r="D597" t="str">
            <v>3.3.1.0/16/I/007</v>
          </cell>
        </row>
        <row r="598">
          <cell r="C598" t="str">
            <v>Līgums</v>
          </cell>
          <cell r="D598" t="str">
            <v>3.3.1.0/16/I/010</v>
          </cell>
        </row>
        <row r="599">
          <cell r="C599" t="str">
            <v>Līgums</v>
          </cell>
          <cell r="D599" t="str">
            <v>3.3.1.0/16/I/012</v>
          </cell>
        </row>
        <row r="600">
          <cell r="C600" t="str">
            <v>Līgums</v>
          </cell>
          <cell r="D600" t="str">
            <v>3.3.1.0/16/I/030</v>
          </cell>
        </row>
        <row r="601">
          <cell r="C601" t="str">
            <v>Līgums</v>
          </cell>
          <cell r="D601" t="str">
            <v>3.3.1.0/17/I/004</v>
          </cell>
        </row>
        <row r="602">
          <cell r="C602" t="str">
            <v>Līgums</v>
          </cell>
          <cell r="D602" t="str">
            <v>3.3.1.0/17/I/007</v>
          </cell>
        </row>
        <row r="603">
          <cell r="C603" t="str">
            <v>Pabeigts</v>
          </cell>
          <cell r="D603" t="str">
            <v>3.3.1.0/16/I/002</v>
          </cell>
        </row>
        <row r="604">
          <cell r="C604" t="str">
            <v>Pabeigts</v>
          </cell>
          <cell r="D604" t="str">
            <v>3.3.1.0/16/I/008</v>
          </cell>
        </row>
        <row r="605">
          <cell r="C605" t="str">
            <v>Apstiprināts ar nosacījumu</v>
          </cell>
          <cell r="D605" t="str">
            <v>3.3.1.0/17/I/028</v>
          </cell>
        </row>
        <row r="606">
          <cell r="C606" t="str">
            <v>Apstiprināts ar nosacījumu</v>
          </cell>
          <cell r="D606" t="str">
            <v>3.3.1.0/17/I/032</v>
          </cell>
        </row>
        <row r="607">
          <cell r="C607" t="str">
            <v>Apstiprināts ar nosacījumu</v>
          </cell>
          <cell r="D607" t="str">
            <v>3.3.1.0/17/I/034</v>
          </cell>
        </row>
        <row r="608">
          <cell r="C608" t="str">
            <v>Apstiprināts ar nosacījumu</v>
          </cell>
          <cell r="D608" t="str">
            <v>3.3.1.0/17/I/038</v>
          </cell>
        </row>
        <row r="609">
          <cell r="C609" t="str">
            <v>Apstiprināts ar nosacījumu</v>
          </cell>
          <cell r="D609" t="str">
            <v>3.3.1.0/17/I/039</v>
          </cell>
        </row>
        <row r="610">
          <cell r="C610" t="str">
            <v>Apstiprināts ar nosacījumu</v>
          </cell>
          <cell r="D610" t="str">
            <v>3.3.1.0/17/I/043</v>
          </cell>
        </row>
        <row r="611">
          <cell r="C611" t="str">
            <v>Atsaukts</v>
          </cell>
          <cell r="D611" t="str">
            <v>3.3.1.0/16/I/006</v>
          </cell>
        </row>
        <row r="612">
          <cell r="C612" t="str">
            <v>Atsaukts</v>
          </cell>
          <cell r="D612" t="str">
            <v>3.3.1.0/16/I/023</v>
          </cell>
        </row>
        <row r="613">
          <cell r="C613" t="str">
            <v>Atsaukts</v>
          </cell>
          <cell r="D613" t="str">
            <v>3.3.1.0/17/I/037</v>
          </cell>
        </row>
        <row r="614">
          <cell r="C614" t="str">
            <v>Apstiprināts</v>
          </cell>
          <cell r="D614" t="str">
            <v>3.3.1.0/16/I/024</v>
          </cell>
        </row>
        <row r="615">
          <cell r="C615" t="str">
            <v>Līgums</v>
          </cell>
          <cell r="D615" t="str">
            <v>3.3.1.0/16/I/009</v>
          </cell>
        </row>
        <row r="616">
          <cell r="C616" t="str">
            <v>Līgums</v>
          </cell>
          <cell r="D616" t="str">
            <v>3.3.1.0/16/I/011</v>
          </cell>
        </row>
        <row r="617">
          <cell r="C617" t="str">
            <v>Līgums</v>
          </cell>
          <cell r="D617" t="str">
            <v>3.3.1.0/16/I/013</v>
          </cell>
        </row>
        <row r="618">
          <cell r="C618" t="str">
            <v>Līgums</v>
          </cell>
          <cell r="D618" t="str">
            <v>3.3.1.0/16/I/014</v>
          </cell>
        </row>
        <row r="619">
          <cell r="C619" t="str">
            <v>Līgums</v>
          </cell>
          <cell r="D619" t="str">
            <v>3.3.1.0/16/I/015</v>
          </cell>
        </row>
        <row r="620">
          <cell r="C620" t="str">
            <v>Līgums</v>
          </cell>
          <cell r="D620" t="str">
            <v>3.3.1.0/16/I/016</v>
          </cell>
        </row>
        <row r="621">
          <cell r="C621" t="str">
            <v>Līgums</v>
          </cell>
          <cell r="D621" t="str">
            <v>3.3.1.0/16/I/018</v>
          </cell>
        </row>
        <row r="622">
          <cell r="C622" t="str">
            <v>Līgums</v>
          </cell>
          <cell r="D622" t="str">
            <v>3.3.1.0/16/I/019</v>
          </cell>
        </row>
        <row r="623">
          <cell r="C623" t="str">
            <v>Līgums</v>
          </cell>
          <cell r="D623" t="str">
            <v>3.3.1.0/16/I/020</v>
          </cell>
        </row>
        <row r="624">
          <cell r="C624" t="str">
            <v>Līgums</v>
          </cell>
          <cell r="D624" t="str">
            <v>3.3.1.0/16/I/021</v>
          </cell>
        </row>
        <row r="625">
          <cell r="C625" t="str">
            <v>Līgums</v>
          </cell>
          <cell r="D625" t="str">
            <v>3.3.1.0/16/I/022</v>
          </cell>
        </row>
        <row r="626">
          <cell r="C626" t="str">
            <v>Līgums</v>
          </cell>
          <cell r="D626" t="str">
            <v>3.3.1.0/16/I/025</v>
          </cell>
        </row>
        <row r="627">
          <cell r="C627" t="str">
            <v>Līgums</v>
          </cell>
          <cell r="D627" t="str">
            <v>3.3.1.0/16/I/026</v>
          </cell>
        </row>
        <row r="628">
          <cell r="C628" t="str">
            <v>Līgums</v>
          </cell>
          <cell r="D628" t="str">
            <v>3.3.1.0/16/I/027</v>
          </cell>
        </row>
        <row r="629">
          <cell r="C629" t="str">
            <v>Līgums</v>
          </cell>
          <cell r="D629" t="str">
            <v>3.3.1.0/16/I/028</v>
          </cell>
        </row>
        <row r="630">
          <cell r="C630" t="str">
            <v>Līgums</v>
          </cell>
          <cell r="D630" t="str">
            <v>3.3.1.0/16/I/029</v>
          </cell>
        </row>
        <row r="631">
          <cell r="C631" t="str">
            <v>Līgums</v>
          </cell>
          <cell r="D631" t="str">
            <v>3.3.1.0/16/I/032</v>
          </cell>
        </row>
        <row r="632">
          <cell r="C632" t="str">
            <v>Līgums</v>
          </cell>
          <cell r="D632" t="str">
            <v>3.3.1.0/16/I/033</v>
          </cell>
        </row>
        <row r="633">
          <cell r="C633" t="str">
            <v>Līgums</v>
          </cell>
          <cell r="D633" t="str">
            <v>3.3.1.0/16/I/034</v>
          </cell>
        </row>
        <row r="634">
          <cell r="C634" t="str">
            <v>Līgums</v>
          </cell>
          <cell r="D634" t="str">
            <v>3.3.1.0/17/I/001</v>
          </cell>
        </row>
        <row r="635">
          <cell r="C635" t="str">
            <v>Līgums</v>
          </cell>
          <cell r="D635" t="str">
            <v>3.3.1.0/17/I/002</v>
          </cell>
        </row>
        <row r="636">
          <cell r="C636" t="str">
            <v>Līgums</v>
          </cell>
          <cell r="D636" t="str">
            <v>3.3.1.0/17/I/011</v>
          </cell>
        </row>
        <row r="637">
          <cell r="C637" t="str">
            <v>Apstiprināts ar nosacījumu</v>
          </cell>
          <cell r="D637" t="str">
            <v>3.3.1.0/17/I/003</v>
          </cell>
        </row>
        <row r="638">
          <cell r="C638" t="str">
            <v>Apstiprināts ar nosacījumu</v>
          </cell>
          <cell r="D638" t="str">
            <v>3.3.1.0/17/I/008</v>
          </cell>
        </row>
        <row r="639">
          <cell r="C639" t="str">
            <v>Apstiprināts ar nosacījumu</v>
          </cell>
          <cell r="D639" t="str">
            <v>3.3.1.0/17/I/017</v>
          </cell>
        </row>
        <row r="640">
          <cell r="C640" t="str">
            <v>Apstiprināts ar nosacījumu</v>
          </cell>
          <cell r="D640" t="str">
            <v>3.3.1.0/17/I/018</v>
          </cell>
        </row>
        <row r="641">
          <cell r="C641" t="str">
            <v>Apstiprināts ar nosacījumu</v>
          </cell>
          <cell r="D641" t="str">
            <v>3.3.1.0/17/I/020</v>
          </cell>
        </row>
        <row r="642">
          <cell r="C642" t="str">
            <v>Apstiprināts ar nosacījumu</v>
          </cell>
          <cell r="D642" t="str">
            <v>3.3.1.0/17/I/021</v>
          </cell>
        </row>
        <row r="643">
          <cell r="C643" t="str">
            <v>Apstiprināts ar nosacījumu</v>
          </cell>
          <cell r="D643" t="str">
            <v>3.3.1.0/17/I/022</v>
          </cell>
        </row>
        <row r="644">
          <cell r="C644" t="str">
            <v>Apstiprināts ar nosacījumu</v>
          </cell>
          <cell r="D644" t="str">
            <v>3.3.1.0/17/I/023</v>
          </cell>
        </row>
        <row r="645">
          <cell r="C645" t="str">
            <v>Apstiprināts ar nosacījumu</v>
          </cell>
          <cell r="D645" t="str">
            <v>3.3.1.0/17/I/024</v>
          </cell>
        </row>
        <row r="646">
          <cell r="C646" t="str">
            <v>Apstiprināts ar nosacījumu</v>
          </cell>
          <cell r="D646" t="str">
            <v>3.3.1.0/17/I/025</v>
          </cell>
        </row>
        <row r="647">
          <cell r="C647" t="str">
            <v>Apstiprināts ar nosacījumu</v>
          </cell>
          <cell r="D647" t="str">
            <v>3.3.1.0/17/I/026</v>
          </cell>
        </row>
        <row r="648">
          <cell r="C648" t="str">
            <v>Apstiprināts ar nosacījumu</v>
          </cell>
          <cell r="D648" t="str">
            <v>3.3.1.0/17/I/029</v>
          </cell>
        </row>
        <row r="649">
          <cell r="C649" t="str">
            <v>Apstiprināts ar nosacījumu</v>
          </cell>
          <cell r="D649" t="str">
            <v>3.3.1.0/17/I/030</v>
          </cell>
        </row>
        <row r="650">
          <cell r="C650" t="str">
            <v>Apstiprināts ar nosacījumu</v>
          </cell>
          <cell r="D650" t="str">
            <v>3.3.1.0/17/I/031</v>
          </cell>
        </row>
        <row r="651">
          <cell r="C651" t="str">
            <v>Apstiprināts ar nosacījumu</v>
          </cell>
          <cell r="D651" t="str">
            <v>3.3.1.0/17/I/033</v>
          </cell>
        </row>
        <row r="652">
          <cell r="C652" t="str">
            <v>Apstiprināts ar nosacījumu</v>
          </cell>
          <cell r="D652" t="str">
            <v>3.3.1.0/17/I/036</v>
          </cell>
        </row>
        <row r="653">
          <cell r="C653" t="str">
            <v>Apstiprināts ar nosacījumu</v>
          </cell>
          <cell r="D653" t="str">
            <v>3.3.1.0/17/I/040</v>
          </cell>
        </row>
        <row r="654">
          <cell r="C654" t="str">
            <v>Apstiprināts ar nosacījumu</v>
          </cell>
          <cell r="D654" t="str">
            <v>3.3.1.0/17/I/041</v>
          </cell>
        </row>
        <row r="655">
          <cell r="C655" t="str">
            <v>Apstiprināts ar nosacījumu</v>
          </cell>
          <cell r="D655" t="str">
            <v>3.3.1.0/17/I/042</v>
          </cell>
        </row>
        <row r="656">
          <cell r="C656" t="str">
            <v>Iesniegti precizējumi</v>
          </cell>
          <cell r="D656" t="str">
            <v>3.3.1.0/17/I/010</v>
          </cell>
        </row>
        <row r="657">
          <cell r="C657" t="str">
            <v>Iesniegti precizējumi</v>
          </cell>
          <cell r="D657" t="str">
            <v>3.3.1.0/17/I/012</v>
          </cell>
        </row>
        <row r="658">
          <cell r="C658" t="str">
            <v>Iesniegti precizējumi</v>
          </cell>
          <cell r="D658" t="str">
            <v>3.3.1.0/17/I/013</v>
          </cell>
        </row>
        <row r="659">
          <cell r="C659" t="str">
            <v>Iesniegti precizējumi</v>
          </cell>
          <cell r="D659" t="str">
            <v>3.3.1.0/17/I/015</v>
          </cell>
        </row>
        <row r="660">
          <cell r="C660" t="str">
            <v>Iesniegti precizējumi</v>
          </cell>
          <cell r="D660" t="str">
            <v>3.3.1.0/17/I/035</v>
          </cell>
        </row>
        <row r="661">
          <cell r="C661" t="str">
            <v>Līgums</v>
          </cell>
          <cell r="D661" t="str">
            <v>3.4.1.0/16/I/001</v>
          </cell>
        </row>
        <row r="662">
          <cell r="C662" t="str">
            <v>Līgums</v>
          </cell>
          <cell r="D662" t="str">
            <v>3.4.2.0/15/I/001</v>
          </cell>
        </row>
        <row r="663">
          <cell r="C663" t="str">
            <v>Līgums</v>
          </cell>
          <cell r="D663" t="str">
            <v>3.4.2.0/15/I/002</v>
          </cell>
        </row>
        <row r="664">
          <cell r="C664" t="str">
            <v>Līgums</v>
          </cell>
          <cell r="D664" t="str">
            <v>3.4.2.0/15/I/003</v>
          </cell>
        </row>
        <row r="665">
          <cell r="C665" t="str">
            <v>Līgums</v>
          </cell>
          <cell r="D665" t="str">
            <v>3.4.2.0/16/I/001</v>
          </cell>
        </row>
        <row r="666">
          <cell r="C666" t="str">
            <v>Līgums</v>
          </cell>
          <cell r="D666" t="str">
            <v>3.4.2.2/16/I/001</v>
          </cell>
        </row>
        <row r="667">
          <cell r="C667" t="str">
            <v>Līgums</v>
          </cell>
          <cell r="D667" t="str">
            <v>3.4.2.2/16/I/002</v>
          </cell>
        </row>
        <row r="668">
          <cell r="C668" t="str">
            <v>Noraidīts</v>
          </cell>
          <cell r="D668" t="str">
            <v>4.1.1.0/17/A/012</v>
          </cell>
        </row>
        <row r="669">
          <cell r="C669" t="str">
            <v>Noraidīts</v>
          </cell>
          <cell r="D669" t="str">
            <v>4.1.1.0/17/A/015</v>
          </cell>
        </row>
        <row r="670">
          <cell r="C670" t="str">
            <v>Noraidīts</v>
          </cell>
          <cell r="D670" t="str">
            <v>4.1.1.0/17/A/022</v>
          </cell>
        </row>
        <row r="671">
          <cell r="C671" t="str">
            <v>Noraidīts</v>
          </cell>
          <cell r="D671" t="str">
            <v>4.1.1.0/17/A/027</v>
          </cell>
        </row>
        <row r="672">
          <cell r="C672" t="str">
            <v>Noraidīts</v>
          </cell>
          <cell r="D672" t="str">
            <v>4.1.1.0/17/A/028</v>
          </cell>
        </row>
        <row r="673">
          <cell r="C673" t="str">
            <v>Noraidīts</v>
          </cell>
          <cell r="D673" t="str">
            <v>4.1.1.0/17/A/032</v>
          </cell>
        </row>
        <row r="674">
          <cell r="C674" t="str">
            <v>Noraidīts</v>
          </cell>
          <cell r="D674" t="str">
            <v>4.1.1.0/17/A/035</v>
          </cell>
        </row>
        <row r="675">
          <cell r="C675" t="str">
            <v>Noraidīts</v>
          </cell>
          <cell r="D675" t="str">
            <v>4.1.1.0/17/A/037</v>
          </cell>
        </row>
        <row r="676">
          <cell r="C676" t="str">
            <v>Apstiprināts</v>
          </cell>
          <cell r="D676" t="str">
            <v>4.1.1.0/17/A/003</v>
          </cell>
        </row>
        <row r="677">
          <cell r="C677" t="str">
            <v>Apstiprināts</v>
          </cell>
          <cell r="D677" t="str">
            <v>4.1.1.0/17/A/004</v>
          </cell>
        </row>
        <row r="678">
          <cell r="C678" t="str">
            <v>Apstiprināts</v>
          </cell>
          <cell r="D678" t="str">
            <v>4.1.1.0/17/A/005</v>
          </cell>
        </row>
        <row r="679">
          <cell r="C679" t="str">
            <v>Apstiprināts</v>
          </cell>
          <cell r="D679" t="str">
            <v>4.1.1.0/17/A/008</v>
          </cell>
        </row>
        <row r="680">
          <cell r="C680" t="str">
            <v>Apstiprināts</v>
          </cell>
          <cell r="D680" t="str">
            <v>4.1.1.0/17/A/013</v>
          </cell>
        </row>
        <row r="681">
          <cell r="C681" t="str">
            <v>Apstiprināts</v>
          </cell>
          <cell r="D681" t="str">
            <v>4.1.1.0/17/A/017</v>
          </cell>
        </row>
        <row r="682">
          <cell r="C682" t="str">
            <v>Apstiprināts</v>
          </cell>
          <cell r="D682" t="str">
            <v>4.1.1.0/17/A/018</v>
          </cell>
        </row>
        <row r="683">
          <cell r="C683" t="str">
            <v>Apstiprināts</v>
          </cell>
          <cell r="D683" t="str">
            <v>4.1.1.0/17/A/024</v>
          </cell>
        </row>
        <row r="684">
          <cell r="C684" t="str">
            <v>Apstiprināts</v>
          </cell>
          <cell r="D684" t="str">
            <v>4.1.1.0/17/A/029</v>
          </cell>
        </row>
        <row r="685">
          <cell r="C685" t="str">
            <v>Līgums</v>
          </cell>
          <cell r="D685" t="str">
            <v>4.1.1.0/17/A/001</v>
          </cell>
        </row>
        <row r="686">
          <cell r="C686" t="str">
            <v>Līgums</v>
          </cell>
          <cell r="D686" t="str">
            <v>4.1.1.0/17/A/002</v>
          </cell>
        </row>
        <row r="687">
          <cell r="C687" t="str">
            <v>Līgums</v>
          </cell>
          <cell r="D687" t="str">
            <v>4.1.1.0/17/A/007</v>
          </cell>
        </row>
        <row r="688">
          <cell r="C688" t="str">
            <v>Līgums</v>
          </cell>
          <cell r="D688" t="str">
            <v>4.1.1.0/17/A/023</v>
          </cell>
        </row>
        <row r="689">
          <cell r="C689" t="str">
            <v>Apstiprināts ar nosacījumu</v>
          </cell>
          <cell r="D689" t="str">
            <v>4.1.1.0/17/A/011</v>
          </cell>
        </row>
        <row r="690">
          <cell r="C690" t="str">
            <v>Apstiprināts ar nosacījumu</v>
          </cell>
          <cell r="D690" t="str">
            <v>4.1.1.0/17/A/025</v>
          </cell>
        </row>
        <row r="691">
          <cell r="C691" t="str">
            <v>Apstiprināts ar nosacījumu</v>
          </cell>
          <cell r="D691" t="str">
            <v>4.1.1.0/17/A/026</v>
          </cell>
        </row>
        <row r="692">
          <cell r="C692" t="str">
            <v>Apstiprināts ar nosacījumu</v>
          </cell>
          <cell r="D692" t="str">
            <v>4.1.1.0/17/A/030</v>
          </cell>
        </row>
        <row r="693">
          <cell r="C693" t="str">
            <v>Apstiprināts ar nosacījumu</v>
          </cell>
          <cell r="D693" t="str">
            <v>4.1.1.0/17/A/031</v>
          </cell>
        </row>
        <row r="694">
          <cell r="C694" t="str">
            <v>Apstiprināts ar nosacījumu</v>
          </cell>
          <cell r="D694" t="str">
            <v>4.1.1.0/17/A/033</v>
          </cell>
        </row>
        <row r="695">
          <cell r="C695" t="str">
            <v>Apstiprināts ar nosacījumu</v>
          </cell>
          <cell r="D695" t="str">
            <v>4.1.1.0/17/A/034</v>
          </cell>
        </row>
        <row r="696">
          <cell r="C696" t="str">
            <v>Apstiprināts ar nosacījumu</v>
          </cell>
          <cell r="D696" t="str">
            <v>4.1.1.0/17/A/036</v>
          </cell>
        </row>
        <row r="697">
          <cell r="C697" t="str">
            <v>Iesniegti precizējumi</v>
          </cell>
          <cell r="D697" t="str">
            <v>4.1.1.0/17/A/006</v>
          </cell>
        </row>
        <row r="698">
          <cell r="C698" t="str">
            <v>Iesniegti precizējumi</v>
          </cell>
          <cell r="D698" t="str">
            <v>4.1.1.0/17/A/009</v>
          </cell>
        </row>
        <row r="699">
          <cell r="C699" t="str">
            <v>Iesniegti precizējumi</v>
          </cell>
          <cell r="D699" t="str">
            <v>4.1.1.0/17/A/010</v>
          </cell>
        </row>
        <row r="700">
          <cell r="C700" t="str">
            <v>Iesniegti precizējumi</v>
          </cell>
          <cell r="D700" t="str">
            <v>4.1.1.0/17/A/014</v>
          </cell>
        </row>
        <row r="701">
          <cell r="C701" t="str">
            <v>Iesniegti precizējumi</v>
          </cell>
          <cell r="D701" t="str">
            <v>4.1.1.0/17/A/016</v>
          </cell>
        </row>
        <row r="702">
          <cell r="C702" t="str">
            <v>Iesniegti precizējumi</v>
          </cell>
          <cell r="D702" t="str">
            <v>4.1.1.0/17/A/019</v>
          </cell>
        </row>
        <row r="703">
          <cell r="C703" t="str">
            <v>Iesniegti precizējumi</v>
          </cell>
          <cell r="D703" t="str">
            <v>4.1.1.0/17/A/020</v>
          </cell>
        </row>
        <row r="704">
          <cell r="C704" t="str">
            <v>Iesniegti precizējumi</v>
          </cell>
          <cell r="D704" t="str">
            <v>4.1.1.0/17/A/021</v>
          </cell>
        </row>
        <row r="705">
          <cell r="C705" t="str">
            <v>Noraidīts</v>
          </cell>
          <cell r="D705" t="str">
            <v>4.2.1.2/16/I/005</v>
          </cell>
        </row>
        <row r="706">
          <cell r="C706" t="str">
            <v>Noraidīts</v>
          </cell>
          <cell r="D706" t="str">
            <v>4.2.1.2/16/I/006</v>
          </cell>
        </row>
        <row r="707">
          <cell r="C707" t="str">
            <v>Iesniegts</v>
          </cell>
          <cell r="D707" t="str">
            <v>4.2.1.2/17/I/027</v>
          </cell>
        </row>
        <row r="708">
          <cell r="C708" t="str">
            <v>Iesniegts</v>
          </cell>
          <cell r="D708" t="str">
            <v>4.2.1.2/17/I/028</v>
          </cell>
        </row>
        <row r="709">
          <cell r="C709" t="str">
            <v>Iesniegts</v>
          </cell>
          <cell r="D709" t="str">
            <v>4.2.1.2/17/I/029</v>
          </cell>
        </row>
        <row r="710">
          <cell r="C710" t="str">
            <v>Iesniegts</v>
          </cell>
          <cell r="D710" t="str">
            <v>4.2.1.2/17/I/030</v>
          </cell>
        </row>
        <row r="711">
          <cell r="C711" t="str">
            <v>Iesniegts</v>
          </cell>
          <cell r="D711" t="str">
            <v>4.2.1.2/17/I/031</v>
          </cell>
        </row>
        <row r="712">
          <cell r="C712" t="str">
            <v>Atsaukts</v>
          </cell>
          <cell r="D712" t="str">
            <v>4.2.1.2/16/I/007</v>
          </cell>
        </row>
        <row r="713">
          <cell r="C713" t="str">
            <v>Atsaukts</v>
          </cell>
          <cell r="D713" t="str">
            <v>4.2.1.2/17/I/006</v>
          </cell>
        </row>
        <row r="714">
          <cell r="C714" t="str">
            <v>Atsaukts</v>
          </cell>
          <cell r="D714" t="str">
            <v>4.2.1.2/17/I/011</v>
          </cell>
        </row>
        <row r="715">
          <cell r="C715" t="str">
            <v>Atsaukts</v>
          </cell>
          <cell r="D715" t="str">
            <v>4.2.1.2/17/I/013</v>
          </cell>
        </row>
        <row r="716">
          <cell r="C716" t="str">
            <v>Līgums</v>
          </cell>
          <cell r="D716" t="str">
            <v>4.2.1.2/16/I/001</v>
          </cell>
        </row>
        <row r="717">
          <cell r="C717" t="str">
            <v>Līgums</v>
          </cell>
          <cell r="D717" t="str">
            <v>4.2.1.2/16/I/003</v>
          </cell>
        </row>
        <row r="718">
          <cell r="C718" t="str">
            <v>Līgums</v>
          </cell>
          <cell r="D718" t="str">
            <v>4.2.1.2/17/I/001</v>
          </cell>
        </row>
        <row r="719">
          <cell r="C719" t="str">
            <v>Līgums</v>
          </cell>
          <cell r="D719" t="str">
            <v>4.2.1.2/17/I/004</v>
          </cell>
        </row>
        <row r="720">
          <cell r="C720" t="str">
            <v>Līgums</v>
          </cell>
          <cell r="D720" t="str">
            <v>4.2.1.2/17/I/014</v>
          </cell>
        </row>
        <row r="721">
          <cell r="C721" t="str">
            <v>Pabeigts</v>
          </cell>
          <cell r="D721" t="str">
            <v>4.2.1.2/16/I/002</v>
          </cell>
        </row>
        <row r="722">
          <cell r="C722" t="str">
            <v>Apstiprināts ar nosacījumu</v>
          </cell>
          <cell r="D722" t="str">
            <v>4.2.1.2/17/I/018</v>
          </cell>
        </row>
        <row r="723">
          <cell r="C723" t="str">
            <v>Apstiprināts ar nosacījumu</v>
          </cell>
          <cell r="D723" t="str">
            <v>4.2.1.2/17/I/022</v>
          </cell>
        </row>
        <row r="724">
          <cell r="C724" t="str">
            <v>Apstiprināts ar nosacījumu</v>
          </cell>
          <cell r="D724" t="str">
            <v>4.2.1.2/17/I/023</v>
          </cell>
        </row>
        <row r="725">
          <cell r="C725" t="str">
            <v>Apstiprināts ar nosacījumu</v>
          </cell>
          <cell r="D725" t="str">
            <v>4.2.1.2/17/I/024</v>
          </cell>
        </row>
        <row r="726">
          <cell r="C726" t="str">
            <v>Apstiprināts ar nosacījumu</v>
          </cell>
          <cell r="D726" t="str">
            <v>4.2.1.2/17/I/025</v>
          </cell>
        </row>
        <row r="727">
          <cell r="C727" t="str">
            <v>Apstiprināts ar nosacījumu</v>
          </cell>
          <cell r="D727" t="str">
            <v>4.2.1.2/17/I/026</v>
          </cell>
        </row>
        <row r="728">
          <cell r="C728" t="str">
            <v>Apstiprināts ar nosacījumu 2</v>
          </cell>
          <cell r="D728" t="str">
            <v>4.2.1.2/17/I/012</v>
          </cell>
        </row>
        <row r="729">
          <cell r="C729" t="str">
            <v>Iesniegti precizējumi</v>
          </cell>
          <cell r="D729" t="str">
            <v>4.2.1.2/17/I/002</v>
          </cell>
        </row>
        <row r="730">
          <cell r="C730" t="str">
            <v>Iesniegti precizējumi</v>
          </cell>
          <cell r="D730" t="str">
            <v>4.2.1.2/17/I/003</v>
          </cell>
        </row>
        <row r="731">
          <cell r="C731" t="str">
            <v>Iesniegti precizējumi</v>
          </cell>
          <cell r="D731" t="str">
            <v>4.2.1.2/17/I/005</v>
          </cell>
        </row>
        <row r="732">
          <cell r="C732" t="str">
            <v>Iesniegti precizējumi</v>
          </cell>
          <cell r="D732" t="str">
            <v>4.2.1.2/17/I/008</v>
          </cell>
        </row>
        <row r="733">
          <cell r="C733" t="str">
            <v>Iesniegti precizējumi</v>
          </cell>
          <cell r="D733" t="str">
            <v>4.2.1.2/17/I/009</v>
          </cell>
        </row>
        <row r="734">
          <cell r="C734" t="str">
            <v>Iesniegti precizējumi</v>
          </cell>
          <cell r="D734" t="str">
            <v>4.2.1.2/17/I/015</v>
          </cell>
        </row>
        <row r="735">
          <cell r="C735" t="str">
            <v>Iesniegti precizējumi</v>
          </cell>
          <cell r="D735" t="str">
            <v>4.2.1.2/17/I/016</v>
          </cell>
        </row>
        <row r="736">
          <cell r="C736" t="str">
            <v>Iesniegti precizējumi</v>
          </cell>
          <cell r="D736" t="str">
            <v>4.2.1.2/17/I/017</v>
          </cell>
        </row>
        <row r="737">
          <cell r="C737" t="str">
            <v>Iesniegti precizējumi</v>
          </cell>
          <cell r="D737" t="str">
            <v>4.2.1.2/17/I/019</v>
          </cell>
        </row>
        <row r="738">
          <cell r="C738" t="str">
            <v>Iesniegti precizējumi</v>
          </cell>
          <cell r="D738" t="str">
            <v>4.2.1.2/17/I/020</v>
          </cell>
        </row>
        <row r="739">
          <cell r="C739" t="str">
            <v>Iesniegti precizējumi</v>
          </cell>
          <cell r="D739" t="str">
            <v>4.2.1.2/17/I/021</v>
          </cell>
        </row>
        <row r="740">
          <cell r="C740" t="str">
            <v>Iesniegti precizējumi 2</v>
          </cell>
          <cell r="D740" t="str">
            <v>4.2.1.2/16/I/004</v>
          </cell>
        </row>
        <row r="741">
          <cell r="C741" t="str">
            <v>Iesniegti precizējumi 2</v>
          </cell>
          <cell r="D741" t="str">
            <v>4.2.1.2/17/I/007</v>
          </cell>
        </row>
        <row r="742">
          <cell r="C742" t="str">
            <v>Iesniegti precizējumi 2</v>
          </cell>
          <cell r="D742" t="str">
            <v>4.2.1.2/17/I/010</v>
          </cell>
        </row>
        <row r="743">
          <cell r="C743" t="str">
            <v>Līgums</v>
          </cell>
          <cell r="D743" t="str">
            <v>4.2.1.1/16/I/001</v>
          </cell>
        </row>
        <row r="744">
          <cell r="C744" t="str">
            <v>Līgums</v>
          </cell>
          <cell r="D744" t="str">
            <v>4.2.1.1/16/FI/001</v>
          </cell>
        </row>
        <row r="745">
          <cell r="C745" t="str">
            <v>Iesniegts</v>
          </cell>
          <cell r="D745" t="str">
            <v>4.2.2.0/17/I/057</v>
          </cell>
        </row>
        <row r="746">
          <cell r="C746" t="str">
            <v>Iesniegts</v>
          </cell>
          <cell r="D746" t="str">
            <v>4.2.2.0/17/I/058</v>
          </cell>
        </row>
        <row r="747">
          <cell r="C747" t="str">
            <v>Iesniegts</v>
          </cell>
          <cell r="D747" t="str">
            <v>4.2.2.0/17/I/059</v>
          </cell>
        </row>
        <row r="748">
          <cell r="C748" t="str">
            <v>Iesniegts</v>
          </cell>
          <cell r="D748" t="str">
            <v>4.2.2.0/17/I/060</v>
          </cell>
        </row>
        <row r="749">
          <cell r="C749" t="str">
            <v>Iesniegts</v>
          </cell>
          <cell r="D749" t="str">
            <v>4.2.2.0/17/I/061</v>
          </cell>
        </row>
        <row r="750">
          <cell r="C750" t="str">
            <v>Iesniegts</v>
          </cell>
          <cell r="D750" t="str">
            <v>4.2.2.0/17/I/062</v>
          </cell>
        </row>
        <row r="751">
          <cell r="C751" t="str">
            <v>Iesniegts</v>
          </cell>
          <cell r="D751" t="str">
            <v>4.2.2.0/17/I/063</v>
          </cell>
        </row>
        <row r="752">
          <cell r="C752" t="str">
            <v>Iesniegts</v>
          </cell>
          <cell r="D752" t="str">
            <v>4.2.2.0/17/I/105</v>
          </cell>
        </row>
        <row r="753">
          <cell r="C753" t="str">
            <v>Iesniegts</v>
          </cell>
          <cell r="D753" t="str">
            <v>4.2.2.0/17/I/107</v>
          </cell>
        </row>
        <row r="754">
          <cell r="C754" t="str">
            <v>Iesniegts</v>
          </cell>
          <cell r="D754" t="str">
            <v>4.2.2.0/17/I/108</v>
          </cell>
        </row>
        <row r="755">
          <cell r="C755" t="str">
            <v>Atsaukts</v>
          </cell>
          <cell r="D755" t="str">
            <v>4.2.2.0/17/I/007</v>
          </cell>
        </row>
        <row r="756">
          <cell r="C756" t="str">
            <v>Atsaukts</v>
          </cell>
          <cell r="D756" t="str">
            <v>4.2.2.0/17/I/065</v>
          </cell>
        </row>
        <row r="757">
          <cell r="C757" t="str">
            <v>Apstiprināts</v>
          </cell>
          <cell r="D757" t="str">
            <v>4.2.2.0/17/I/013</v>
          </cell>
        </row>
        <row r="758">
          <cell r="C758" t="str">
            <v>Līgums</v>
          </cell>
          <cell r="D758" t="str">
            <v>4.2.2.0/16/I/001</v>
          </cell>
        </row>
        <row r="759">
          <cell r="C759" t="str">
            <v>Līgums</v>
          </cell>
          <cell r="D759" t="str">
            <v>4.2.2.0/16/I/003</v>
          </cell>
        </row>
        <row r="760">
          <cell r="C760" t="str">
            <v>Līgums</v>
          </cell>
          <cell r="D760" t="str">
            <v>4.2.2.0/17/I/001</v>
          </cell>
        </row>
        <row r="761">
          <cell r="C761" t="str">
            <v>Līgums</v>
          </cell>
          <cell r="D761" t="str">
            <v>4.2.2.0/17/I/002</v>
          </cell>
        </row>
        <row r="762">
          <cell r="C762" t="str">
            <v>Līgums</v>
          </cell>
          <cell r="D762" t="str">
            <v>4.2.2.0/17/I/003</v>
          </cell>
        </row>
        <row r="763">
          <cell r="C763" t="str">
            <v>Līgums</v>
          </cell>
          <cell r="D763" t="str">
            <v>4.2.2.0/17/I/010</v>
          </cell>
        </row>
        <row r="764">
          <cell r="C764" t="str">
            <v>Līgums</v>
          </cell>
          <cell r="D764" t="str">
            <v>4.2.2.0/17/I/017</v>
          </cell>
        </row>
        <row r="765">
          <cell r="C765" t="str">
            <v>Līgums</v>
          </cell>
          <cell r="D765" t="str">
            <v>4.2.2.0/17/I/018</v>
          </cell>
        </row>
        <row r="766">
          <cell r="C766" t="str">
            <v>Līgums</v>
          </cell>
          <cell r="D766" t="str">
            <v>4.2.2.0/17/I/019</v>
          </cell>
        </row>
        <row r="767">
          <cell r="C767" t="str">
            <v>Līgums</v>
          </cell>
          <cell r="D767" t="str">
            <v>4.2.2.0/17/I/020</v>
          </cell>
        </row>
        <row r="768">
          <cell r="C768" t="str">
            <v>Līgums</v>
          </cell>
          <cell r="D768" t="str">
            <v>4.2.2.0/17/I/021</v>
          </cell>
        </row>
        <row r="769">
          <cell r="C769" t="str">
            <v>Līgums</v>
          </cell>
          <cell r="D769" t="str">
            <v>4.2.2.0/17/I/022</v>
          </cell>
        </row>
        <row r="770">
          <cell r="C770" t="str">
            <v>Līgums</v>
          </cell>
          <cell r="D770" t="str">
            <v>4.2.2.0/17/I/023</v>
          </cell>
        </row>
        <row r="771">
          <cell r="C771" t="str">
            <v>Līgums</v>
          </cell>
          <cell r="D771" t="str">
            <v>4.2.2.0/17/I/024</v>
          </cell>
        </row>
        <row r="772">
          <cell r="C772" t="str">
            <v>Līgums</v>
          </cell>
          <cell r="D772" t="str">
            <v>4.2.2.0/17/I/025</v>
          </cell>
        </row>
        <row r="773">
          <cell r="C773" t="str">
            <v>Līgums</v>
          </cell>
          <cell r="D773" t="str">
            <v>4.2.2.0/17/I/026</v>
          </cell>
        </row>
        <row r="774">
          <cell r="C774" t="str">
            <v>Līgums</v>
          </cell>
          <cell r="D774" t="str">
            <v>4.2.2.0/17/I/027</v>
          </cell>
        </row>
        <row r="775">
          <cell r="C775" t="str">
            <v>Līgums</v>
          </cell>
          <cell r="D775" t="str">
            <v>4.2.2.0/17/I/028</v>
          </cell>
        </row>
        <row r="776">
          <cell r="C776" t="str">
            <v>Līgums</v>
          </cell>
          <cell r="D776" t="str">
            <v>4.2.2.0/17/I/029</v>
          </cell>
        </row>
        <row r="777">
          <cell r="C777" t="str">
            <v>Līgums</v>
          </cell>
          <cell r="D777" t="str">
            <v>4.2.2.0/17/I/030</v>
          </cell>
        </row>
        <row r="778">
          <cell r="C778" t="str">
            <v>Līgums</v>
          </cell>
          <cell r="D778" t="str">
            <v>4.2.2.0/17/I/031</v>
          </cell>
        </row>
        <row r="779">
          <cell r="C779" t="str">
            <v>Līgums</v>
          </cell>
          <cell r="D779" t="str">
            <v>4.2.2.0/17/I/032</v>
          </cell>
        </row>
        <row r="780">
          <cell r="C780" t="str">
            <v>Līgums</v>
          </cell>
          <cell r="D780" t="str">
            <v>4.2.2.0/17/I/033</v>
          </cell>
        </row>
        <row r="781">
          <cell r="C781" t="str">
            <v>Līgums</v>
          </cell>
          <cell r="D781" t="str">
            <v>4.2.2.0/17/I/034</v>
          </cell>
        </row>
        <row r="782">
          <cell r="C782" t="str">
            <v>Līgums</v>
          </cell>
          <cell r="D782" t="str">
            <v>4.2.2.0/17/I/035</v>
          </cell>
        </row>
        <row r="783">
          <cell r="C783" t="str">
            <v>Līgums</v>
          </cell>
          <cell r="D783" t="str">
            <v>4.2.2.0/17/I/037</v>
          </cell>
        </row>
        <row r="784">
          <cell r="C784" t="str">
            <v>Līgums</v>
          </cell>
          <cell r="D784" t="str">
            <v>4.2.2.0/17/I/038</v>
          </cell>
        </row>
        <row r="785">
          <cell r="C785" t="str">
            <v>Līgums</v>
          </cell>
          <cell r="D785" t="str">
            <v>4.2.2.0/17/I/039</v>
          </cell>
        </row>
        <row r="786">
          <cell r="C786" t="str">
            <v>Līgums</v>
          </cell>
          <cell r="D786" t="str">
            <v>4.2.2.0/17/I/040</v>
          </cell>
        </row>
        <row r="787">
          <cell r="C787" t="str">
            <v>Līgums</v>
          </cell>
          <cell r="D787" t="str">
            <v>4.2.2.0/17/I/042</v>
          </cell>
        </row>
        <row r="788">
          <cell r="C788" t="str">
            <v>Līgums</v>
          </cell>
          <cell r="D788" t="str">
            <v>4.2.2.0/17/I/043</v>
          </cell>
        </row>
        <row r="789">
          <cell r="C789" t="str">
            <v>Līgums</v>
          </cell>
          <cell r="D789" t="str">
            <v>4.2.2.0/17/I/044</v>
          </cell>
        </row>
        <row r="790">
          <cell r="C790" t="str">
            <v>Līgums</v>
          </cell>
          <cell r="D790" t="str">
            <v>4.2.2.0/17/I/045</v>
          </cell>
        </row>
        <row r="791">
          <cell r="C791" t="str">
            <v>Līgums</v>
          </cell>
          <cell r="D791" t="str">
            <v>4.2.2.0/17/I/046</v>
          </cell>
        </row>
        <row r="792">
          <cell r="C792" t="str">
            <v>Līgums</v>
          </cell>
          <cell r="D792" t="str">
            <v>4.2.2.0/17/I/047</v>
          </cell>
        </row>
        <row r="793">
          <cell r="C793" t="str">
            <v>Līgums</v>
          </cell>
          <cell r="D793" t="str">
            <v>4.2.2.0/17/I/048</v>
          </cell>
        </row>
        <row r="794">
          <cell r="C794" t="str">
            <v>Līgums</v>
          </cell>
          <cell r="D794" t="str">
            <v>4.2.2.0/17/I/049</v>
          </cell>
        </row>
        <row r="795">
          <cell r="C795" t="str">
            <v>Apstiprināts ar nosacījumu</v>
          </cell>
          <cell r="D795" t="str">
            <v>4.2.2.0/17/I/054</v>
          </cell>
        </row>
        <row r="796">
          <cell r="C796" t="str">
            <v>Apstiprināts ar nosacījumu</v>
          </cell>
          <cell r="D796" t="str">
            <v>4.2.2.0/17/I/056</v>
          </cell>
        </row>
        <row r="797">
          <cell r="C797" t="str">
            <v>Iesniegti precizējumi</v>
          </cell>
          <cell r="D797" t="str">
            <v>4.2.2.0/17/I/055</v>
          </cell>
        </row>
        <row r="798">
          <cell r="C798" t="str">
            <v>Iesniegts</v>
          </cell>
          <cell r="D798" t="str">
            <v>4.2.2.0/17/I/064</v>
          </cell>
        </row>
        <row r="799">
          <cell r="C799" t="str">
            <v>Iesniegts</v>
          </cell>
          <cell r="D799" t="str">
            <v>4.2.2.0/17/I/066</v>
          </cell>
        </row>
        <row r="800">
          <cell r="C800" t="str">
            <v>Iesniegts</v>
          </cell>
          <cell r="D800" t="str">
            <v>4.2.2.0/17/I/067</v>
          </cell>
        </row>
        <row r="801">
          <cell r="C801" t="str">
            <v>Iesniegts</v>
          </cell>
          <cell r="D801" t="str">
            <v>4.2.2.0/17/I/068</v>
          </cell>
        </row>
        <row r="802">
          <cell r="C802" t="str">
            <v>Iesniegts</v>
          </cell>
          <cell r="D802" t="str">
            <v>4.2.2.0/17/I/069</v>
          </cell>
        </row>
        <row r="803">
          <cell r="C803" t="str">
            <v>Iesniegts</v>
          </cell>
          <cell r="D803" t="str">
            <v>4.2.2.0/17/I/070</v>
          </cell>
        </row>
        <row r="804">
          <cell r="C804" t="str">
            <v>Iesniegts</v>
          </cell>
          <cell r="D804" t="str">
            <v>4.2.2.0/17/I/071</v>
          </cell>
        </row>
        <row r="805">
          <cell r="C805" t="str">
            <v>Iesniegts</v>
          </cell>
          <cell r="D805" t="str">
            <v>4.2.2.0/17/I/072</v>
          </cell>
        </row>
        <row r="806">
          <cell r="C806" t="str">
            <v>Iesniegts</v>
          </cell>
          <cell r="D806" t="str">
            <v>4.2.2.0/17/I/073</v>
          </cell>
        </row>
        <row r="807">
          <cell r="C807" t="str">
            <v>Iesniegts</v>
          </cell>
          <cell r="D807" t="str">
            <v>4.2.2.0/17/I/074</v>
          </cell>
        </row>
        <row r="808">
          <cell r="C808" t="str">
            <v>Iesniegts</v>
          </cell>
          <cell r="D808" t="str">
            <v>4.2.2.0/17/I/075</v>
          </cell>
        </row>
        <row r="809">
          <cell r="C809" t="str">
            <v>Iesniegts</v>
          </cell>
          <cell r="D809" t="str">
            <v>4.2.2.0/17/I/076</v>
          </cell>
        </row>
        <row r="810">
          <cell r="C810" t="str">
            <v>Iesniegts</v>
          </cell>
          <cell r="D810" t="str">
            <v>4.2.2.0/17/I/077</v>
          </cell>
        </row>
        <row r="811">
          <cell r="C811" t="str">
            <v>Iesniegts</v>
          </cell>
          <cell r="D811" t="str">
            <v>4.2.2.0/17/I/078</v>
          </cell>
        </row>
        <row r="812">
          <cell r="C812" t="str">
            <v>Iesniegts</v>
          </cell>
          <cell r="D812" t="str">
            <v>4.2.2.0/17/I/079</v>
          </cell>
        </row>
        <row r="813">
          <cell r="C813" t="str">
            <v>Iesniegts</v>
          </cell>
          <cell r="D813" t="str">
            <v>4.2.2.0/17/I/080</v>
          </cell>
        </row>
        <row r="814">
          <cell r="C814" t="str">
            <v>Iesniegts</v>
          </cell>
          <cell r="D814" t="str">
            <v>4.2.2.0/17/I/081</v>
          </cell>
        </row>
        <row r="815">
          <cell r="C815" t="str">
            <v>Iesniegts</v>
          </cell>
          <cell r="D815" t="str">
            <v>4.2.2.0/17/I/082</v>
          </cell>
        </row>
        <row r="816">
          <cell r="C816" t="str">
            <v>Iesniegts</v>
          </cell>
          <cell r="D816" t="str">
            <v>4.2.2.0/17/I/083</v>
          </cell>
        </row>
        <row r="817">
          <cell r="C817" t="str">
            <v>Iesniegts</v>
          </cell>
          <cell r="D817" t="str">
            <v>4.2.2.0/17/I/084</v>
          </cell>
        </row>
        <row r="818">
          <cell r="C818" t="str">
            <v>Iesniegts</v>
          </cell>
          <cell r="D818" t="str">
            <v>4.2.2.0/17/I/085</v>
          </cell>
        </row>
        <row r="819">
          <cell r="C819" t="str">
            <v>Iesniegts</v>
          </cell>
          <cell r="D819" t="str">
            <v>4.2.2.0/17/I/086</v>
          </cell>
        </row>
        <row r="820">
          <cell r="C820" t="str">
            <v>Iesniegts</v>
          </cell>
          <cell r="D820" t="str">
            <v>4.2.2.0/17/I/087</v>
          </cell>
        </row>
        <row r="821">
          <cell r="C821" t="str">
            <v>Iesniegts</v>
          </cell>
          <cell r="D821" t="str">
            <v>4.2.2.0/17/I/088</v>
          </cell>
        </row>
        <row r="822">
          <cell r="C822" t="str">
            <v>Iesniegts</v>
          </cell>
          <cell r="D822" t="str">
            <v>4.2.2.0/17/I/089</v>
          </cell>
        </row>
        <row r="823">
          <cell r="C823" t="str">
            <v>Iesniegts</v>
          </cell>
          <cell r="D823" t="str">
            <v>4.2.2.0/17/I/090</v>
          </cell>
        </row>
        <row r="824">
          <cell r="C824" t="str">
            <v>Iesniegts</v>
          </cell>
          <cell r="D824" t="str">
            <v>4.2.2.0/17/I/091</v>
          </cell>
        </row>
        <row r="825">
          <cell r="C825" t="str">
            <v>Iesniegts</v>
          </cell>
          <cell r="D825" t="str">
            <v>4.2.2.0/17/I/092</v>
          </cell>
        </row>
        <row r="826">
          <cell r="C826" t="str">
            <v>Iesniegts</v>
          </cell>
          <cell r="D826" t="str">
            <v>4.2.2.0/17/I/093</v>
          </cell>
        </row>
        <row r="827">
          <cell r="C827" t="str">
            <v>Iesniegts</v>
          </cell>
          <cell r="D827" t="str">
            <v>4.2.2.0/17/I/094</v>
          </cell>
        </row>
        <row r="828">
          <cell r="C828" t="str">
            <v>Iesniegts</v>
          </cell>
          <cell r="D828" t="str">
            <v>4.2.2.0/17/I/095</v>
          </cell>
        </row>
        <row r="829">
          <cell r="C829" t="str">
            <v>Iesniegts</v>
          </cell>
          <cell r="D829" t="str">
            <v>4.2.2.0/17/I/096</v>
          </cell>
        </row>
        <row r="830">
          <cell r="C830" t="str">
            <v>Iesniegts</v>
          </cell>
          <cell r="D830" t="str">
            <v>4.2.2.0/17/I/097</v>
          </cell>
        </row>
        <row r="831">
          <cell r="C831" t="str">
            <v>Iesniegts</v>
          </cell>
          <cell r="D831" t="str">
            <v>4.2.2.0/17/I/098</v>
          </cell>
        </row>
        <row r="832">
          <cell r="C832" t="str">
            <v>Iesniegts</v>
          </cell>
          <cell r="D832" t="str">
            <v>4.2.2.0/17/I/099</v>
          </cell>
        </row>
        <row r="833">
          <cell r="C833" t="str">
            <v>Iesniegts</v>
          </cell>
          <cell r="D833" t="str">
            <v>4.2.2.0/17/I/100</v>
          </cell>
        </row>
        <row r="834">
          <cell r="C834" t="str">
            <v>Iesniegts</v>
          </cell>
          <cell r="D834" t="str">
            <v>4.2.2.0/17/I/101</v>
          </cell>
        </row>
        <row r="835">
          <cell r="C835" t="str">
            <v>Iesniegts</v>
          </cell>
          <cell r="D835" t="str">
            <v>4.2.2.0/17/I/102</v>
          </cell>
        </row>
        <row r="836">
          <cell r="C836" t="str">
            <v>Iesniegts</v>
          </cell>
          <cell r="D836" t="str">
            <v>4.2.2.0/17/I/103</v>
          </cell>
        </row>
        <row r="837">
          <cell r="C837" t="str">
            <v>Iesniegts</v>
          </cell>
          <cell r="D837" t="str">
            <v>4.2.2.0/17/I/104</v>
          </cell>
        </row>
        <row r="838">
          <cell r="C838" t="str">
            <v>Iesniegts</v>
          </cell>
          <cell r="D838" t="str">
            <v>4.2.2.0/17/I/106</v>
          </cell>
        </row>
        <row r="839">
          <cell r="C839" t="str">
            <v>Atsaukts</v>
          </cell>
          <cell r="D839" t="str">
            <v>4.2.2.0/17/I/011</v>
          </cell>
        </row>
        <row r="840">
          <cell r="C840" t="str">
            <v>Apstiprināts</v>
          </cell>
          <cell r="D840" t="str">
            <v>4.2.2.0/17/I/036</v>
          </cell>
        </row>
        <row r="841">
          <cell r="C841" t="str">
            <v>Līgums</v>
          </cell>
          <cell r="D841" t="str">
            <v>4.2.2.0/16/I/002</v>
          </cell>
        </row>
        <row r="842">
          <cell r="C842" t="str">
            <v>Līgums</v>
          </cell>
          <cell r="D842" t="str">
            <v>4.2.2.0/17/I/004</v>
          </cell>
        </row>
        <row r="843">
          <cell r="C843" t="str">
            <v>Līgums</v>
          </cell>
          <cell r="D843" t="str">
            <v>4.2.2.0/17/I/005</v>
          </cell>
        </row>
        <row r="844">
          <cell r="C844" t="str">
            <v>Līgums</v>
          </cell>
          <cell r="D844" t="str">
            <v>4.2.2.0/17/I/006</v>
          </cell>
        </row>
        <row r="845">
          <cell r="C845" t="str">
            <v>Līgums</v>
          </cell>
          <cell r="D845" t="str">
            <v>4.2.2.0/17/I/008</v>
          </cell>
        </row>
        <row r="846">
          <cell r="C846" t="str">
            <v>Līgums</v>
          </cell>
          <cell r="D846" t="str">
            <v>4.2.2.0/17/I/009</v>
          </cell>
        </row>
        <row r="847">
          <cell r="C847" t="str">
            <v>Līgums</v>
          </cell>
          <cell r="D847" t="str">
            <v>4.2.2.0/17/I/012</v>
          </cell>
        </row>
        <row r="848">
          <cell r="C848" t="str">
            <v>Līgums</v>
          </cell>
          <cell r="D848" t="str">
            <v>4.2.2.0/17/I/014</v>
          </cell>
        </row>
        <row r="849">
          <cell r="C849" t="str">
            <v>Līgums</v>
          </cell>
          <cell r="D849" t="str">
            <v>4.2.2.0/17/I/015</v>
          </cell>
        </row>
        <row r="850">
          <cell r="C850" t="str">
            <v>Apstiprināts ar nosacījumu</v>
          </cell>
          <cell r="D850" t="str">
            <v>4.2.2.0/17/I/050</v>
          </cell>
        </row>
        <row r="851">
          <cell r="C851" t="str">
            <v>Apstiprināts ar nosacījumu</v>
          </cell>
          <cell r="D851" t="str">
            <v>4.2.2.0/17/I/051</v>
          </cell>
        </row>
        <row r="852">
          <cell r="C852" t="str">
            <v>Apstiprināts ar nosacījumu</v>
          </cell>
          <cell r="D852" t="str">
            <v>4.2.2.0/17/I/052</v>
          </cell>
        </row>
        <row r="853">
          <cell r="C853" t="str">
            <v>Apstiprināts ar nosacījumu</v>
          </cell>
          <cell r="D853" t="str">
            <v>4.2.2.0/17/I/053</v>
          </cell>
        </row>
        <row r="854">
          <cell r="C854" t="str">
            <v>Apstiprināts ar nosacījumu 2</v>
          </cell>
          <cell r="D854" t="str">
            <v>4.2.2.0/17/I/016</v>
          </cell>
        </row>
        <row r="855">
          <cell r="C855" t="str">
            <v>Apstiprināts ar nosacījumu 2</v>
          </cell>
          <cell r="D855" t="str">
            <v>4.2.2.0/17/I/041</v>
          </cell>
        </row>
        <row r="856">
          <cell r="C856" t="str">
            <v>Noraidīts</v>
          </cell>
          <cell r="D856" t="str">
            <v>4.3.1.0/17/A/012</v>
          </cell>
        </row>
        <row r="857">
          <cell r="C857" t="str">
            <v>Noraidīts</v>
          </cell>
          <cell r="D857" t="str">
            <v>4.3.1.0/17/A/022</v>
          </cell>
        </row>
        <row r="858">
          <cell r="C858" t="str">
            <v>Noraidīts</v>
          </cell>
          <cell r="D858" t="str">
            <v>4.3.1.0/17/A/024</v>
          </cell>
        </row>
        <row r="859">
          <cell r="C859" t="str">
            <v>Noraidīts</v>
          </cell>
          <cell r="D859" t="str">
            <v>4.3.1.0/17/A/025</v>
          </cell>
        </row>
        <row r="860">
          <cell r="C860" t="str">
            <v>Noraidīts</v>
          </cell>
          <cell r="D860" t="str">
            <v>4.3.1.0/17/A/028</v>
          </cell>
        </row>
        <row r="861">
          <cell r="C861" t="str">
            <v>Atsaukts</v>
          </cell>
          <cell r="D861" t="str">
            <v>4.3.1.0/17/A/019</v>
          </cell>
        </row>
        <row r="862">
          <cell r="C862" t="str">
            <v>Atsaukts</v>
          </cell>
          <cell r="D862" t="str">
            <v>4.3.1.0/17/A/051</v>
          </cell>
        </row>
        <row r="863">
          <cell r="C863" t="str">
            <v>Atsaukts</v>
          </cell>
          <cell r="D863" t="str">
            <v>4.3.1.0/17/A/052</v>
          </cell>
        </row>
        <row r="864">
          <cell r="C864" t="str">
            <v>Apstiprināts</v>
          </cell>
          <cell r="D864" t="str">
            <v>4.3.1.0/17/A/057</v>
          </cell>
        </row>
        <row r="865">
          <cell r="C865" t="str">
            <v>Apstiprināts ar nosacījumu</v>
          </cell>
          <cell r="D865" t="str">
            <v>4.3.1.0/17/A/001</v>
          </cell>
        </row>
        <row r="866">
          <cell r="C866" t="str">
            <v>Apstiprināts ar nosacījumu</v>
          </cell>
          <cell r="D866" t="str">
            <v>4.3.1.0/17/A/003</v>
          </cell>
        </row>
        <row r="867">
          <cell r="C867" t="str">
            <v>Apstiprināts ar nosacījumu</v>
          </cell>
          <cell r="D867" t="str">
            <v>4.3.1.0/17/A/004</v>
          </cell>
        </row>
        <row r="868">
          <cell r="C868" t="str">
            <v>Apstiprināts ar nosacījumu</v>
          </cell>
          <cell r="D868" t="str">
            <v>4.3.1.0/17/A/005</v>
          </cell>
        </row>
        <row r="869">
          <cell r="C869" t="str">
            <v>Apstiprināts ar nosacījumu</v>
          </cell>
          <cell r="D869" t="str">
            <v>4.3.1.0/17/A/007</v>
          </cell>
        </row>
        <row r="870">
          <cell r="C870" t="str">
            <v>Apstiprināts ar nosacījumu</v>
          </cell>
          <cell r="D870" t="str">
            <v>4.3.1.0/17/A/011</v>
          </cell>
        </row>
        <row r="871">
          <cell r="C871" t="str">
            <v>Apstiprināts ar nosacījumu</v>
          </cell>
          <cell r="D871" t="str">
            <v>4.3.1.0/17/A/013</v>
          </cell>
        </row>
        <row r="872">
          <cell r="C872" t="str">
            <v>Apstiprināts ar nosacījumu</v>
          </cell>
          <cell r="D872" t="str">
            <v>4.3.1.0/17/A/015</v>
          </cell>
        </row>
        <row r="873">
          <cell r="C873" t="str">
            <v>Apstiprināts ar nosacījumu</v>
          </cell>
          <cell r="D873" t="str">
            <v>4.3.1.0/17/A/016</v>
          </cell>
        </row>
        <row r="874">
          <cell r="C874" t="str">
            <v>Apstiprināts ar nosacījumu</v>
          </cell>
          <cell r="D874" t="str">
            <v>4.3.1.0/17/A/017</v>
          </cell>
        </row>
        <row r="875">
          <cell r="C875" t="str">
            <v>Apstiprināts ar nosacījumu</v>
          </cell>
          <cell r="D875" t="str">
            <v>4.3.1.0/17/A/018</v>
          </cell>
        </row>
        <row r="876">
          <cell r="C876" t="str">
            <v>Apstiprināts ar nosacījumu</v>
          </cell>
          <cell r="D876" t="str">
            <v>4.3.1.0/17/A/020</v>
          </cell>
        </row>
        <row r="877">
          <cell r="C877" t="str">
            <v>Apstiprināts ar nosacījumu</v>
          </cell>
          <cell r="D877" t="str">
            <v>4.3.1.0/17/A/021</v>
          </cell>
        </row>
        <row r="878">
          <cell r="C878" t="str">
            <v>Apstiprināts ar nosacījumu</v>
          </cell>
          <cell r="D878" t="str">
            <v>4.3.1.0/17/A/023</v>
          </cell>
        </row>
        <row r="879">
          <cell r="C879" t="str">
            <v>Apstiprināts ar nosacījumu</v>
          </cell>
          <cell r="D879" t="str">
            <v>4.3.1.0/17/A/026</v>
          </cell>
        </row>
        <row r="880">
          <cell r="C880" t="str">
            <v>Apstiprināts ar nosacījumu</v>
          </cell>
          <cell r="D880" t="str">
            <v>4.3.1.0/17/A/027</v>
          </cell>
        </row>
        <row r="881">
          <cell r="C881" t="str">
            <v>Apstiprināts ar nosacījumu</v>
          </cell>
          <cell r="D881" t="str">
            <v>4.3.1.0/17/A/029</v>
          </cell>
        </row>
        <row r="882">
          <cell r="C882" t="str">
            <v>Apstiprināts ar nosacījumu</v>
          </cell>
          <cell r="D882" t="str">
            <v>4.3.1.0/17/A/030</v>
          </cell>
        </row>
        <row r="883">
          <cell r="C883" t="str">
            <v>Apstiprināts ar nosacījumu</v>
          </cell>
          <cell r="D883" t="str">
            <v>4.3.1.0/17/A/031</v>
          </cell>
        </row>
        <row r="884">
          <cell r="C884" t="str">
            <v>Apstiprināts ar nosacījumu</v>
          </cell>
          <cell r="D884" t="str">
            <v>4.3.1.0/17/A/032</v>
          </cell>
        </row>
        <row r="885">
          <cell r="C885" t="str">
            <v>Apstiprināts ar nosacījumu</v>
          </cell>
          <cell r="D885" t="str">
            <v>4.3.1.0/17/A/033</v>
          </cell>
        </row>
        <row r="886">
          <cell r="C886" t="str">
            <v>Apstiprināts ar nosacījumu</v>
          </cell>
          <cell r="D886" t="str">
            <v>4.3.1.0/17/A/034</v>
          </cell>
        </row>
        <row r="887">
          <cell r="C887" t="str">
            <v>Apstiprināts ar nosacījumu</v>
          </cell>
          <cell r="D887" t="str">
            <v>4.3.1.0/17/A/035</v>
          </cell>
        </row>
        <row r="888">
          <cell r="C888" t="str">
            <v>Apstiprināts ar nosacījumu</v>
          </cell>
          <cell r="D888" t="str">
            <v>4.3.1.0/17/A/036</v>
          </cell>
        </row>
        <row r="889">
          <cell r="C889" t="str">
            <v>Apstiprināts ar nosacījumu</v>
          </cell>
          <cell r="D889" t="str">
            <v>4.3.1.0/17/A/037</v>
          </cell>
        </row>
        <row r="890">
          <cell r="C890" t="str">
            <v>Apstiprināts ar nosacījumu</v>
          </cell>
          <cell r="D890" t="str">
            <v>4.3.1.0/17/A/038</v>
          </cell>
        </row>
        <row r="891">
          <cell r="C891" t="str">
            <v>Apstiprināts ar nosacījumu</v>
          </cell>
          <cell r="D891" t="str">
            <v>4.3.1.0/17/A/039</v>
          </cell>
        </row>
        <row r="892">
          <cell r="C892" t="str">
            <v>Apstiprināts ar nosacījumu</v>
          </cell>
          <cell r="D892" t="str">
            <v>4.3.1.0/17/A/040</v>
          </cell>
        </row>
        <row r="893">
          <cell r="C893" t="str">
            <v>Apstiprināts ar nosacījumu</v>
          </cell>
          <cell r="D893" t="str">
            <v>4.3.1.0/17/A/041</v>
          </cell>
        </row>
        <row r="894">
          <cell r="C894" t="str">
            <v>Apstiprināts ar nosacījumu</v>
          </cell>
          <cell r="D894" t="str">
            <v>4.3.1.0/17/A/042</v>
          </cell>
        </row>
        <row r="895">
          <cell r="C895" t="str">
            <v>Apstiprināts ar nosacījumu</v>
          </cell>
          <cell r="D895" t="str">
            <v>4.3.1.0/17/A/043</v>
          </cell>
        </row>
        <row r="896">
          <cell r="C896" t="str">
            <v>Apstiprināts ar nosacījumu</v>
          </cell>
          <cell r="D896" t="str">
            <v>4.3.1.0/17/A/044</v>
          </cell>
        </row>
        <row r="897">
          <cell r="C897" t="str">
            <v>Apstiprināts ar nosacījumu</v>
          </cell>
          <cell r="D897" t="str">
            <v>4.3.1.0/17/A/045</v>
          </cell>
        </row>
        <row r="898">
          <cell r="C898" t="str">
            <v>Apstiprināts ar nosacījumu</v>
          </cell>
          <cell r="D898" t="str">
            <v>4.3.1.0/17/A/046</v>
          </cell>
        </row>
        <row r="899">
          <cell r="C899" t="str">
            <v>Apstiprināts ar nosacījumu</v>
          </cell>
          <cell r="D899" t="str">
            <v>4.3.1.0/17/A/047</v>
          </cell>
        </row>
        <row r="900">
          <cell r="C900" t="str">
            <v>Apstiprināts ar nosacījumu</v>
          </cell>
          <cell r="D900" t="str">
            <v>4.3.1.0/17/A/048</v>
          </cell>
        </row>
        <row r="901">
          <cell r="C901" t="str">
            <v>Apstiprināts ar nosacījumu</v>
          </cell>
          <cell r="D901" t="str">
            <v>4.3.1.0/17/A/049</v>
          </cell>
        </row>
        <row r="902">
          <cell r="C902" t="str">
            <v>Apstiprināts ar nosacījumu</v>
          </cell>
          <cell r="D902" t="str">
            <v>4.3.1.0/17/A/050</v>
          </cell>
        </row>
        <row r="903">
          <cell r="C903" t="str">
            <v>Apstiprināts ar nosacījumu</v>
          </cell>
          <cell r="D903" t="str">
            <v>4.3.1.0/17/A/053</v>
          </cell>
        </row>
        <row r="904">
          <cell r="C904" t="str">
            <v>Apstiprināts ar nosacījumu</v>
          </cell>
          <cell r="D904" t="str">
            <v>4.3.1.0/17/A/054</v>
          </cell>
        </row>
        <row r="905">
          <cell r="C905" t="str">
            <v>Apstiprināts ar nosacījumu</v>
          </cell>
          <cell r="D905" t="str">
            <v>4.3.1.0/17/A/055</v>
          </cell>
        </row>
        <row r="906">
          <cell r="C906" t="str">
            <v>Apstiprināts ar nosacījumu</v>
          </cell>
          <cell r="D906" t="str">
            <v>4.3.1.0/17/A/056</v>
          </cell>
        </row>
        <row r="907">
          <cell r="C907" t="str">
            <v>Apstiprināts ar nosacījumu</v>
          </cell>
          <cell r="D907" t="str">
            <v>4.3.1.0/17/A/058</v>
          </cell>
        </row>
        <row r="908">
          <cell r="C908" t="str">
            <v>Apstiprināts ar nosacījumu</v>
          </cell>
          <cell r="D908" t="str">
            <v>4.3.1.0/17/A/059</v>
          </cell>
        </row>
        <row r="909">
          <cell r="C909" t="str">
            <v>Apstiprināts ar nosacījumu</v>
          </cell>
          <cell r="D909" t="str">
            <v>4.3.1.0/17/A/060</v>
          </cell>
        </row>
        <row r="910">
          <cell r="C910" t="str">
            <v>Apstiprināts ar nosacījumu</v>
          </cell>
          <cell r="D910" t="str">
            <v>4.3.1.0/17/A/061</v>
          </cell>
        </row>
        <row r="911">
          <cell r="C911" t="str">
            <v>Apstiprināts ar nosacījumu</v>
          </cell>
          <cell r="D911" t="str">
            <v>4.3.1.0/17/A/062</v>
          </cell>
        </row>
        <row r="912">
          <cell r="C912" t="str">
            <v>Apstiprināts ar nosacījumu</v>
          </cell>
          <cell r="D912" t="str">
            <v>4.3.1.0/17/A/063</v>
          </cell>
        </row>
        <row r="913">
          <cell r="C913" t="str">
            <v>Apstiprināts ar nosacījumu</v>
          </cell>
          <cell r="D913" t="str">
            <v>4.3.1.0/17/A/064</v>
          </cell>
        </row>
        <row r="914">
          <cell r="C914" t="str">
            <v>Apstiprināts ar nosacījumu</v>
          </cell>
          <cell r="D914" t="str">
            <v>4.3.1.0/17/A/065</v>
          </cell>
        </row>
        <row r="915">
          <cell r="C915" t="str">
            <v>Apstiprināts ar nosacījumu</v>
          </cell>
          <cell r="D915" t="str">
            <v>4.3.1.0/17/A/066</v>
          </cell>
        </row>
        <row r="916">
          <cell r="C916" t="str">
            <v>Apstiprināts ar nosacījumu</v>
          </cell>
          <cell r="D916" t="str">
            <v>4.3.1.0/17/A/067</v>
          </cell>
        </row>
        <row r="917">
          <cell r="C917" t="str">
            <v>Apstiprināts ar nosacījumu</v>
          </cell>
          <cell r="D917" t="str">
            <v>4.3.1.0/17/A/068</v>
          </cell>
        </row>
        <row r="918">
          <cell r="C918" t="str">
            <v>Apstiprināts ar nosacījumu</v>
          </cell>
          <cell r="D918" t="str">
            <v>4.3.1.0/17/A/069</v>
          </cell>
        </row>
        <row r="919">
          <cell r="C919" t="str">
            <v>Apstiprināts ar nosacījumu</v>
          </cell>
          <cell r="D919" t="str">
            <v>4.3.1.0/17/A/070</v>
          </cell>
        </row>
        <row r="920">
          <cell r="C920" t="str">
            <v>Apstiprināts ar nosacījumu</v>
          </cell>
          <cell r="D920" t="str">
            <v>4.3.1.0/17/A/071</v>
          </cell>
        </row>
        <row r="921">
          <cell r="C921" t="str">
            <v>Apstiprināts ar nosacījumu</v>
          </cell>
          <cell r="D921" t="str">
            <v>4.3.1.0/17/A/072</v>
          </cell>
        </row>
        <row r="922">
          <cell r="C922" t="str">
            <v>Apstiprināts ar nosacījumu</v>
          </cell>
          <cell r="D922" t="str">
            <v>4.3.1.0/17/A/073</v>
          </cell>
        </row>
        <row r="923">
          <cell r="C923" t="str">
            <v>Apstiprināts ar nosacījumu</v>
          </cell>
          <cell r="D923" t="str">
            <v>4.3.1.0/17/A/074</v>
          </cell>
        </row>
        <row r="924">
          <cell r="C924" t="str">
            <v>Apstiprināts ar nosacījumu</v>
          </cell>
          <cell r="D924" t="str">
            <v>4.3.1.0/17/A/075</v>
          </cell>
        </row>
        <row r="925">
          <cell r="C925" t="str">
            <v>Apstiprināts ar nosacījumu</v>
          </cell>
          <cell r="D925" t="str">
            <v>4.3.1.0/17/A/076</v>
          </cell>
        </row>
        <row r="926">
          <cell r="C926" t="str">
            <v>Apstiprināts ar nosacījumu</v>
          </cell>
          <cell r="D926" t="str">
            <v>4.3.1.0/17/A/077</v>
          </cell>
        </row>
        <row r="927">
          <cell r="C927" t="str">
            <v>Apstiprināts ar nosacījumu</v>
          </cell>
          <cell r="D927" t="str">
            <v>4.3.1.0/17/A/078</v>
          </cell>
        </row>
        <row r="928">
          <cell r="C928" t="str">
            <v>Apstiprināts ar nosacījumu</v>
          </cell>
          <cell r="D928" t="str">
            <v>4.3.1.0/17/A/079</v>
          </cell>
        </row>
        <row r="929">
          <cell r="C929" t="str">
            <v>Apstiprināts ar nosacījumu</v>
          </cell>
          <cell r="D929" t="str">
            <v>4.3.1.0/17/A/080</v>
          </cell>
        </row>
        <row r="930">
          <cell r="C930" t="str">
            <v>Apstiprināts ar nosacījumu</v>
          </cell>
          <cell r="D930" t="str">
            <v>4.3.1.0/17/A/081</v>
          </cell>
        </row>
        <row r="931">
          <cell r="C931" t="str">
            <v>Apstiprināts ar nosacījumu</v>
          </cell>
          <cell r="D931" t="str">
            <v>4.3.1.0/17/A/082</v>
          </cell>
        </row>
        <row r="932">
          <cell r="C932" t="str">
            <v>Apstiprināts ar nosacījumu</v>
          </cell>
          <cell r="D932" t="str">
            <v>4.3.1.0/17/A/083</v>
          </cell>
        </row>
        <row r="933">
          <cell r="C933" t="str">
            <v>Apstiprināts ar nosacījumu</v>
          </cell>
          <cell r="D933" t="str">
            <v>4.3.1.0/17/A/084</v>
          </cell>
        </row>
        <row r="934">
          <cell r="C934" t="str">
            <v>Apstiprināts ar nosacījumu</v>
          </cell>
          <cell r="D934" t="str">
            <v>4.3.1.0/17/A/085</v>
          </cell>
        </row>
        <row r="935">
          <cell r="C935" t="str">
            <v>Iesniegti precizējumi</v>
          </cell>
          <cell r="D935" t="str">
            <v>4.3.1.0/17/A/002</v>
          </cell>
        </row>
        <row r="936">
          <cell r="C936" t="str">
            <v>Iesniegti precizējumi</v>
          </cell>
          <cell r="D936" t="str">
            <v>4.3.1.0/17/A/006</v>
          </cell>
        </row>
        <row r="937">
          <cell r="C937" t="str">
            <v>Iesniegti precizējumi</v>
          </cell>
          <cell r="D937" t="str">
            <v>4.3.1.0/17/A/008</v>
          </cell>
        </row>
        <row r="938">
          <cell r="C938" t="str">
            <v>Iesniegti precizējumi</v>
          </cell>
          <cell r="D938" t="str">
            <v>4.3.1.0/17/A/009</v>
          </cell>
        </row>
        <row r="939">
          <cell r="C939" t="str">
            <v>Iesniegti precizējumi</v>
          </cell>
          <cell r="D939" t="str">
            <v>4.3.1.0/17/A/010</v>
          </cell>
        </row>
        <row r="940">
          <cell r="C940" t="str">
            <v>Iesniegti precizējumi</v>
          </cell>
          <cell r="D940" t="str">
            <v>4.3.1.0/17/A/014</v>
          </cell>
        </row>
        <row r="941">
          <cell r="C941" t="str">
            <v>Līgums</v>
          </cell>
          <cell r="D941" t="str">
            <v>4.4.1.0/16/I/001</v>
          </cell>
        </row>
        <row r="942">
          <cell r="C942" t="str">
            <v>Līgums</v>
          </cell>
          <cell r="D942" t="str">
            <v>4.5.1.1/16/I/001</v>
          </cell>
        </row>
        <row r="943">
          <cell r="C943" t="str">
            <v>Līgums</v>
          </cell>
          <cell r="D943" t="str">
            <v>4.5.1.1/16/I/002</v>
          </cell>
        </row>
        <row r="944">
          <cell r="C944" t="str">
            <v>Līgums</v>
          </cell>
          <cell r="D944" t="str">
            <v>4.5.1.1/16/I/003</v>
          </cell>
        </row>
        <row r="945">
          <cell r="C945" t="str">
            <v>Iesniegts</v>
          </cell>
          <cell r="D945" t="str">
            <v>4.5.1.2/17/I/004</v>
          </cell>
        </row>
        <row r="946">
          <cell r="C946" t="str">
            <v>Iesniegts</v>
          </cell>
          <cell r="D946" t="str">
            <v>4.5.1.2/17/I/005</v>
          </cell>
        </row>
        <row r="947">
          <cell r="C947" t="str">
            <v>Iesniegts</v>
          </cell>
          <cell r="D947" t="str">
            <v>4.5.1.2/17/I/006</v>
          </cell>
        </row>
        <row r="948">
          <cell r="C948" t="str">
            <v>Līgums</v>
          </cell>
          <cell r="D948" t="str">
            <v>4.5.1.2/17/I/002</v>
          </cell>
        </row>
        <row r="949">
          <cell r="C949" t="str">
            <v>Apstiprināts ar nosacījumu</v>
          </cell>
          <cell r="D949" t="str">
            <v>4.5.1.2/17/I/003</v>
          </cell>
        </row>
        <row r="950">
          <cell r="C950" t="str">
            <v>Apstiprināts ar nosacījumu 2</v>
          </cell>
          <cell r="D950" t="str">
            <v>4.5.1.2/17/I/001</v>
          </cell>
        </row>
        <row r="951">
          <cell r="C951" t="str">
            <v>Pabeigts</v>
          </cell>
          <cell r="D951" t="str">
            <v>5.1.1.0/15/I/001</v>
          </cell>
        </row>
        <row r="952">
          <cell r="C952" t="str">
            <v>Iesniegts</v>
          </cell>
          <cell r="D952" t="str">
            <v>5.1.1.0/17/I/006</v>
          </cell>
        </row>
        <row r="953">
          <cell r="C953" t="str">
            <v>Iesniegts</v>
          </cell>
          <cell r="D953" t="str">
            <v>5.1.1.0/17/I/007</v>
          </cell>
        </row>
        <row r="954">
          <cell r="C954" t="str">
            <v>Iesniegts</v>
          </cell>
          <cell r="D954" t="str">
            <v>5.1.1.0/17/I/008</v>
          </cell>
        </row>
        <row r="955">
          <cell r="C955" t="str">
            <v>Līgums</v>
          </cell>
          <cell r="D955" t="str">
            <v>5.1.1.0/17/I/001</v>
          </cell>
        </row>
        <row r="956">
          <cell r="C956" t="str">
            <v>Līgums</v>
          </cell>
          <cell r="D956" t="str">
            <v>5.1.1.0/17/I/002</v>
          </cell>
        </row>
        <row r="957">
          <cell r="C957" t="str">
            <v>Apstiprināts ar nosacījumu</v>
          </cell>
          <cell r="D957" t="str">
            <v>5.1.1.0/17/I/003</v>
          </cell>
        </row>
        <row r="958">
          <cell r="C958" t="str">
            <v>Apstiprināts ar nosacījumu</v>
          </cell>
          <cell r="D958" t="str">
            <v>5.1.1.0/17/I/004</v>
          </cell>
        </row>
        <row r="959">
          <cell r="C959" t="str">
            <v>Apstiprināts ar nosacījumu</v>
          </cell>
          <cell r="D959" t="str">
            <v>5.1.1.0/17/I/005</v>
          </cell>
        </row>
        <row r="960">
          <cell r="C960" t="str">
            <v>Iesniegts</v>
          </cell>
          <cell r="D960" t="str">
            <v>5.1.2.0/17/I/011</v>
          </cell>
        </row>
        <row r="961">
          <cell r="C961" t="str">
            <v>Līgums</v>
          </cell>
          <cell r="D961" t="str">
            <v>5.1.2.0/16/I/001</v>
          </cell>
        </row>
        <row r="962">
          <cell r="C962" t="str">
            <v>Līgums</v>
          </cell>
          <cell r="D962" t="str">
            <v>5.1.2.0/16/I/002</v>
          </cell>
        </row>
        <row r="963">
          <cell r="C963" t="str">
            <v>Līgums</v>
          </cell>
          <cell r="D963" t="str">
            <v>5.1.2.0/16/I/003</v>
          </cell>
        </row>
        <row r="964">
          <cell r="C964" t="str">
            <v>Līgums</v>
          </cell>
          <cell r="D964" t="str">
            <v>5.1.2.0/16/I/004</v>
          </cell>
        </row>
        <row r="965">
          <cell r="C965" t="str">
            <v>Līgums</v>
          </cell>
          <cell r="D965" t="str">
            <v>5.1.2.0/16/I/005</v>
          </cell>
        </row>
        <row r="966">
          <cell r="C966" t="str">
            <v>Līgums</v>
          </cell>
          <cell r="D966" t="str">
            <v>5.1.2.0/16/I/006</v>
          </cell>
        </row>
        <row r="967">
          <cell r="C967" t="str">
            <v>Līgums</v>
          </cell>
          <cell r="D967" t="str">
            <v>5.1.2.0/17/I/001</v>
          </cell>
        </row>
        <row r="968">
          <cell r="C968" t="str">
            <v>Līgums</v>
          </cell>
          <cell r="D968" t="str">
            <v>5.1.2.0/17/I/002</v>
          </cell>
        </row>
        <row r="969">
          <cell r="C969" t="str">
            <v>Līgums</v>
          </cell>
          <cell r="D969" t="str">
            <v>5.1.2.0/17/I/003</v>
          </cell>
        </row>
        <row r="970">
          <cell r="C970" t="str">
            <v>Līgums</v>
          </cell>
          <cell r="D970" t="str">
            <v>5.1.2.0/17/I/004</v>
          </cell>
        </row>
        <row r="971">
          <cell r="C971" t="str">
            <v>Līgums</v>
          </cell>
          <cell r="D971" t="str">
            <v>5.1.2.0/17/I/005</v>
          </cell>
        </row>
        <row r="972">
          <cell r="C972" t="str">
            <v>Apstiprināts ar nosacījumu</v>
          </cell>
          <cell r="D972" t="str">
            <v>5.1.2.0/17/I/007</v>
          </cell>
        </row>
        <row r="973">
          <cell r="C973" t="str">
            <v>Iesniegti precizējumi</v>
          </cell>
          <cell r="D973" t="str">
            <v>5.1.2.0/17/I/006</v>
          </cell>
        </row>
        <row r="974">
          <cell r="C974" t="str">
            <v>Iesniegti precizējumi</v>
          </cell>
          <cell r="D974" t="str">
            <v>5.1.2.0/17/I/008</v>
          </cell>
        </row>
        <row r="975">
          <cell r="C975" t="str">
            <v>Iesniegti precizējumi</v>
          </cell>
          <cell r="D975" t="str">
            <v>5.1.2.0/17/I/009</v>
          </cell>
        </row>
        <row r="976">
          <cell r="C976" t="str">
            <v>Iesniegti precizējumi</v>
          </cell>
          <cell r="D976" t="str">
            <v>5.1.2.0/17/I/010</v>
          </cell>
        </row>
        <row r="977">
          <cell r="C977" t="str">
            <v>Apstiprināts</v>
          </cell>
          <cell r="D977" t="str">
            <v>5.2.1.2/17/A/001</v>
          </cell>
        </row>
        <row r="978">
          <cell r="C978" t="str">
            <v>Apstiprināts</v>
          </cell>
          <cell r="D978" t="str">
            <v>5.2.1.2/17/A/002</v>
          </cell>
        </row>
        <row r="979">
          <cell r="C979" t="str">
            <v>Apstiprināts</v>
          </cell>
          <cell r="D979" t="str">
            <v>5.2.1.2/17/A/003</v>
          </cell>
        </row>
        <row r="980">
          <cell r="C980" t="str">
            <v>Apstiprināts</v>
          </cell>
          <cell r="D980" t="str">
            <v>5.2.1.2/17/A/004</v>
          </cell>
        </row>
        <row r="981">
          <cell r="C981" t="str">
            <v>Apstiprināts</v>
          </cell>
          <cell r="D981" t="str">
            <v>5.2.1.2/17/A/005</v>
          </cell>
        </row>
        <row r="982">
          <cell r="C982" t="str">
            <v>Noraidīts</v>
          </cell>
          <cell r="D982" t="str">
            <v>5.2.1.2/17/A/006</v>
          </cell>
        </row>
        <row r="983">
          <cell r="C983" t="str">
            <v>Noraidīts</v>
          </cell>
          <cell r="D983" t="str">
            <v>5.2.1.2/17/A/007</v>
          </cell>
        </row>
        <row r="984">
          <cell r="C984" t="str">
            <v>Apstiprināts ar nosacījumu</v>
          </cell>
          <cell r="D984" t="str">
            <v>5.2.1.2/17/A/008</v>
          </cell>
        </row>
        <row r="985">
          <cell r="C985" t="str">
            <v>Noraidīts</v>
          </cell>
          <cell r="D985" t="str">
            <v>5.2.1.1/17/A/001</v>
          </cell>
        </row>
        <row r="986">
          <cell r="C986" t="str">
            <v>Noraidīts</v>
          </cell>
          <cell r="D986" t="str">
            <v>5.2.1.1/17/A/003</v>
          </cell>
        </row>
        <row r="987">
          <cell r="C987" t="str">
            <v>Noraidīts</v>
          </cell>
          <cell r="D987" t="str">
            <v>5.2.1.1/17/A/005</v>
          </cell>
        </row>
        <row r="988">
          <cell r="C988" t="str">
            <v>Noraidīts</v>
          </cell>
          <cell r="D988" t="str">
            <v>5.2.1.1/17/A/008</v>
          </cell>
        </row>
        <row r="989">
          <cell r="C989" t="str">
            <v>Noraidīts</v>
          </cell>
          <cell r="D989" t="str">
            <v>5.2.1.1/17/A/009</v>
          </cell>
        </row>
        <row r="990">
          <cell r="C990" t="str">
            <v>Līgums</v>
          </cell>
          <cell r="D990" t="str">
            <v>5.2.1.1/17/A/002</v>
          </cell>
        </row>
        <row r="991">
          <cell r="C991" t="str">
            <v>Līgums</v>
          </cell>
          <cell r="D991" t="str">
            <v>5.2.1.1/17/A/004</v>
          </cell>
        </row>
        <row r="992">
          <cell r="C992" t="str">
            <v>Līgums</v>
          </cell>
          <cell r="D992" t="str">
            <v>5.2.1.1/17/A/006</v>
          </cell>
        </row>
        <row r="993">
          <cell r="C993" t="str">
            <v>Līgums</v>
          </cell>
          <cell r="D993" t="str">
            <v>5.2.1.1/17/A/007</v>
          </cell>
        </row>
        <row r="994">
          <cell r="C994" t="str">
            <v>Līgums</v>
          </cell>
          <cell r="D994" t="str">
            <v>5.3.1.0/16/I/001</v>
          </cell>
        </row>
        <row r="995">
          <cell r="C995" t="str">
            <v>Līgums</v>
          </cell>
          <cell r="D995" t="str">
            <v>5.3.1.0/16/I/002</v>
          </cell>
        </row>
        <row r="996">
          <cell r="C996" t="str">
            <v>Līgums</v>
          </cell>
          <cell r="D996" t="str">
            <v>5.3.1.0/16/I/003</v>
          </cell>
        </row>
        <row r="997">
          <cell r="C997" t="str">
            <v>Līgums</v>
          </cell>
          <cell r="D997" t="str">
            <v>5.3.1.0/16/I/004</v>
          </cell>
        </row>
        <row r="998">
          <cell r="C998" t="str">
            <v>Līgums</v>
          </cell>
          <cell r="D998" t="str">
            <v>5.3.1.0/16/I/005</v>
          </cell>
        </row>
        <row r="999">
          <cell r="C999" t="str">
            <v>Līgums</v>
          </cell>
          <cell r="D999" t="str">
            <v>5.3.1.0/16/I/006</v>
          </cell>
        </row>
        <row r="1000">
          <cell r="C1000" t="str">
            <v>Līgums</v>
          </cell>
          <cell r="D1000" t="str">
            <v>5.3.1.0/16/I/007</v>
          </cell>
        </row>
        <row r="1001">
          <cell r="C1001" t="str">
            <v>Līgums</v>
          </cell>
          <cell r="D1001" t="str">
            <v>5.3.1.0/16/I/008</v>
          </cell>
        </row>
        <row r="1002">
          <cell r="C1002" t="str">
            <v>Līgums</v>
          </cell>
          <cell r="D1002" t="str">
            <v>5.3.1.0/16/I/009</v>
          </cell>
        </row>
        <row r="1003">
          <cell r="C1003" t="str">
            <v>Līgums</v>
          </cell>
          <cell r="D1003" t="str">
            <v>5.3.1.0/16/I/010</v>
          </cell>
        </row>
        <row r="1004">
          <cell r="C1004" t="str">
            <v>Līgums</v>
          </cell>
          <cell r="D1004" t="str">
            <v>5.3.1.0/16/I/011</v>
          </cell>
        </row>
        <row r="1005">
          <cell r="C1005" t="str">
            <v>Līgums</v>
          </cell>
          <cell r="D1005" t="str">
            <v>5.3.1.0/16/I/012</v>
          </cell>
        </row>
        <row r="1006">
          <cell r="C1006" t="str">
            <v>Līgums</v>
          </cell>
          <cell r="D1006" t="str">
            <v>5.3.1.0/16/I/013</v>
          </cell>
        </row>
        <row r="1007">
          <cell r="C1007" t="str">
            <v>Līgums</v>
          </cell>
          <cell r="D1007" t="str">
            <v>5.3.1.0/16/I/014</v>
          </cell>
        </row>
        <row r="1008">
          <cell r="C1008" t="str">
            <v>Līgums</v>
          </cell>
          <cell r="D1008" t="str">
            <v>5.3.1.0/16/I/015</v>
          </cell>
        </row>
        <row r="1009">
          <cell r="C1009" t="str">
            <v>Apstiprināts</v>
          </cell>
          <cell r="D1009" t="str">
            <v>5.3.1.0/17/I/007</v>
          </cell>
        </row>
        <row r="1010">
          <cell r="C1010" t="str">
            <v>Apstiprināts</v>
          </cell>
          <cell r="D1010" t="str">
            <v>5.3.1.0/17/I/011</v>
          </cell>
        </row>
        <row r="1011">
          <cell r="C1011" t="str">
            <v>Apstiprināts</v>
          </cell>
          <cell r="D1011" t="str">
            <v>5.3.1.0/17/I/013</v>
          </cell>
        </row>
        <row r="1012">
          <cell r="C1012" t="str">
            <v>Apstiprināts</v>
          </cell>
          <cell r="D1012" t="str">
            <v>5.3.1.0/17/I/019</v>
          </cell>
        </row>
        <row r="1013">
          <cell r="C1013" t="str">
            <v>Līgums</v>
          </cell>
          <cell r="D1013" t="str">
            <v>5.3.1.0/17/I/001</v>
          </cell>
        </row>
        <row r="1014">
          <cell r="C1014" t="str">
            <v>Līgums</v>
          </cell>
          <cell r="D1014" t="str">
            <v>5.3.1.0/17/I/002</v>
          </cell>
        </row>
        <row r="1015">
          <cell r="C1015" t="str">
            <v>Līgums</v>
          </cell>
          <cell r="D1015" t="str">
            <v>5.3.1.0/17/I/003</v>
          </cell>
        </row>
        <row r="1016">
          <cell r="C1016" t="str">
            <v>Līgums</v>
          </cell>
          <cell r="D1016" t="str">
            <v>5.3.1.0/17/I/004</v>
          </cell>
        </row>
        <row r="1017">
          <cell r="C1017" t="str">
            <v>Līgums</v>
          </cell>
          <cell r="D1017" t="str">
            <v>5.3.1.0/17/I/010</v>
          </cell>
        </row>
        <row r="1018">
          <cell r="C1018" t="str">
            <v>Līgums</v>
          </cell>
          <cell r="D1018" t="str">
            <v>5.3.1.0/17/I/016</v>
          </cell>
        </row>
        <row r="1019">
          <cell r="C1019" t="str">
            <v>Līgums</v>
          </cell>
          <cell r="D1019" t="str">
            <v>5.3.1.0/17/I/017</v>
          </cell>
        </row>
        <row r="1020">
          <cell r="C1020" t="str">
            <v>Līgums</v>
          </cell>
          <cell r="D1020" t="str">
            <v>5.3.1.0/17/I/018</v>
          </cell>
        </row>
        <row r="1021">
          <cell r="C1021" t="str">
            <v>Līgums</v>
          </cell>
          <cell r="D1021" t="str">
            <v>5.3.1.0/17/I/027</v>
          </cell>
        </row>
        <row r="1022">
          <cell r="C1022" t="str">
            <v>Apstiprināts ar nosacījumu</v>
          </cell>
          <cell r="D1022" t="str">
            <v>5.3.1.0/17/I/030</v>
          </cell>
        </row>
        <row r="1023">
          <cell r="C1023" t="str">
            <v>Apstiprināts ar nosacījumu 2</v>
          </cell>
          <cell r="D1023" t="str">
            <v>5.3.1.0/17/I/005</v>
          </cell>
        </row>
        <row r="1024">
          <cell r="C1024" t="str">
            <v>Apstiprināts ar nosacījumu 2</v>
          </cell>
          <cell r="D1024" t="str">
            <v>5.3.1.0/17/I/008</v>
          </cell>
        </row>
        <row r="1025">
          <cell r="C1025" t="str">
            <v>Apstiprināts ar nosacījumu 2</v>
          </cell>
          <cell r="D1025" t="str">
            <v>5.3.1.0/17/I/020</v>
          </cell>
        </row>
        <row r="1026">
          <cell r="C1026" t="str">
            <v>Apstiprināts ar nosacījumu 2</v>
          </cell>
          <cell r="D1026" t="str">
            <v>5.3.1.0/17/I/025</v>
          </cell>
        </row>
        <row r="1027">
          <cell r="C1027" t="str">
            <v>Iesniegti precizējumi</v>
          </cell>
          <cell r="D1027" t="str">
            <v>5.3.1.0/17/I/006</v>
          </cell>
        </row>
        <row r="1028">
          <cell r="C1028" t="str">
            <v>Iesniegti precizējumi</v>
          </cell>
          <cell r="D1028" t="str">
            <v>5.3.1.0/17/I/009</v>
          </cell>
        </row>
        <row r="1029">
          <cell r="C1029" t="str">
            <v>Iesniegti precizējumi</v>
          </cell>
          <cell r="D1029" t="str">
            <v>5.3.1.0/17/I/012</v>
          </cell>
        </row>
        <row r="1030">
          <cell r="C1030" t="str">
            <v>Iesniegti precizējumi</v>
          </cell>
          <cell r="D1030" t="str">
            <v>5.3.1.0/17/I/014</v>
          </cell>
        </row>
        <row r="1031">
          <cell r="C1031" t="str">
            <v>Iesniegti precizējumi</v>
          </cell>
          <cell r="D1031" t="str">
            <v>5.3.1.0/17/I/021</v>
          </cell>
        </row>
        <row r="1032">
          <cell r="C1032" t="str">
            <v>Iesniegti precizējumi</v>
          </cell>
          <cell r="D1032" t="str">
            <v>5.3.1.0/17/I/022</v>
          </cell>
        </row>
        <row r="1033">
          <cell r="C1033" t="str">
            <v>Iesniegti precizējumi</v>
          </cell>
          <cell r="D1033" t="str">
            <v>5.3.1.0/17/I/024</v>
          </cell>
        </row>
        <row r="1034">
          <cell r="C1034" t="str">
            <v>Iesniegti precizējumi</v>
          </cell>
          <cell r="D1034" t="str">
            <v>5.3.1.0/17/I/026</v>
          </cell>
        </row>
        <row r="1035">
          <cell r="C1035" t="str">
            <v>Iesniegti precizējumi</v>
          </cell>
          <cell r="D1035" t="str">
            <v>5.3.1.0/17/I/028</v>
          </cell>
        </row>
        <row r="1036">
          <cell r="C1036" t="str">
            <v>Iesniegti precizējumi</v>
          </cell>
          <cell r="D1036" t="str">
            <v>5.3.1.0/17/I/029</v>
          </cell>
        </row>
        <row r="1037">
          <cell r="C1037" t="str">
            <v>Iesniegti precizējumi</v>
          </cell>
          <cell r="D1037" t="str">
            <v>5.3.1.0/17/I/031</v>
          </cell>
        </row>
        <row r="1038">
          <cell r="C1038" t="str">
            <v>Iesniegti precizējumi 2</v>
          </cell>
          <cell r="D1038" t="str">
            <v>5.3.1.0/17/I/015</v>
          </cell>
        </row>
        <row r="1039">
          <cell r="C1039" t="str">
            <v>Iesniegti precizējumi 2</v>
          </cell>
          <cell r="D1039" t="str">
            <v>5.3.1.0/17/I/023</v>
          </cell>
        </row>
        <row r="1040">
          <cell r="C1040" t="str">
            <v>Noraidīts</v>
          </cell>
          <cell r="D1040" t="str">
            <v>5.4.1.1/17/A/001</v>
          </cell>
        </row>
        <row r="1041">
          <cell r="C1041" t="str">
            <v>Noraidīts</v>
          </cell>
          <cell r="D1041" t="str">
            <v>5.4.1.1/17/A/002</v>
          </cell>
        </row>
        <row r="1042">
          <cell r="C1042" t="str">
            <v>Noraidīts</v>
          </cell>
          <cell r="D1042" t="str">
            <v>5.4.1.1/17/A/003</v>
          </cell>
        </row>
        <row r="1043">
          <cell r="C1043" t="str">
            <v>Noraidīts</v>
          </cell>
          <cell r="D1043" t="str">
            <v>5.4.1.1/17/A/005</v>
          </cell>
        </row>
        <row r="1044">
          <cell r="C1044" t="str">
            <v>Noraidīts</v>
          </cell>
          <cell r="D1044" t="str">
            <v>5.4.1.1/17/A/007</v>
          </cell>
        </row>
        <row r="1045">
          <cell r="C1045" t="str">
            <v>Noraidīts</v>
          </cell>
          <cell r="D1045" t="str">
            <v>5.4.1.1/17/A/008</v>
          </cell>
        </row>
        <row r="1046">
          <cell r="C1046" t="str">
            <v>Noraidīts</v>
          </cell>
          <cell r="D1046" t="str">
            <v>5.4.1.1/17/A/010</v>
          </cell>
        </row>
        <row r="1047">
          <cell r="C1047" t="str">
            <v>Noraidīts</v>
          </cell>
          <cell r="D1047" t="str">
            <v>5.4.1.1/17/A/012</v>
          </cell>
        </row>
        <row r="1048">
          <cell r="C1048" t="str">
            <v>Noraidīts</v>
          </cell>
          <cell r="D1048" t="str">
            <v>5.4.1.1/17/A/013</v>
          </cell>
        </row>
        <row r="1049">
          <cell r="C1049" t="str">
            <v>Noraidīts</v>
          </cell>
          <cell r="D1049" t="str">
            <v>5.4.1.1/17/A/016</v>
          </cell>
        </row>
        <row r="1050">
          <cell r="C1050" t="str">
            <v>Noraidīts</v>
          </cell>
          <cell r="D1050" t="str">
            <v>5.4.1.1/17/A/017</v>
          </cell>
        </row>
        <row r="1051">
          <cell r="C1051" t="str">
            <v>Noraidīts</v>
          </cell>
          <cell r="D1051" t="str">
            <v>5.4.1.1/17/A/019</v>
          </cell>
        </row>
        <row r="1052">
          <cell r="C1052" t="str">
            <v>Noraidīts</v>
          </cell>
          <cell r="D1052" t="str">
            <v>5.4.1.1/17/A/023</v>
          </cell>
        </row>
        <row r="1053">
          <cell r="C1053" t="str">
            <v>Noraidīts</v>
          </cell>
          <cell r="D1053" t="str">
            <v>5.4.1.1/17/A/025</v>
          </cell>
        </row>
        <row r="1054">
          <cell r="C1054" t="str">
            <v>Noraidīts</v>
          </cell>
          <cell r="D1054" t="str">
            <v>5.4.1.1/17/A/026</v>
          </cell>
        </row>
        <row r="1055">
          <cell r="C1055" t="str">
            <v>Noraidīts</v>
          </cell>
          <cell r="D1055" t="str">
            <v>5.4.1.1/17/A/028</v>
          </cell>
        </row>
        <row r="1056">
          <cell r="C1056" t="str">
            <v>Noraidīts</v>
          </cell>
          <cell r="D1056" t="str">
            <v>5.4.1.1/17/A/029</v>
          </cell>
        </row>
        <row r="1057">
          <cell r="C1057" t="str">
            <v>Noraidīts</v>
          </cell>
          <cell r="D1057" t="str">
            <v>5.4.1.1/17/A/031</v>
          </cell>
        </row>
        <row r="1058">
          <cell r="C1058" t="str">
            <v>Apstiprināts</v>
          </cell>
          <cell r="D1058" t="str">
            <v>5.4.1.1/17/A/020</v>
          </cell>
        </row>
        <row r="1059">
          <cell r="C1059" t="str">
            <v>Līgums</v>
          </cell>
          <cell r="D1059" t="str">
            <v>5.4.1.1/17/A/004</v>
          </cell>
        </row>
        <row r="1060">
          <cell r="C1060" t="str">
            <v>Līgums</v>
          </cell>
          <cell r="D1060" t="str">
            <v>5.4.1.1/17/A/006</v>
          </cell>
        </row>
        <row r="1061">
          <cell r="C1061" t="str">
            <v>Līgums</v>
          </cell>
          <cell r="D1061" t="str">
            <v>5.4.1.1/17/A/009</v>
          </cell>
        </row>
        <row r="1062">
          <cell r="C1062" t="str">
            <v>Līgums</v>
          </cell>
          <cell r="D1062" t="str">
            <v>5.4.1.1/17/A/011</v>
          </cell>
        </row>
        <row r="1063">
          <cell r="C1063" t="str">
            <v>Līgums</v>
          </cell>
          <cell r="D1063" t="str">
            <v>5.4.1.1/17/A/014</v>
          </cell>
        </row>
        <row r="1064">
          <cell r="C1064" t="str">
            <v>Līgums</v>
          </cell>
          <cell r="D1064" t="str">
            <v>5.4.1.1/17/A/015</v>
          </cell>
        </row>
        <row r="1065">
          <cell r="C1065" t="str">
            <v>Līgums</v>
          </cell>
          <cell r="D1065" t="str">
            <v>5.4.1.1/17/A/018</v>
          </cell>
        </row>
        <row r="1066">
          <cell r="C1066" t="str">
            <v>Līgums</v>
          </cell>
          <cell r="D1066" t="str">
            <v>5.4.1.1/17/A/021</v>
          </cell>
        </row>
        <row r="1067">
          <cell r="C1067" t="str">
            <v>Līgums</v>
          </cell>
          <cell r="D1067" t="str">
            <v>5.4.1.1/17/A/022</v>
          </cell>
        </row>
        <row r="1068">
          <cell r="C1068" t="str">
            <v>Līgums</v>
          </cell>
          <cell r="D1068" t="str">
            <v>5.4.1.1/17/A/024</v>
          </cell>
        </row>
        <row r="1069">
          <cell r="C1069" t="str">
            <v>Līgums</v>
          </cell>
          <cell r="D1069" t="str">
            <v>5.4.1.1/17/A/027</v>
          </cell>
        </row>
        <row r="1070">
          <cell r="C1070" t="str">
            <v>Līgums</v>
          </cell>
          <cell r="D1070" t="str">
            <v>5.4.1.1/17/A/030</v>
          </cell>
        </row>
        <row r="1071">
          <cell r="C1071" t="str">
            <v>Līgums</v>
          </cell>
          <cell r="D1071" t="str">
            <v>5.4.2.1/16/I/001</v>
          </cell>
        </row>
        <row r="1072">
          <cell r="C1072" t="str">
            <v>Apstiprināts</v>
          </cell>
          <cell r="D1072" t="str">
            <v>5.4.2.2/17/I/001</v>
          </cell>
        </row>
        <row r="1073">
          <cell r="C1073" t="str">
            <v>Līgums</v>
          </cell>
          <cell r="D1073" t="str">
            <v>5.4.2.2/17/I/002</v>
          </cell>
        </row>
        <row r="1074">
          <cell r="C1074" t="str">
            <v>Apstiprināts</v>
          </cell>
          <cell r="D1074" t="str">
            <v>5.5.1.0/17/I/002</v>
          </cell>
        </row>
        <row r="1075">
          <cell r="C1075" t="str">
            <v>Līgums</v>
          </cell>
          <cell r="D1075" t="str">
            <v>5.5.1.0/17/I/001</v>
          </cell>
        </row>
        <row r="1076">
          <cell r="C1076" t="str">
            <v>Apstiprināts ar nosacījumu</v>
          </cell>
          <cell r="D1076" t="str">
            <v>5.5.1.0/17/I/004</v>
          </cell>
        </row>
        <row r="1077">
          <cell r="C1077" t="str">
            <v>Apstiprināts ar nosacījumu</v>
          </cell>
          <cell r="D1077" t="str">
            <v>5.5.1.0/17/I/005</v>
          </cell>
        </row>
        <row r="1078">
          <cell r="C1078" t="str">
            <v>Apstiprināts ar nosacījumu</v>
          </cell>
          <cell r="D1078" t="str">
            <v>5.5.1.0/17/I/008</v>
          </cell>
        </row>
        <row r="1079">
          <cell r="C1079" t="str">
            <v>Iesniegti precizējumi</v>
          </cell>
          <cell r="D1079" t="str">
            <v>5.5.1.0/17/I/007</v>
          </cell>
        </row>
        <row r="1080">
          <cell r="C1080" t="str">
            <v>Iesniegts</v>
          </cell>
          <cell r="D1080" t="str">
            <v>5.5.1.0/17/I/009</v>
          </cell>
        </row>
        <row r="1081">
          <cell r="C1081" t="str">
            <v>Apstiprināts ar nosacījumu</v>
          </cell>
          <cell r="D1081" t="str">
            <v>5.5.1.0/17/I/006</v>
          </cell>
        </row>
        <row r="1082">
          <cell r="C1082" t="str">
            <v>Iesniegti precizējumi</v>
          </cell>
          <cell r="D1082" t="str">
            <v>5.5.1.0/17/I/003</v>
          </cell>
        </row>
        <row r="1083">
          <cell r="C1083" t="str">
            <v>Līgums</v>
          </cell>
          <cell r="D1083" t="str">
            <v>5.6.1.0/17/I/001</v>
          </cell>
        </row>
        <row r="1084">
          <cell r="C1084" t="str">
            <v>Līgums</v>
          </cell>
          <cell r="D1084" t="str">
            <v>5.6.1.0/17/I/002</v>
          </cell>
        </row>
        <row r="1085">
          <cell r="C1085" t="str">
            <v>Iesniegts</v>
          </cell>
          <cell r="D1085" t="str">
            <v>5.6.2.0/17/I/028</v>
          </cell>
        </row>
        <row r="1086">
          <cell r="C1086" t="str">
            <v>Iesniegts</v>
          </cell>
          <cell r="D1086" t="str">
            <v>5.6.2.0/17/I/029</v>
          </cell>
        </row>
        <row r="1087">
          <cell r="C1087" t="str">
            <v>Līgums</v>
          </cell>
          <cell r="D1087" t="str">
            <v>5.6.2.0/17/I/002</v>
          </cell>
        </row>
        <row r="1088">
          <cell r="C1088" t="str">
            <v>Līgums</v>
          </cell>
          <cell r="D1088" t="str">
            <v>5.6.2.0/17/I/005</v>
          </cell>
        </row>
        <row r="1089">
          <cell r="C1089" t="str">
            <v>Apstiprināts ar nosacījumu 2</v>
          </cell>
          <cell r="D1089" t="str">
            <v>5.6.2.0/16/I/012</v>
          </cell>
        </row>
        <row r="1090">
          <cell r="C1090" t="str">
            <v>Iesniegti precizējumi</v>
          </cell>
          <cell r="D1090" t="str">
            <v>5.6.2.0/16/I/021</v>
          </cell>
        </row>
        <row r="1091">
          <cell r="C1091" t="str">
            <v>Iesniegts</v>
          </cell>
          <cell r="D1091" t="str">
            <v>5.6.2.0/17/I/015</v>
          </cell>
        </row>
        <row r="1092">
          <cell r="C1092" t="str">
            <v>Iesniegts</v>
          </cell>
          <cell r="D1092" t="str">
            <v>5.6.2.0/17/I/016</v>
          </cell>
        </row>
        <row r="1093">
          <cell r="C1093" t="str">
            <v>Iesniegts</v>
          </cell>
          <cell r="D1093" t="str">
            <v>5.6.2.0/17/I/017</v>
          </cell>
        </row>
        <row r="1094">
          <cell r="C1094" t="str">
            <v>Iesniegts</v>
          </cell>
          <cell r="D1094" t="str">
            <v>5.6.2.0/17/I/018</v>
          </cell>
        </row>
        <row r="1095">
          <cell r="C1095" t="str">
            <v>Iesniegts</v>
          </cell>
          <cell r="D1095" t="str">
            <v>5.6.2.0/17/I/019</v>
          </cell>
        </row>
        <row r="1096">
          <cell r="C1096" t="str">
            <v>Iesniegts</v>
          </cell>
          <cell r="D1096" t="str">
            <v>5.6.2.0/17/I/023</v>
          </cell>
        </row>
        <row r="1097">
          <cell r="C1097" t="str">
            <v>Iesniegts</v>
          </cell>
          <cell r="D1097" t="str">
            <v>5.6.2.0/17/I/025</v>
          </cell>
        </row>
        <row r="1098">
          <cell r="C1098" t="str">
            <v>Iesniegts</v>
          </cell>
          <cell r="D1098" t="str">
            <v>5.6.2.0/17/I/026</v>
          </cell>
        </row>
        <row r="1099">
          <cell r="C1099" t="str">
            <v>Apstiprināts</v>
          </cell>
          <cell r="D1099" t="str">
            <v>5.6.2.0/16/I/013</v>
          </cell>
        </row>
        <row r="1100">
          <cell r="C1100" t="str">
            <v>Apstiprināts</v>
          </cell>
          <cell r="D1100" t="str">
            <v>5.6.2.0/17/I/004</v>
          </cell>
        </row>
        <row r="1101">
          <cell r="C1101" t="str">
            <v>Līgums</v>
          </cell>
          <cell r="D1101" t="str">
            <v>5.6.2.0/16/I/001</v>
          </cell>
        </row>
        <row r="1102">
          <cell r="C1102" t="str">
            <v>Līgums</v>
          </cell>
          <cell r="D1102" t="str">
            <v>5.6.2.0/16/I/004</v>
          </cell>
        </row>
        <row r="1103">
          <cell r="C1103" t="str">
            <v>Līgums</v>
          </cell>
          <cell r="D1103" t="str">
            <v>5.6.2.0/16/I/005</v>
          </cell>
        </row>
        <row r="1104">
          <cell r="C1104" t="str">
            <v>Līgums</v>
          </cell>
          <cell r="D1104" t="str">
            <v>5.6.2.0/16/I/007</v>
          </cell>
        </row>
        <row r="1105">
          <cell r="C1105" t="str">
            <v>Līgums</v>
          </cell>
          <cell r="D1105" t="str">
            <v>5.6.2.0/16/I/008</v>
          </cell>
        </row>
        <row r="1106">
          <cell r="C1106" t="str">
            <v>Līgums</v>
          </cell>
          <cell r="D1106" t="str">
            <v>5.6.2.0/16/I/009</v>
          </cell>
        </row>
        <row r="1107">
          <cell r="C1107" t="str">
            <v>Līgums</v>
          </cell>
          <cell r="D1107" t="str">
            <v>5.6.2.0/16/I/010</v>
          </cell>
        </row>
        <row r="1108">
          <cell r="C1108" t="str">
            <v>Līgums</v>
          </cell>
          <cell r="D1108" t="str">
            <v>5.6.2.0/16/I/011</v>
          </cell>
        </row>
        <row r="1109">
          <cell r="C1109" t="str">
            <v>Līgums</v>
          </cell>
          <cell r="D1109" t="str">
            <v>5.6.2.0/16/I/015</v>
          </cell>
        </row>
        <row r="1110">
          <cell r="C1110" t="str">
            <v>Līgums</v>
          </cell>
          <cell r="D1110" t="str">
            <v>5.6.2.0/16/I/016</v>
          </cell>
        </row>
        <row r="1111">
          <cell r="C1111" t="str">
            <v>Līgums</v>
          </cell>
          <cell r="D1111" t="str">
            <v>5.6.2.0/16/I/017</v>
          </cell>
        </row>
        <row r="1112">
          <cell r="C1112" t="str">
            <v>Līgums</v>
          </cell>
          <cell r="D1112" t="str">
            <v>5.6.2.0/16/I/019</v>
          </cell>
        </row>
        <row r="1113">
          <cell r="C1113" t="str">
            <v>Līgums</v>
          </cell>
          <cell r="D1113" t="str">
            <v>5.6.2.0/16/I/020</v>
          </cell>
        </row>
        <row r="1114">
          <cell r="C1114" t="str">
            <v>Līgums</v>
          </cell>
          <cell r="D1114" t="str">
            <v>5.6.2.0/16/I/022</v>
          </cell>
        </row>
        <row r="1115">
          <cell r="C1115" t="str">
            <v>Līgums</v>
          </cell>
          <cell r="D1115" t="str">
            <v>5.6.2.0/16/I/023</v>
          </cell>
        </row>
        <row r="1116">
          <cell r="C1116" t="str">
            <v>Līgums</v>
          </cell>
          <cell r="D1116" t="str">
            <v>5.6.2.0/17/I/001</v>
          </cell>
        </row>
        <row r="1117">
          <cell r="C1117" t="str">
            <v>Līgums</v>
          </cell>
          <cell r="D1117" t="str">
            <v>5.6.2.0/17/I/007</v>
          </cell>
        </row>
        <row r="1118">
          <cell r="C1118" t="str">
            <v>Apstiprināts ar nosacījumu</v>
          </cell>
          <cell r="D1118" t="str">
            <v>5.6.2.0/17/I/008</v>
          </cell>
        </row>
        <row r="1119">
          <cell r="C1119" t="str">
            <v>Apstiprināts ar nosacījumu</v>
          </cell>
          <cell r="D1119" t="str">
            <v>5.6.2.0/17/I/009</v>
          </cell>
        </row>
        <row r="1120">
          <cell r="C1120" t="str">
            <v>Apstiprināts ar nosacījumu</v>
          </cell>
          <cell r="D1120" t="str">
            <v>5.6.2.0/17/I/010</v>
          </cell>
        </row>
        <row r="1121">
          <cell r="C1121" t="str">
            <v>Apstiprināts ar nosacījumu</v>
          </cell>
          <cell r="D1121" t="str">
            <v>5.6.2.0/17/I/011</v>
          </cell>
        </row>
        <row r="1122">
          <cell r="C1122" t="str">
            <v>Apstiprināts ar nosacījumu</v>
          </cell>
          <cell r="D1122" t="str">
            <v>5.6.2.0/17/I/012</v>
          </cell>
        </row>
        <row r="1123">
          <cell r="C1123" t="str">
            <v>Apstiprināts ar nosacījumu</v>
          </cell>
          <cell r="D1123" t="str">
            <v>5.6.2.0/17/I/013</v>
          </cell>
        </row>
        <row r="1124">
          <cell r="C1124" t="str">
            <v>Apstiprināts ar nosacījumu</v>
          </cell>
          <cell r="D1124" t="str">
            <v>5.6.2.0/17/I/014</v>
          </cell>
        </row>
        <row r="1125">
          <cell r="C1125" t="str">
            <v>Apstiprināts ar nosacījumu</v>
          </cell>
          <cell r="D1125" t="str">
            <v>5.6.2.0/17/I/020</v>
          </cell>
        </row>
        <row r="1126">
          <cell r="C1126" t="str">
            <v>Apstiprināts ar nosacījumu</v>
          </cell>
          <cell r="D1126" t="str">
            <v>5.6.2.0/17/I/021</v>
          </cell>
        </row>
        <row r="1127">
          <cell r="C1127" t="str">
            <v>Apstiprināts ar nosacījumu</v>
          </cell>
          <cell r="D1127" t="str">
            <v>5.6.2.0/17/I/027</v>
          </cell>
        </row>
        <row r="1128">
          <cell r="C1128" t="str">
            <v>Apstiprināts ar nosacījumu 2</v>
          </cell>
          <cell r="D1128" t="str">
            <v>5.6.2.0/17/I/006</v>
          </cell>
        </row>
        <row r="1129">
          <cell r="C1129" t="str">
            <v>Iesniegts</v>
          </cell>
          <cell r="D1129" t="str">
            <v>5.6.2.0/17/I/022</v>
          </cell>
        </row>
        <row r="1130">
          <cell r="C1130" t="str">
            <v>Iesniegts</v>
          </cell>
          <cell r="D1130" t="str">
            <v>5.6.2.0/17/I/024</v>
          </cell>
        </row>
        <row r="1131">
          <cell r="C1131" t="str">
            <v>Apstiprināts</v>
          </cell>
          <cell r="D1131" t="str">
            <v>5.6.2.0/17/I/003</v>
          </cell>
        </row>
        <row r="1132">
          <cell r="C1132" t="str">
            <v>Līgums</v>
          </cell>
          <cell r="D1132" t="str">
            <v>5.6.2.0/16/I/002</v>
          </cell>
        </row>
        <row r="1133">
          <cell r="C1133" t="str">
            <v>Līgums</v>
          </cell>
          <cell r="D1133" t="str">
            <v>5.6.2.0/16/I/003</v>
          </cell>
        </row>
        <row r="1134">
          <cell r="C1134" t="str">
            <v>Līgums</v>
          </cell>
          <cell r="D1134" t="str">
            <v>5.6.2.0/16/I/006</v>
          </cell>
        </row>
        <row r="1135">
          <cell r="C1135" t="str">
            <v>Līgums</v>
          </cell>
          <cell r="D1135" t="str">
            <v>5.6.2.0/16/I/018</v>
          </cell>
        </row>
        <row r="1136">
          <cell r="C1136" t="str">
            <v>Iesniegti precizējumi 2</v>
          </cell>
          <cell r="D1136" t="str">
            <v>5.6.2.0/16/I/014</v>
          </cell>
        </row>
        <row r="1137">
          <cell r="C1137" t="str">
            <v>Līgums</v>
          </cell>
          <cell r="D1137" t="str">
            <v>5.6.3.0/17/I/001</v>
          </cell>
        </row>
        <row r="1138">
          <cell r="C1138" t="str">
            <v>Iesniegts</v>
          </cell>
          <cell r="D1138" t="str">
            <v>6.1.1.0/17/I/005</v>
          </cell>
        </row>
        <row r="1139">
          <cell r="C1139" t="str">
            <v>Iesniegts</v>
          </cell>
          <cell r="D1139" t="str">
            <v>6.1.1.0/17/I/006</v>
          </cell>
        </row>
        <row r="1140">
          <cell r="C1140" t="str">
            <v>Atsaukts</v>
          </cell>
          <cell r="D1140" t="str">
            <v>6.1.1.0/16/I/001</v>
          </cell>
        </row>
        <row r="1141">
          <cell r="C1141" t="str">
            <v>Apstiprināts</v>
          </cell>
          <cell r="D1141" t="str">
            <v>6.1.1.0/17/I/003</v>
          </cell>
        </row>
        <row r="1142">
          <cell r="C1142" t="str">
            <v>Līgums</v>
          </cell>
          <cell r="D1142" t="str">
            <v>6.1.1.0/17/I/001</v>
          </cell>
        </row>
        <row r="1143">
          <cell r="C1143" t="str">
            <v>Līgums</v>
          </cell>
          <cell r="D1143" t="str">
            <v>6.1.1.0/17/I/002</v>
          </cell>
        </row>
        <row r="1144">
          <cell r="C1144" t="str">
            <v>Apstiprināts ar nosacījumu</v>
          </cell>
          <cell r="D1144" t="str">
            <v>6.1.1.0/17/I/004</v>
          </cell>
        </row>
        <row r="1145">
          <cell r="C1145" t="str">
            <v>Līgums</v>
          </cell>
          <cell r="D1145" t="str">
            <v>6.1.2.0/16/I/001</v>
          </cell>
        </row>
        <row r="1146">
          <cell r="C1146" t="str">
            <v>Iesniegts</v>
          </cell>
          <cell r="D1146" t="str">
            <v>6.1.3.1/17/I/001</v>
          </cell>
        </row>
        <row r="1147">
          <cell r="C1147" t="str">
            <v>Līgums</v>
          </cell>
          <cell r="D1147" t="str">
            <v>6.1.3.1/16/I/001</v>
          </cell>
        </row>
        <row r="1148">
          <cell r="C1148" t="str">
            <v>Iesniegts</v>
          </cell>
          <cell r="D1148" t="str">
            <v>6.1.4.2/17/I/006</v>
          </cell>
        </row>
        <row r="1149">
          <cell r="C1149" t="str">
            <v>Iesniegts</v>
          </cell>
          <cell r="D1149" t="str">
            <v>6.1.4.2/17/I/007</v>
          </cell>
        </row>
        <row r="1150">
          <cell r="C1150" t="str">
            <v>Iesniegts</v>
          </cell>
          <cell r="D1150" t="str">
            <v>6.1.4.2/17/I/008</v>
          </cell>
        </row>
        <row r="1151">
          <cell r="C1151" t="str">
            <v>Apstiprināts</v>
          </cell>
          <cell r="D1151" t="str">
            <v>6.1.4.2/17/I/005</v>
          </cell>
        </row>
        <row r="1152">
          <cell r="C1152" t="str">
            <v>Līgums</v>
          </cell>
          <cell r="D1152" t="str">
            <v>6.1.4.2/17/I/001</v>
          </cell>
        </row>
        <row r="1153">
          <cell r="C1153" t="str">
            <v>Līgums</v>
          </cell>
          <cell r="D1153" t="str">
            <v>6.1.4.2/17/I/002</v>
          </cell>
        </row>
        <row r="1154">
          <cell r="C1154" t="str">
            <v>Līgums</v>
          </cell>
          <cell r="D1154" t="str">
            <v>6.1.4.2/17/I/003</v>
          </cell>
        </row>
        <row r="1155">
          <cell r="C1155" t="str">
            <v>Apstiprināts ar nosacījumu 2</v>
          </cell>
          <cell r="D1155" t="str">
            <v>6.1.4.2/17/I/004</v>
          </cell>
        </row>
        <row r="1156">
          <cell r="C1156" t="str">
            <v>Līgums</v>
          </cell>
          <cell r="D1156" t="str">
            <v>6.1.5.0/15/I/002</v>
          </cell>
        </row>
        <row r="1157">
          <cell r="C1157" t="str">
            <v>Līgums</v>
          </cell>
          <cell r="D1157" t="str">
            <v>6.1.5.0/15/I/003</v>
          </cell>
        </row>
        <row r="1158">
          <cell r="C1158" t="str">
            <v>Līgums</v>
          </cell>
          <cell r="D1158" t="str">
            <v>6.1.5.0/15/I/010</v>
          </cell>
        </row>
        <row r="1159">
          <cell r="C1159" t="str">
            <v>Līgums</v>
          </cell>
          <cell r="D1159" t="str">
            <v>6.1.5.0/15/I/011</v>
          </cell>
        </row>
        <row r="1160">
          <cell r="C1160" t="str">
            <v>Līgums</v>
          </cell>
          <cell r="D1160" t="str">
            <v>6.1.5.0/15/I/012</v>
          </cell>
        </row>
        <row r="1161">
          <cell r="C1161" t="str">
            <v>Līgums</v>
          </cell>
          <cell r="D1161" t="str">
            <v>6.1.5.0/16/I/001</v>
          </cell>
        </row>
        <row r="1162">
          <cell r="C1162" t="str">
            <v>Līgums</v>
          </cell>
          <cell r="D1162" t="str">
            <v>6.1.5.0/16/I/002</v>
          </cell>
        </row>
        <row r="1163">
          <cell r="C1163" t="str">
            <v>Līgums</v>
          </cell>
          <cell r="D1163" t="str">
            <v>6.1.5.0/16/I/003</v>
          </cell>
        </row>
        <row r="1164">
          <cell r="C1164" t="str">
            <v>Līgums</v>
          </cell>
          <cell r="D1164" t="str">
            <v>6.1.5.0/17/I/001</v>
          </cell>
        </row>
        <row r="1165">
          <cell r="C1165" t="str">
            <v>Līgums</v>
          </cell>
          <cell r="D1165" t="str">
            <v>6.1.5.0/17/I/002</v>
          </cell>
        </row>
        <row r="1166">
          <cell r="C1166" t="str">
            <v>Līgums</v>
          </cell>
          <cell r="D1166" t="str">
            <v>6.1.5.0/17/I/003</v>
          </cell>
        </row>
        <row r="1167">
          <cell r="C1167" t="str">
            <v>Pabeigts</v>
          </cell>
          <cell r="D1167" t="str">
            <v>6.1.5.0/15/I/001</v>
          </cell>
        </row>
        <row r="1168">
          <cell r="C1168" t="str">
            <v>Pabeigts</v>
          </cell>
          <cell r="D1168" t="str">
            <v>6.1.5.0/15/I/004</v>
          </cell>
        </row>
        <row r="1169">
          <cell r="C1169" t="str">
            <v>Pabeigts</v>
          </cell>
          <cell r="D1169" t="str">
            <v>6.1.5.0/15/I/005</v>
          </cell>
        </row>
        <row r="1170">
          <cell r="C1170" t="str">
            <v>Pabeigts</v>
          </cell>
          <cell r="D1170" t="str">
            <v>6.1.5.0/15/I/006</v>
          </cell>
        </row>
        <row r="1171">
          <cell r="C1171" t="str">
            <v>Pabeigts</v>
          </cell>
          <cell r="D1171" t="str">
            <v>6.1.5.0/15/I/007</v>
          </cell>
        </row>
        <row r="1172">
          <cell r="C1172" t="str">
            <v>Pabeigts</v>
          </cell>
          <cell r="D1172" t="str">
            <v>6.1.5.0/15/I/008</v>
          </cell>
        </row>
        <row r="1173">
          <cell r="C1173" t="str">
            <v>Pabeigts</v>
          </cell>
          <cell r="D1173" t="str">
            <v>6.1.5.0/15/I/009</v>
          </cell>
        </row>
        <row r="1174">
          <cell r="C1174" t="str">
            <v>Atsaukts</v>
          </cell>
          <cell r="D1174" t="str">
            <v>6.2.1.1/17/I/001</v>
          </cell>
        </row>
        <row r="1175">
          <cell r="C1175" t="str">
            <v>Līgums</v>
          </cell>
          <cell r="D1175" t="str">
            <v>6.2.1.2/16/I/001</v>
          </cell>
        </row>
        <row r="1176">
          <cell r="C1176" t="str">
            <v>Līgums</v>
          </cell>
          <cell r="D1176" t="str">
            <v>6.2.1.2/16/I/002</v>
          </cell>
        </row>
        <row r="1177">
          <cell r="C1177" t="str">
            <v>Līgums</v>
          </cell>
          <cell r="D1177" t="str">
            <v>6.2.1.2/16/I/003</v>
          </cell>
        </row>
        <row r="1178">
          <cell r="C1178" t="str">
            <v>Iesniegts</v>
          </cell>
          <cell r="D1178" t="str">
            <v>6.3.1.0/17/I/007</v>
          </cell>
        </row>
        <row r="1179">
          <cell r="C1179" t="str">
            <v>Iesniegts</v>
          </cell>
          <cell r="D1179" t="str">
            <v>6.3.1.0/17/I/008</v>
          </cell>
        </row>
        <row r="1180">
          <cell r="C1180" t="str">
            <v>Iesniegts</v>
          </cell>
          <cell r="D1180" t="str">
            <v>6.3.1.0/17/I/009</v>
          </cell>
        </row>
        <row r="1181">
          <cell r="C1181" t="str">
            <v>Iesniegts</v>
          </cell>
          <cell r="D1181" t="str">
            <v>6.3.1.0/17/I/010</v>
          </cell>
        </row>
        <row r="1182">
          <cell r="C1182" t="str">
            <v>Iesniegts</v>
          </cell>
          <cell r="D1182" t="str">
            <v>6.3.1.0/17/I/011</v>
          </cell>
        </row>
        <row r="1183">
          <cell r="C1183" t="str">
            <v>Līgums</v>
          </cell>
          <cell r="D1183" t="str">
            <v>6.3.1.0/16/I/001</v>
          </cell>
        </row>
        <row r="1184">
          <cell r="C1184" t="str">
            <v>Līgums</v>
          </cell>
          <cell r="D1184" t="str">
            <v>6.3.1.0/16/I/003</v>
          </cell>
        </row>
        <row r="1185">
          <cell r="C1185" t="str">
            <v>Līgums</v>
          </cell>
          <cell r="D1185" t="str">
            <v>6.3.1.0/16/I/005</v>
          </cell>
        </row>
        <row r="1186">
          <cell r="C1186" t="str">
            <v>Līgums</v>
          </cell>
          <cell r="D1186" t="str">
            <v>6.3.1.0/16/I/006</v>
          </cell>
        </row>
        <row r="1187">
          <cell r="C1187" t="str">
            <v>Līgums</v>
          </cell>
          <cell r="D1187" t="str">
            <v>6.3.1.0/16/I/008</v>
          </cell>
        </row>
        <row r="1188">
          <cell r="C1188" t="str">
            <v>Līgums</v>
          </cell>
          <cell r="D1188" t="str">
            <v>6.3.1.0/16/I/010</v>
          </cell>
        </row>
        <row r="1189">
          <cell r="C1189" t="str">
            <v>Līgums</v>
          </cell>
          <cell r="D1189" t="str">
            <v>6.3.1.0/16/I/011</v>
          </cell>
        </row>
        <row r="1190">
          <cell r="C1190" t="str">
            <v>Līgums</v>
          </cell>
          <cell r="D1190" t="str">
            <v>6.3.1.0/16/I/012</v>
          </cell>
        </row>
        <row r="1191">
          <cell r="C1191" t="str">
            <v>Līgums</v>
          </cell>
          <cell r="D1191" t="str">
            <v>6.3.1.0/16/I/013</v>
          </cell>
        </row>
        <row r="1192">
          <cell r="C1192" t="str">
            <v>Līgums</v>
          </cell>
          <cell r="D1192" t="str">
            <v>6.3.1.0/16/I/014</v>
          </cell>
        </row>
        <row r="1193">
          <cell r="C1193" t="str">
            <v>Līgums</v>
          </cell>
          <cell r="D1193" t="str">
            <v>6.3.1.0/16/I/015</v>
          </cell>
        </row>
        <row r="1194">
          <cell r="C1194" t="str">
            <v>Līgums</v>
          </cell>
          <cell r="D1194" t="str">
            <v>6.3.1.0/16/I/016</v>
          </cell>
        </row>
        <row r="1195">
          <cell r="C1195" t="str">
            <v>Līgums</v>
          </cell>
          <cell r="D1195" t="str">
            <v>6.3.1.0/16/I/017</v>
          </cell>
        </row>
        <row r="1196">
          <cell r="C1196" t="str">
            <v>Līgums</v>
          </cell>
          <cell r="D1196" t="str">
            <v>6.3.1.0/16/I/018</v>
          </cell>
        </row>
        <row r="1197">
          <cell r="C1197" t="str">
            <v>Līgums</v>
          </cell>
          <cell r="D1197" t="str">
            <v>6.3.1.0/16/I/019</v>
          </cell>
        </row>
        <row r="1198">
          <cell r="C1198" t="str">
            <v>Līgums</v>
          </cell>
          <cell r="D1198" t="str">
            <v>6.3.1.0/16/I/020</v>
          </cell>
        </row>
        <row r="1199">
          <cell r="C1199" t="str">
            <v>Līgums</v>
          </cell>
          <cell r="D1199" t="str">
            <v>6.3.1.0/17/I/001</v>
          </cell>
        </row>
        <row r="1200">
          <cell r="C1200" t="str">
            <v>Līgums</v>
          </cell>
          <cell r="D1200" t="str">
            <v>6.3.1.0/17/I/002</v>
          </cell>
        </row>
        <row r="1201">
          <cell r="C1201" t="str">
            <v>Līgums</v>
          </cell>
          <cell r="D1201" t="str">
            <v>6.3.1.0/17/I/003</v>
          </cell>
        </row>
        <row r="1202">
          <cell r="C1202" t="str">
            <v>Līgums</v>
          </cell>
          <cell r="D1202" t="str">
            <v>6.3.1.0/17/I/004</v>
          </cell>
        </row>
        <row r="1203">
          <cell r="C1203" t="str">
            <v>Līgums</v>
          </cell>
          <cell r="D1203" t="str">
            <v>6.3.1.0/17/I/005</v>
          </cell>
        </row>
        <row r="1204">
          <cell r="C1204" t="str">
            <v>Līgums</v>
          </cell>
          <cell r="D1204" t="str">
            <v>6.3.1.0/17/I/006</v>
          </cell>
        </row>
        <row r="1205">
          <cell r="C1205" t="str">
            <v>Pabeigts</v>
          </cell>
          <cell r="D1205" t="str">
            <v>6.3.1.0/16/I/002</v>
          </cell>
        </row>
        <row r="1206">
          <cell r="C1206" t="str">
            <v>Pabeigts</v>
          </cell>
          <cell r="D1206" t="str">
            <v>6.3.1.0/16/I/004</v>
          </cell>
        </row>
        <row r="1207">
          <cell r="C1207" t="str">
            <v>Pabeigts</v>
          </cell>
          <cell r="D1207" t="str">
            <v>6.3.1.0/16/I/007</v>
          </cell>
        </row>
        <row r="1208">
          <cell r="C1208" t="str">
            <v>Pabeigts</v>
          </cell>
          <cell r="D1208" t="str">
            <v>6.3.1.0/16/I/009</v>
          </cell>
        </row>
        <row r="1209">
          <cell r="C1209" t="str">
            <v>Līgums</v>
          </cell>
          <cell r="D1209" t="str">
            <v>7.1.1.0/15/I/001</v>
          </cell>
        </row>
        <row r="1210">
          <cell r="C1210" t="str">
            <v>Līgums</v>
          </cell>
          <cell r="D1210" t="str">
            <v>7.1.2.1/15/I/001</v>
          </cell>
        </row>
        <row r="1211">
          <cell r="C1211" t="str">
            <v>Līgums</v>
          </cell>
          <cell r="D1211" t="str">
            <v>7.1.2.2/16/I/001</v>
          </cell>
        </row>
        <row r="1212">
          <cell r="C1212" t="str">
            <v>Līgums</v>
          </cell>
          <cell r="D1212" t="str">
            <v>7.2.1.1/15/I/001</v>
          </cell>
        </row>
        <row r="1213">
          <cell r="C1213" t="str">
            <v>Līgums</v>
          </cell>
          <cell r="D1213" t="str">
            <v>7.2.1.2/15/I/001</v>
          </cell>
        </row>
        <row r="1214">
          <cell r="C1214" t="str">
            <v>Līgums</v>
          </cell>
          <cell r="D1214" t="str">
            <v>7.3.1.0/16/I/001</v>
          </cell>
        </row>
        <row r="1215">
          <cell r="C1215" t="str">
            <v>Līgums</v>
          </cell>
          <cell r="D1215" t="str">
            <v>7.3.2.0/16/I/001</v>
          </cell>
        </row>
        <row r="1216">
          <cell r="C1216" t="str">
            <v>Līgums</v>
          </cell>
          <cell r="D1216" t="str">
            <v>8.1.1.0/17/I/001</v>
          </cell>
        </row>
        <row r="1217">
          <cell r="C1217" t="str">
            <v>Līgums</v>
          </cell>
          <cell r="D1217" t="str">
            <v>8.1.1.0/17/I/002</v>
          </cell>
        </row>
        <row r="1218">
          <cell r="C1218" t="str">
            <v>Līgums</v>
          </cell>
          <cell r="D1218" t="str">
            <v>8.1.1.0/17/I/003</v>
          </cell>
        </row>
        <row r="1219">
          <cell r="C1219" t="str">
            <v>Līgums</v>
          </cell>
          <cell r="D1219" t="str">
            <v>8.1.1.0/17/I/004</v>
          </cell>
        </row>
        <row r="1220">
          <cell r="C1220" t="str">
            <v>Līgums</v>
          </cell>
          <cell r="D1220" t="str">
            <v>8.1.1.0/17/I/005</v>
          </cell>
        </row>
        <row r="1221">
          <cell r="C1221" t="str">
            <v>Līgums</v>
          </cell>
          <cell r="D1221" t="str">
            <v>8.1.1.0/17/I/006</v>
          </cell>
        </row>
        <row r="1222">
          <cell r="C1222" t="str">
            <v>Līgums</v>
          </cell>
          <cell r="D1222" t="str">
            <v>8.1.1.0/17/I/007</v>
          </cell>
        </row>
        <row r="1223">
          <cell r="C1223" t="str">
            <v>Līgums</v>
          </cell>
          <cell r="D1223" t="str">
            <v>8.1.1.0/17/I/008</v>
          </cell>
        </row>
        <row r="1224">
          <cell r="C1224" t="str">
            <v>Līgums</v>
          </cell>
          <cell r="D1224" t="str">
            <v>8.1.1.0/17/I/009</v>
          </cell>
        </row>
        <row r="1225">
          <cell r="C1225" t="str">
            <v>Līgums</v>
          </cell>
          <cell r="D1225" t="str">
            <v>8.1.1.0/17/I/010</v>
          </cell>
        </row>
        <row r="1226">
          <cell r="C1226" t="str">
            <v>Līgums</v>
          </cell>
          <cell r="D1226" t="str">
            <v>8.1.1.0/17/I/012</v>
          </cell>
        </row>
        <row r="1227">
          <cell r="C1227" t="str">
            <v>Līgums</v>
          </cell>
          <cell r="D1227" t="str">
            <v>8.1.1.0/17/I/013</v>
          </cell>
        </row>
        <row r="1228">
          <cell r="C1228" t="str">
            <v>Līgums</v>
          </cell>
          <cell r="D1228" t="str">
            <v>8.1.1.0/17/I/014</v>
          </cell>
        </row>
        <row r="1229">
          <cell r="C1229" t="str">
            <v>Apstiprināts ar nosacījumu 2</v>
          </cell>
          <cell r="D1229" t="str">
            <v>8.1.1.0/17/I/011</v>
          </cell>
        </row>
        <row r="1230">
          <cell r="C1230" t="str">
            <v>Iesniegts</v>
          </cell>
          <cell r="D1230" t="str">
            <v>8.1.2.0/17/I/020</v>
          </cell>
        </row>
        <row r="1231">
          <cell r="C1231" t="str">
            <v>Iesniegts</v>
          </cell>
          <cell r="D1231" t="str">
            <v>8.1.2.0/17/I/021</v>
          </cell>
        </row>
        <row r="1232">
          <cell r="C1232" t="str">
            <v>Iesniegts</v>
          </cell>
          <cell r="D1232" t="str">
            <v>8.1.2.0/17/I/023</v>
          </cell>
        </row>
        <row r="1233">
          <cell r="C1233" t="str">
            <v>Iesniegts</v>
          </cell>
          <cell r="D1233" t="str">
            <v>8.1.2.0/17/I/024</v>
          </cell>
        </row>
        <row r="1234">
          <cell r="C1234" t="str">
            <v>Iesniegts</v>
          </cell>
          <cell r="D1234" t="str">
            <v>8.1.2.0/17/I/026</v>
          </cell>
        </row>
        <row r="1235">
          <cell r="C1235" t="str">
            <v>Iesniegts</v>
          </cell>
          <cell r="D1235" t="str">
            <v>8.1.2.0/17/I/029</v>
          </cell>
        </row>
        <row r="1236">
          <cell r="C1236" t="str">
            <v>Iesniegts</v>
          </cell>
          <cell r="D1236" t="str">
            <v>8.1.2.0/17/I/027</v>
          </cell>
        </row>
        <row r="1237">
          <cell r="C1237" t="str">
            <v>Atsaukts</v>
          </cell>
          <cell r="D1237" t="str">
            <v>8.1.2.0/17/I/022</v>
          </cell>
        </row>
        <row r="1238">
          <cell r="C1238" t="str">
            <v>Līgums</v>
          </cell>
          <cell r="D1238" t="str">
            <v>8.1.2.0/17/I/002</v>
          </cell>
        </row>
        <row r="1239">
          <cell r="C1239" t="str">
            <v>Līgums</v>
          </cell>
          <cell r="D1239" t="str">
            <v>8.1.2.0/17/I/003</v>
          </cell>
        </row>
        <row r="1240">
          <cell r="C1240" t="str">
            <v>Līgums</v>
          </cell>
          <cell r="D1240" t="str">
            <v>8.1.2.0/17/I/013</v>
          </cell>
        </row>
        <row r="1241">
          <cell r="C1241" t="str">
            <v>Apstiprināts ar nosacījumu</v>
          </cell>
          <cell r="D1241" t="str">
            <v>8.1.2.0/17/I/017</v>
          </cell>
        </row>
        <row r="1242">
          <cell r="C1242" t="str">
            <v>Apstiprināts ar nosacījumu</v>
          </cell>
          <cell r="D1242" t="str">
            <v>8.1.2.0/17/I/025</v>
          </cell>
        </row>
        <row r="1243">
          <cell r="C1243" t="str">
            <v>Apstiprināts ar nosacījumu 2</v>
          </cell>
          <cell r="D1243" t="str">
            <v>8.1.2.0/17/I/005</v>
          </cell>
        </row>
        <row r="1244">
          <cell r="C1244" t="str">
            <v>Apstiprināts ar nosacījumu 2</v>
          </cell>
          <cell r="D1244" t="str">
            <v>8.1.2.0/17/I/008</v>
          </cell>
        </row>
        <row r="1245">
          <cell r="C1245" t="str">
            <v>Iesniegti precizējumi</v>
          </cell>
          <cell r="D1245" t="str">
            <v>8.1.2.0/17/I/011</v>
          </cell>
        </row>
        <row r="1246">
          <cell r="C1246" t="str">
            <v>Iesniegti precizējumi</v>
          </cell>
          <cell r="D1246" t="str">
            <v>8.1.2.0/17/I/012</v>
          </cell>
        </row>
        <row r="1247">
          <cell r="C1247" t="str">
            <v>Iesniegti precizējumi</v>
          </cell>
          <cell r="D1247" t="str">
            <v>8.1.2.0/17/I/014</v>
          </cell>
        </row>
        <row r="1248">
          <cell r="C1248" t="str">
            <v>Iesniegti precizējumi</v>
          </cell>
          <cell r="D1248" t="str">
            <v>8.1.2.0/17/I/015</v>
          </cell>
        </row>
        <row r="1249">
          <cell r="C1249" t="str">
            <v>Iesniegti precizējumi</v>
          </cell>
          <cell r="D1249" t="str">
            <v>8.1.2.0/17/I/016</v>
          </cell>
        </row>
        <row r="1250">
          <cell r="C1250" t="str">
            <v>Iesniegti precizējumi</v>
          </cell>
          <cell r="D1250" t="str">
            <v>8.1.2.0/17/I/018</v>
          </cell>
        </row>
        <row r="1251">
          <cell r="C1251" t="str">
            <v>Iesniegti precizējumi</v>
          </cell>
          <cell r="D1251" t="str">
            <v>8.1.2.0/17/I/019</v>
          </cell>
        </row>
        <row r="1252">
          <cell r="C1252" t="str">
            <v>Iesniegti precizējumi 2</v>
          </cell>
          <cell r="D1252" t="str">
            <v>8.1.2.0/17/I/004</v>
          </cell>
        </row>
        <row r="1253">
          <cell r="C1253" t="str">
            <v>Iesniegti precizējumi 2</v>
          </cell>
          <cell r="D1253" t="str">
            <v>8.1.2.0/17/I/009</v>
          </cell>
        </row>
        <row r="1254">
          <cell r="C1254" t="str">
            <v>Iesniegts</v>
          </cell>
          <cell r="D1254" t="str">
            <v>8.1.2.0/17/I/028</v>
          </cell>
        </row>
        <row r="1255">
          <cell r="C1255" t="str">
            <v>Līgums</v>
          </cell>
          <cell r="D1255" t="str">
            <v>8.1.2.0/17/I/001</v>
          </cell>
        </row>
        <row r="1256">
          <cell r="C1256" t="str">
            <v>Līgums</v>
          </cell>
          <cell r="D1256" t="str">
            <v>8.1.2.0/17/I/006</v>
          </cell>
        </row>
        <row r="1257">
          <cell r="C1257" t="str">
            <v>Līgums</v>
          </cell>
          <cell r="D1257" t="str">
            <v>8.1.2.0/17/I/007</v>
          </cell>
        </row>
        <row r="1258">
          <cell r="C1258" t="str">
            <v>Apstiprināts ar nosacījumu 2</v>
          </cell>
          <cell r="D1258" t="str">
            <v>8.1.2.0/17/I/010</v>
          </cell>
        </row>
        <row r="1259">
          <cell r="C1259" t="str">
            <v>Iesniegts</v>
          </cell>
          <cell r="D1259" t="str">
            <v>8.1.3.0/17/I/007</v>
          </cell>
        </row>
        <row r="1260">
          <cell r="C1260" t="str">
            <v>Līgums</v>
          </cell>
          <cell r="D1260" t="str">
            <v>8.1.3.0/16/I/001</v>
          </cell>
        </row>
        <row r="1261">
          <cell r="C1261" t="str">
            <v>Līgums</v>
          </cell>
          <cell r="D1261" t="str">
            <v>8.1.3.0/16/I/002</v>
          </cell>
        </row>
        <row r="1262">
          <cell r="C1262" t="str">
            <v>Līgums</v>
          </cell>
          <cell r="D1262" t="str">
            <v>8.1.3.0/16/I/003</v>
          </cell>
        </row>
        <row r="1263">
          <cell r="C1263" t="str">
            <v>Līgums</v>
          </cell>
          <cell r="D1263" t="str">
            <v>8.1.3.0/16/I/004</v>
          </cell>
        </row>
        <row r="1264">
          <cell r="C1264" t="str">
            <v>Līgums</v>
          </cell>
          <cell r="D1264" t="str">
            <v>8.1.3.0/16/I/005</v>
          </cell>
        </row>
        <row r="1265">
          <cell r="C1265" t="str">
            <v>Līgums</v>
          </cell>
          <cell r="D1265" t="str">
            <v>8.1.3.0/16/I/006</v>
          </cell>
        </row>
        <row r="1266">
          <cell r="C1266" t="str">
            <v>Līgums</v>
          </cell>
          <cell r="D1266" t="str">
            <v>8.1.3.0/16/I/007</v>
          </cell>
        </row>
        <row r="1267">
          <cell r="C1267" t="str">
            <v>Līgums</v>
          </cell>
          <cell r="D1267" t="str">
            <v>8.1.3.0/16/I/008</v>
          </cell>
        </row>
        <row r="1268">
          <cell r="C1268" t="str">
            <v>Līgums</v>
          </cell>
          <cell r="D1268" t="str">
            <v>8.1.3.0/16/I/009</v>
          </cell>
        </row>
        <row r="1269">
          <cell r="C1269" t="str">
            <v>Līgums</v>
          </cell>
          <cell r="D1269" t="str">
            <v>8.1.3.0/16/I/011</v>
          </cell>
        </row>
        <row r="1270">
          <cell r="C1270" t="str">
            <v>Līgums</v>
          </cell>
          <cell r="D1270" t="str">
            <v>8.1.3.0/16/I/012</v>
          </cell>
        </row>
        <row r="1271">
          <cell r="C1271" t="str">
            <v>Līgums</v>
          </cell>
          <cell r="D1271" t="str">
            <v>8.1.3.0/16/I/013</v>
          </cell>
        </row>
        <row r="1272">
          <cell r="C1272" t="str">
            <v>Līgums</v>
          </cell>
          <cell r="D1272" t="str">
            <v>8.1.3.0/16/I/015</v>
          </cell>
        </row>
        <row r="1273">
          <cell r="C1273" t="str">
            <v>Līgums</v>
          </cell>
          <cell r="D1273" t="str">
            <v>8.1.3.0/16/I/016</v>
          </cell>
        </row>
        <row r="1274">
          <cell r="C1274" t="str">
            <v>Līgums</v>
          </cell>
          <cell r="D1274" t="str">
            <v>8.1.3.0/17/I/001</v>
          </cell>
        </row>
        <row r="1275">
          <cell r="C1275" t="str">
            <v>Līgums</v>
          </cell>
          <cell r="D1275" t="str">
            <v>8.1.3.0/17/I/003</v>
          </cell>
        </row>
        <row r="1276">
          <cell r="C1276" t="str">
            <v>Apstiprināts ar nosacījumu</v>
          </cell>
          <cell r="D1276" t="str">
            <v>8.1.3.0/17/I/004</v>
          </cell>
        </row>
        <row r="1277">
          <cell r="C1277" t="str">
            <v>Iesniegts</v>
          </cell>
          <cell r="D1277" t="str">
            <v>8.1.3.0/17/I/006</v>
          </cell>
        </row>
        <row r="1278">
          <cell r="C1278" t="str">
            <v>Līgums</v>
          </cell>
          <cell r="D1278" t="str">
            <v>8.1.3.0/16/I/010</v>
          </cell>
        </row>
        <row r="1279">
          <cell r="C1279" t="str">
            <v>Līgums</v>
          </cell>
          <cell r="D1279" t="str">
            <v>8.1.3.0/16/I/014</v>
          </cell>
        </row>
        <row r="1280">
          <cell r="C1280" t="str">
            <v>Līgums</v>
          </cell>
          <cell r="D1280" t="str">
            <v>8.1.3.0/17/I/002</v>
          </cell>
        </row>
        <row r="1281">
          <cell r="C1281" t="str">
            <v>Līgums</v>
          </cell>
          <cell r="D1281" t="str">
            <v>8.1.3.0/17/I/005</v>
          </cell>
        </row>
        <row r="1282">
          <cell r="C1282" t="str">
            <v>Līgums</v>
          </cell>
          <cell r="D1282" t="str">
            <v>8.1.4.0/17/I/001</v>
          </cell>
        </row>
        <row r="1283">
          <cell r="C1283" t="str">
            <v>Līgums</v>
          </cell>
          <cell r="D1283" t="str">
            <v>8.1.4.0/17/I/002</v>
          </cell>
        </row>
        <row r="1284">
          <cell r="C1284" t="str">
            <v>Līgums</v>
          </cell>
          <cell r="D1284" t="str">
            <v>8.1.4.0/17/I/003</v>
          </cell>
        </row>
        <row r="1285">
          <cell r="C1285" t="str">
            <v>Līgums</v>
          </cell>
          <cell r="D1285" t="str">
            <v>8.1.4.0/17/I/004</v>
          </cell>
        </row>
        <row r="1286">
          <cell r="C1286" t="str">
            <v>Līgums</v>
          </cell>
          <cell r="D1286" t="str">
            <v>8.1.4.0/17/I/005</v>
          </cell>
        </row>
        <row r="1287">
          <cell r="C1287" t="str">
            <v>Līgums</v>
          </cell>
          <cell r="D1287" t="str">
            <v>8.1.4.0/17/I/006</v>
          </cell>
        </row>
        <row r="1288">
          <cell r="C1288" t="str">
            <v>Līgums</v>
          </cell>
          <cell r="D1288" t="str">
            <v>8.1.4.0/17/I/007</v>
          </cell>
        </row>
        <row r="1289">
          <cell r="C1289" t="str">
            <v>Līgums</v>
          </cell>
          <cell r="D1289" t="str">
            <v>8.1.4.0/17/I/008</v>
          </cell>
        </row>
        <row r="1290">
          <cell r="C1290" t="str">
            <v>Līgums</v>
          </cell>
          <cell r="D1290" t="str">
            <v>8.1.4.0/17/I/009</v>
          </cell>
        </row>
        <row r="1291">
          <cell r="C1291" t="str">
            <v>Līgums</v>
          </cell>
          <cell r="D1291" t="str">
            <v>8.2.4.0/15/I/001</v>
          </cell>
        </row>
        <row r="1292">
          <cell r="C1292" t="str">
            <v>Noraidīts</v>
          </cell>
          <cell r="D1292" t="str">
            <v>8.3.1.1/16/I/001</v>
          </cell>
        </row>
        <row r="1293">
          <cell r="C1293" t="str">
            <v>Līgums</v>
          </cell>
          <cell r="D1293" t="str">
            <v>8.3.1.1/16/I/002</v>
          </cell>
        </row>
        <row r="1294">
          <cell r="C1294" t="str">
            <v>Līgums</v>
          </cell>
          <cell r="D1294" t="str">
            <v>8.3.2.1/16/I/002</v>
          </cell>
        </row>
        <row r="1295">
          <cell r="C1295" t="str">
            <v>Līgums</v>
          </cell>
          <cell r="D1295" t="str">
            <v>8.3.2.2/16/I/001</v>
          </cell>
        </row>
        <row r="1296">
          <cell r="C1296" t="str">
            <v>Līgums</v>
          </cell>
          <cell r="D1296" t="str">
            <v>8.3.3.0/15/I/001</v>
          </cell>
        </row>
        <row r="1297">
          <cell r="C1297" t="str">
            <v>Līgums</v>
          </cell>
          <cell r="D1297" t="str">
            <v>8.3.4.0/16/I/001</v>
          </cell>
        </row>
        <row r="1298">
          <cell r="C1298" t="str">
            <v>Līgums</v>
          </cell>
          <cell r="D1298" t="str">
            <v>8.3.5.0/16/I/001</v>
          </cell>
        </row>
        <row r="1299">
          <cell r="C1299" t="str">
            <v>Līgums</v>
          </cell>
          <cell r="D1299" t="str">
            <v>8.3.6.1/16/I/001</v>
          </cell>
        </row>
        <row r="1300">
          <cell r="C1300" t="str">
            <v>Iesniegts</v>
          </cell>
          <cell r="D1300" t="str">
            <v>8.3.6.2/17/I/001</v>
          </cell>
        </row>
        <row r="1301">
          <cell r="C1301" t="str">
            <v>Līgums</v>
          </cell>
          <cell r="D1301" t="str">
            <v>8.4.1.0/16/I/001</v>
          </cell>
        </row>
        <row r="1302">
          <cell r="C1302" t="str">
            <v>Līgums</v>
          </cell>
          <cell r="D1302" t="str">
            <v>8.5.1.0/16/I/001</v>
          </cell>
        </row>
        <row r="1303">
          <cell r="C1303" t="str">
            <v>Līgums</v>
          </cell>
          <cell r="D1303" t="str">
            <v>8.5.2.0/16/I/001</v>
          </cell>
        </row>
        <row r="1304">
          <cell r="C1304" t="str">
            <v>Līgums</v>
          </cell>
          <cell r="D1304" t="str">
            <v>8.5.3.0/16/I/001</v>
          </cell>
        </row>
        <row r="1305">
          <cell r="C1305" t="str">
            <v>Līgums</v>
          </cell>
          <cell r="D1305" t="str">
            <v>9.1.1.1/15/I/001</v>
          </cell>
        </row>
        <row r="1306">
          <cell r="C1306" t="str">
            <v>Līgums</v>
          </cell>
          <cell r="D1306" t="str">
            <v>9.1.1.2/15/I/001</v>
          </cell>
        </row>
        <row r="1307">
          <cell r="C1307" t="str">
            <v>Līgums</v>
          </cell>
          <cell r="D1307" t="str">
            <v>9.1.1.3/15/I/001</v>
          </cell>
        </row>
        <row r="1308">
          <cell r="C1308" t="str">
            <v>Līgums</v>
          </cell>
          <cell r="D1308" t="str">
            <v>9.1.2.0/16/I/001</v>
          </cell>
        </row>
        <row r="1309">
          <cell r="C1309" t="str">
            <v>Līgums</v>
          </cell>
          <cell r="D1309" t="str">
            <v>9.1.3.0/16/I/001</v>
          </cell>
        </row>
        <row r="1310">
          <cell r="C1310" t="str">
            <v>Noraidīts</v>
          </cell>
          <cell r="D1310" t="str">
            <v>9.1.4.1/15/I/001</v>
          </cell>
        </row>
        <row r="1311">
          <cell r="C1311" t="str">
            <v>Līgums</v>
          </cell>
          <cell r="D1311" t="str">
            <v>9.1.4.1/16/I/001</v>
          </cell>
        </row>
        <row r="1312">
          <cell r="C1312" t="str">
            <v>Līgums</v>
          </cell>
          <cell r="D1312" t="str">
            <v>9.1.4.2/16/I/001</v>
          </cell>
        </row>
        <row r="1313">
          <cell r="C1313" t="str">
            <v>Līgums</v>
          </cell>
          <cell r="D1313" t="str">
            <v>9.1.4.3/16/I/001</v>
          </cell>
        </row>
        <row r="1314">
          <cell r="C1314" t="str">
            <v>Līgums</v>
          </cell>
          <cell r="D1314" t="str">
            <v>9.1.4.4/16/I/001</v>
          </cell>
        </row>
        <row r="1315">
          <cell r="C1315" t="str">
            <v>Līgums</v>
          </cell>
          <cell r="D1315" t="str">
            <v>9.2.1.1/15/I/001</v>
          </cell>
        </row>
        <row r="1316">
          <cell r="C1316" t="str">
            <v>Līgums</v>
          </cell>
          <cell r="D1316" t="str">
            <v>9.2.1.2/15/I/001</v>
          </cell>
        </row>
        <row r="1317">
          <cell r="C1317" t="str">
            <v>Līgums</v>
          </cell>
          <cell r="D1317" t="str">
            <v>9.2.1.3/16/I/001</v>
          </cell>
        </row>
        <row r="1318">
          <cell r="C1318" t="str">
            <v>Līgums</v>
          </cell>
          <cell r="D1318" t="str">
            <v>9.2.2.1/15/I/001</v>
          </cell>
        </row>
        <row r="1319">
          <cell r="C1319" t="str">
            <v>Līgums</v>
          </cell>
          <cell r="D1319" t="str">
            <v>9.2.2.1/15/I/002</v>
          </cell>
        </row>
        <row r="1320">
          <cell r="C1320" t="str">
            <v>Līgums</v>
          </cell>
          <cell r="D1320" t="str">
            <v>9.2.2.1/15/I/003</v>
          </cell>
        </row>
        <row r="1321">
          <cell r="C1321" t="str">
            <v>Līgums</v>
          </cell>
          <cell r="D1321" t="str">
            <v>9.2.2.1/15/I/004</v>
          </cell>
        </row>
        <row r="1322">
          <cell r="C1322" t="str">
            <v>Līgums</v>
          </cell>
          <cell r="D1322" t="str">
            <v>9.2.2.1/15/I/005</v>
          </cell>
        </row>
        <row r="1323">
          <cell r="C1323" t="str">
            <v>Līgums</v>
          </cell>
          <cell r="D1323" t="str">
            <v>9.2.2.2/16/I/001</v>
          </cell>
        </row>
        <row r="1324">
          <cell r="C1324" t="str">
            <v>Līgums</v>
          </cell>
          <cell r="D1324" t="str">
            <v>9.2.3.0/15/I/001</v>
          </cell>
        </row>
        <row r="1325">
          <cell r="C1325" t="str">
            <v>Noraidīts</v>
          </cell>
          <cell r="D1325" t="str">
            <v>9.2.4.2/16/I/003</v>
          </cell>
        </row>
        <row r="1326">
          <cell r="C1326" t="str">
            <v>Noraidīts</v>
          </cell>
          <cell r="D1326" t="str">
            <v>9.2.4.2/16/I/009</v>
          </cell>
        </row>
        <row r="1327">
          <cell r="C1327" t="str">
            <v>Noraidīts</v>
          </cell>
          <cell r="D1327" t="str">
            <v>9.2.4.2/16/I/010</v>
          </cell>
        </row>
        <row r="1328">
          <cell r="C1328" t="str">
            <v>Noraidīts</v>
          </cell>
          <cell r="D1328" t="str">
            <v>9.2.4.2/16/I/071</v>
          </cell>
        </row>
        <row r="1329">
          <cell r="C1329" t="str">
            <v>Noraidīts</v>
          </cell>
          <cell r="D1329" t="str">
            <v>9.2.4.2/16/I/093</v>
          </cell>
        </row>
        <row r="1330">
          <cell r="C1330" t="str">
            <v>Noraidīts</v>
          </cell>
          <cell r="D1330" t="str">
            <v>9.2.4.2/16/I/096</v>
          </cell>
        </row>
        <row r="1331">
          <cell r="C1331" t="str">
            <v>Atsaukts</v>
          </cell>
          <cell r="D1331" t="str">
            <v>9.2.4.2/16/I/025</v>
          </cell>
        </row>
        <row r="1332">
          <cell r="C1332" t="str">
            <v>Atsaukts</v>
          </cell>
          <cell r="D1332" t="str">
            <v>9.2.4.2/16/I/068</v>
          </cell>
        </row>
        <row r="1333">
          <cell r="C1333" t="str">
            <v>Pārtraukts</v>
          </cell>
          <cell r="D1333" t="str">
            <v>9.2.4.2/16/I/013</v>
          </cell>
        </row>
        <row r="1334">
          <cell r="C1334" t="str">
            <v>Līgums</v>
          </cell>
          <cell r="D1334" t="str">
            <v>9.2.4.2/16/I/001</v>
          </cell>
        </row>
        <row r="1335">
          <cell r="C1335" t="str">
            <v>Līgums</v>
          </cell>
          <cell r="D1335" t="str">
            <v>9.2.4.2/16/I/002</v>
          </cell>
        </row>
        <row r="1336">
          <cell r="C1336" t="str">
            <v>Līgums</v>
          </cell>
          <cell r="D1336" t="str">
            <v>9.2.4.2/16/I/004</v>
          </cell>
        </row>
        <row r="1337">
          <cell r="C1337" t="str">
            <v>Līgums</v>
          </cell>
          <cell r="D1337" t="str">
            <v>9.2.4.2/16/I/005</v>
          </cell>
        </row>
        <row r="1338">
          <cell r="C1338" t="str">
            <v>Līgums</v>
          </cell>
          <cell r="D1338" t="str">
            <v>9.2.4.2/16/I/006</v>
          </cell>
        </row>
        <row r="1339">
          <cell r="C1339" t="str">
            <v>Līgums</v>
          </cell>
          <cell r="D1339" t="str">
            <v>9.2.4.2/16/I/007</v>
          </cell>
        </row>
        <row r="1340">
          <cell r="C1340" t="str">
            <v>Līgums</v>
          </cell>
          <cell r="D1340" t="str">
            <v>9.2.4.2/16/I/008</v>
          </cell>
        </row>
        <row r="1341">
          <cell r="C1341" t="str">
            <v>Līgums</v>
          </cell>
          <cell r="D1341" t="str">
            <v>9.2.4.2/16/I/011</v>
          </cell>
        </row>
        <row r="1342">
          <cell r="C1342" t="str">
            <v>Līgums</v>
          </cell>
          <cell r="D1342" t="str">
            <v>9.2.4.2/16/I/012</v>
          </cell>
        </row>
        <row r="1343">
          <cell r="C1343" t="str">
            <v>Līgums</v>
          </cell>
          <cell r="D1343" t="str">
            <v>9.2.4.2/16/I/014</v>
          </cell>
        </row>
        <row r="1344">
          <cell r="C1344" t="str">
            <v>Līgums</v>
          </cell>
          <cell r="D1344" t="str">
            <v>9.2.4.2/16/I/015</v>
          </cell>
        </row>
        <row r="1345">
          <cell r="C1345" t="str">
            <v>Līgums</v>
          </cell>
          <cell r="D1345" t="str">
            <v>9.2.4.2/16/I/016</v>
          </cell>
        </row>
        <row r="1346">
          <cell r="C1346" t="str">
            <v>Līgums</v>
          </cell>
          <cell r="D1346" t="str">
            <v>9.2.4.2/16/I/017</v>
          </cell>
        </row>
        <row r="1347">
          <cell r="C1347" t="str">
            <v>Līgums</v>
          </cell>
          <cell r="D1347" t="str">
            <v>9.2.4.2/16/I/018</v>
          </cell>
        </row>
        <row r="1348">
          <cell r="C1348" t="str">
            <v>Līgums</v>
          </cell>
          <cell r="D1348" t="str">
            <v>9.2.4.2/16/I/019</v>
          </cell>
        </row>
        <row r="1349">
          <cell r="C1349" t="str">
            <v>Līgums</v>
          </cell>
          <cell r="D1349" t="str">
            <v>9.2.4.2/16/I/020</v>
          </cell>
        </row>
        <row r="1350">
          <cell r="C1350" t="str">
            <v>Līgums</v>
          </cell>
          <cell r="D1350" t="str">
            <v>9.2.4.2/16/I/021</v>
          </cell>
        </row>
        <row r="1351">
          <cell r="C1351" t="str">
            <v>Līgums</v>
          </cell>
          <cell r="D1351" t="str">
            <v>9.2.4.2/16/I/022</v>
          </cell>
        </row>
        <row r="1352">
          <cell r="C1352" t="str">
            <v>Līgums</v>
          </cell>
          <cell r="D1352" t="str">
            <v>9.2.4.2/16/I/023</v>
          </cell>
        </row>
        <row r="1353">
          <cell r="C1353" t="str">
            <v>Līgums</v>
          </cell>
          <cell r="D1353" t="str">
            <v>9.2.4.2/16/I/024</v>
          </cell>
        </row>
        <row r="1354">
          <cell r="C1354" t="str">
            <v>Līgums</v>
          </cell>
          <cell r="D1354" t="str">
            <v>9.2.4.2/16/I/026</v>
          </cell>
        </row>
        <row r="1355">
          <cell r="C1355" t="str">
            <v>Līgums</v>
          </cell>
          <cell r="D1355" t="str">
            <v>9.2.4.2/16/I/027</v>
          </cell>
        </row>
        <row r="1356">
          <cell r="C1356" t="str">
            <v>Līgums</v>
          </cell>
          <cell r="D1356" t="str">
            <v>9.2.4.2/16/I/028</v>
          </cell>
        </row>
        <row r="1357">
          <cell r="C1357" t="str">
            <v>Līgums</v>
          </cell>
          <cell r="D1357" t="str">
            <v>9.2.4.2/16/I/029</v>
          </cell>
        </row>
        <row r="1358">
          <cell r="C1358" t="str">
            <v>Līgums</v>
          </cell>
          <cell r="D1358" t="str">
            <v>9.2.4.2/16/I/030</v>
          </cell>
        </row>
        <row r="1359">
          <cell r="C1359" t="str">
            <v>Līgums</v>
          </cell>
          <cell r="D1359" t="str">
            <v>9.2.4.2/16/I/031</v>
          </cell>
        </row>
        <row r="1360">
          <cell r="C1360" t="str">
            <v>Līgums</v>
          </cell>
          <cell r="D1360" t="str">
            <v>9.2.4.2/16/I/032</v>
          </cell>
        </row>
        <row r="1361">
          <cell r="C1361" t="str">
            <v>Līgums</v>
          </cell>
          <cell r="D1361" t="str">
            <v>9.2.4.2/16/I/033</v>
          </cell>
        </row>
        <row r="1362">
          <cell r="C1362" t="str">
            <v>Līgums</v>
          </cell>
          <cell r="D1362" t="str">
            <v>9.2.4.2/16/I/034</v>
          </cell>
        </row>
        <row r="1363">
          <cell r="C1363" t="str">
            <v>Līgums</v>
          </cell>
          <cell r="D1363" t="str">
            <v>9.2.4.2/16/I/035</v>
          </cell>
        </row>
        <row r="1364">
          <cell r="C1364" t="str">
            <v>Līgums</v>
          </cell>
          <cell r="D1364" t="str">
            <v>9.2.4.2/16/I/036</v>
          </cell>
        </row>
        <row r="1365">
          <cell r="C1365" t="str">
            <v>Līgums</v>
          </cell>
          <cell r="D1365" t="str">
            <v>9.2.4.2/16/I/037</v>
          </cell>
        </row>
        <row r="1366">
          <cell r="C1366" t="str">
            <v>Līgums</v>
          </cell>
          <cell r="D1366" t="str">
            <v>9.2.4.2/16/I/038</v>
          </cell>
        </row>
        <row r="1367">
          <cell r="C1367" t="str">
            <v>Līgums</v>
          </cell>
          <cell r="D1367" t="str">
            <v>9.2.4.2/16/I/039</v>
          </cell>
        </row>
        <row r="1368">
          <cell r="C1368" t="str">
            <v>Līgums</v>
          </cell>
          <cell r="D1368" t="str">
            <v>9.2.4.2/16/I/040</v>
          </cell>
        </row>
        <row r="1369">
          <cell r="C1369" t="str">
            <v>Līgums</v>
          </cell>
          <cell r="D1369" t="str">
            <v>9.2.4.2/16/I/041</v>
          </cell>
        </row>
        <row r="1370">
          <cell r="C1370" t="str">
            <v>Līgums</v>
          </cell>
          <cell r="D1370" t="str">
            <v>9.2.4.2/16/I/042</v>
          </cell>
        </row>
        <row r="1371">
          <cell r="C1371" t="str">
            <v>Līgums</v>
          </cell>
          <cell r="D1371" t="str">
            <v>9.2.4.2/16/I/043</v>
          </cell>
        </row>
        <row r="1372">
          <cell r="C1372" t="str">
            <v>Līgums</v>
          </cell>
          <cell r="D1372" t="str">
            <v>9.2.4.2/16/I/044</v>
          </cell>
        </row>
        <row r="1373">
          <cell r="C1373" t="str">
            <v>Līgums</v>
          </cell>
          <cell r="D1373" t="str">
            <v>9.2.4.2/16/I/045</v>
          </cell>
        </row>
        <row r="1374">
          <cell r="C1374" t="str">
            <v>Līgums</v>
          </cell>
          <cell r="D1374" t="str">
            <v>9.2.4.2/16/I/046</v>
          </cell>
        </row>
        <row r="1375">
          <cell r="C1375" t="str">
            <v>Līgums</v>
          </cell>
          <cell r="D1375" t="str">
            <v>9.2.4.2/16/I/047</v>
          </cell>
        </row>
        <row r="1376">
          <cell r="C1376" t="str">
            <v>Līgums</v>
          </cell>
          <cell r="D1376" t="str">
            <v>9.2.4.2/16/I/048</v>
          </cell>
        </row>
        <row r="1377">
          <cell r="C1377" t="str">
            <v>Līgums</v>
          </cell>
          <cell r="D1377" t="str">
            <v>9.2.4.2/16/I/049</v>
          </cell>
        </row>
        <row r="1378">
          <cell r="C1378" t="str">
            <v>Līgums</v>
          </cell>
          <cell r="D1378" t="str">
            <v>9.2.4.2/16/I/050</v>
          </cell>
        </row>
        <row r="1379">
          <cell r="C1379" t="str">
            <v>Līgums</v>
          </cell>
          <cell r="D1379" t="str">
            <v>9.2.4.2/16/I/051</v>
          </cell>
        </row>
        <row r="1380">
          <cell r="C1380" t="str">
            <v>Līgums</v>
          </cell>
          <cell r="D1380" t="str">
            <v>9.2.4.2/16/I/052</v>
          </cell>
        </row>
        <row r="1381">
          <cell r="C1381" t="str">
            <v>Līgums</v>
          </cell>
          <cell r="D1381" t="str">
            <v>9.2.4.2/16/I/053</v>
          </cell>
        </row>
        <row r="1382">
          <cell r="C1382" t="str">
            <v>Līgums</v>
          </cell>
          <cell r="D1382" t="str">
            <v>9.2.4.2/16/I/054</v>
          </cell>
        </row>
        <row r="1383">
          <cell r="C1383" t="str">
            <v>Līgums</v>
          </cell>
          <cell r="D1383" t="str">
            <v>9.2.4.2/16/I/055</v>
          </cell>
        </row>
        <row r="1384">
          <cell r="C1384" t="str">
            <v>Līgums</v>
          </cell>
          <cell r="D1384" t="str">
            <v>9.2.4.2/16/I/056</v>
          </cell>
        </row>
        <row r="1385">
          <cell r="C1385" t="str">
            <v>Līgums</v>
          </cell>
          <cell r="D1385" t="str">
            <v>9.2.4.2/16/I/057</v>
          </cell>
        </row>
        <row r="1386">
          <cell r="C1386" t="str">
            <v>Līgums</v>
          </cell>
          <cell r="D1386" t="str">
            <v>9.2.4.2/16/I/058</v>
          </cell>
        </row>
        <row r="1387">
          <cell r="C1387" t="str">
            <v>Līgums</v>
          </cell>
          <cell r="D1387" t="str">
            <v>9.2.4.2/16/I/059</v>
          </cell>
        </row>
        <row r="1388">
          <cell r="C1388" t="str">
            <v>Līgums</v>
          </cell>
          <cell r="D1388" t="str">
            <v>9.2.4.2/16/I/060</v>
          </cell>
        </row>
        <row r="1389">
          <cell r="C1389" t="str">
            <v>Līgums</v>
          </cell>
          <cell r="D1389" t="str">
            <v>9.2.4.2/16/I/061</v>
          </cell>
        </row>
        <row r="1390">
          <cell r="C1390" t="str">
            <v>Līgums</v>
          </cell>
          <cell r="D1390" t="str">
            <v>9.2.4.2/16/I/062</v>
          </cell>
        </row>
        <row r="1391">
          <cell r="C1391" t="str">
            <v>Līgums</v>
          </cell>
          <cell r="D1391" t="str">
            <v>9.2.4.2/16/I/063</v>
          </cell>
        </row>
        <row r="1392">
          <cell r="C1392" t="str">
            <v>Līgums</v>
          </cell>
          <cell r="D1392" t="str">
            <v>9.2.4.2/16/I/064</v>
          </cell>
        </row>
        <row r="1393">
          <cell r="C1393" t="str">
            <v>Līgums</v>
          </cell>
          <cell r="D1393" t="str">
            <v>9.2.4.2/16/I/065</v>
          </cell>
        </row>
        <row r="1394">
          <cell r="C1394" t="str">
            <v>Līgums</v>
          </cell>
          <cell r="D1394" t="str">
            <v>9.2.4.2/16/I/066</v>
          </cell>
        </row>
        <row r="1395">
          <cell r="C1395" t="str">
            <v>Līgums</v>
          </cell>
          <cell r="D1395" t="str">
            <v>9.2.4.2/16/I/067</v>
          </cell>
        </row>
        <row r="1396">
          <cell r="C1396" t="str">
            <v>Līgums</v>
          </cell>
          <cell r="D1396" t="str">
            <v>9.2.4.2/16/I/069</v>
          </cell>
        </row>
        <row r="1397">
          <cell r="C1397" t="str">
            <v>Līgums</v>
          </cell>
          <cell r="D1397" t="str">
            <v>9.2.4.2/16/I/070</v>
          </cell>
        </row>
        <row r="1398">
          <cell r="C1398" t="str">
            <v>Līgums</v>
          </cell>
          <cell r="D1398" t="str">
            <v>9.2.4.2/16/I/072</v>
          </cell>
        </row>
        <row r="1399">
          <cell r="C1399" t="str">
            <v>Līgums</v>
          </cell>
          <cell r="D1399" t="str">
            <v>9.2.4.2/16/I/073</v>
          </cell>
        </row>
        <row r="1400">
          <cell r="C1400" t="str">
            <v>Līgums</v>
          </cell>
          <cell r="D1400" t="str">
            <v>9.2.4.2/16/I/074</v>
          </cell>
        </row>
        <row r="1401">
          <cell r="C1401" t="str">
            <v>Līgums</v>
          </cell>
          <cell r="D1401" t="str">
            <v>9.2.4.2/16/I/075</v>
          </cell>
        </row>
        <row r="1402">
          <cell r="C1402" t="str">
            <v>Līgums</v>
          </cell>
          <cell r="D1402" t="str">
            <v>9.2.4.2/16/I/076</v>
          </cell>
        </row>
        <row r="1403">
          <cell r="C1403" t="str">
            <v>Līgums</v>
          </cell>
          <cell r="D1403" t="str">
            <v>9.2.4.2/16/I/077</v>
          </cell>
        </row>
        <row r="1404">
          <cell r="C1404" t="str">
            <v>Līgums</v>
          </cell>
          <cell r="D1404" t="str">
            <v>9.2.4.2/16/I/078</v>
          </cell>
        </row>
        <row r="1405">
          <cell r="C1405" t="str">
            <v>Līgums</v>
          </cell>
          <cell r="D1405" t="str">
            <v>9.2.4.2/16/I/079</v>
          </cell>
        </row>
        <row r="1406">
          <cell r="C1406" t="str">
            <v>Līgums</v>
          </cell>
          <cell r="D1406" t="str">
            <v>9.2.4.2/16/I/080</v>
          </cell>
        </row>
        <row r="1407">
          <cell r="C1407" t="str">
            <v>Līgums</v>
          </cell>
          <cell r="D1407" t="str">
            <v>9.2.4.2/16/I/081</v>
          </cell>
        </row>
        <row r="1408">
          <cell r="C1408" t="str">
            <v>Līgums</v>
          </cell>
          <cell r="D1408" t="str">
            <v>9.2.4.2/16/I/082</v>
          </cell>
        </row>
        <row r="1409">
          <cell r="C1409" t="str">
            <v>Līgums</v>
          </cell>
          <cell r="D1409" t="str">
            <v>9.2.4.2/16/I/083</v>
          </cell>
        </row>
        <row r="1410">
          <cell r="C1410" t="str">
            <v>Līgums</v>
          </cell>
          <cell r="D1410" t="str">
            <v>9.2.4.2/16/I/084</v>
          </cell>
        </row>
        <row r="1411">
          <cell r="C1411" t="str">
            <v>Līgums</v>
          </cell>
          <cell r="D1411" t="str">
            <v>9.2.4.2/16/I/085</v>
          </cell>
        </row>
        <row r="1412">
          <cell r="C1412" t="str">
            <v>Līgums</v>
          </cell>
          <cell r="D1412" t="str">
            <v>9.2.4.2/16/I/086</v>
          </cell>
        </row>
        <row r="1413">
          <cell r="C1413" t="str">
            <v>Līgums</v>
          </cell>
          <cell r="D1413" t="str">
            <v>9.2.4.2/16/I/087</v>
          </cell>
        </row>
        <row r="1414">
          <cell r="C1414" t="str">
            <v>Līgums</v>
          </cell>
          <cell r="D1414" t="str">
            <v>9.2.4.2/16/I/088</v>
          </cell>
        </row>
        <row r="1415">
          <cell r="C1415" t="str">
            <v>Līgums</v>
          </cell>
          <cell r="D1415" t="str">
            <v>9.2.4.2/16/I/089</v>
          </cell>
        </row>
        <row r="1416">
          <cell r="C1416" t="str">
            <v>Līgums</v>
          </cell>
          <cell r="D1416" t="str">
            <v>9.2.4.2/16/I/090</v>
          </cell>
        </row>
        <row r="1417">
          <cell r="C1417" t="str">
            <v>Līgums</v>
          </cell>
          <cell r="D1417" t="str">
            <v>9.2.4.2/16/I/091</v>
          </cell>
        </row>
        <row r="1418">
          <cell r="C1418" t="str">
            <v>Līgums</v>
          </cell>
          <cell r="D1418" t="str">
            <v>9.2.4.2/16/I/092</v>
          </cell>
        </row>
        <row r="1419">
          <cell r="C1419" t="str">
            <v>Līgums</v>
          </cell>
          <cell r="D1419" t="str">
            <v>9.2.4.2/16/I/094</v>
          </cell>
        </row>
        <row r="1420">
          <cell r="C1420" t="str">
            <v>Līgums</v>
          </cell>
          <cell r="D1420" t="str">
            <v>9.2.4.2/16/I/095</v>
          </cell>
        </row>
        <row r="1421">
          <cell r="C1421" t="str">
            <v>Līgums</v>
          </cell>
          <cell r="D1421" t="str">
            <v>9.2.4.2/16/I/097</v>
          </cell>
        </row>
        <row r="1422">
          <cell r="C1422" t="str">
            <v>Līgums</v>
          </cell>
          <cell r="D1422" t="str">
            <v>9.2.4.2/16/I/098</v>
          </cell>
        </row>
        <row r="1423">
          <cell r="C1423" t="str">
            <v>Līgums</v>
          </cell>
          <cell r="D1423" t="str">
            <v>9.2.4.2/16/I/099</v>
          </cell>
        </row>
        <row r="1424">
          <cell r="C1424" t="str">
            <v>Līgums</v>
          </cell>
          <cell r="D1424" t="str">
            <v>9.2.4.2/16/I/100</v>
          </cell>
        </row>
        <row r="1425">
          <cell r="C1425" t="str">
            <v>Līgums</v>
          </cell>
          <cell r="D1425" t="str">
            <v>9.2.4.2/16/I/101</v>
          </cell>
        </row>
        <row r="1426">
          <cell r="C1426" t="str">
            <v>Līgums</v>
          </cell>
          <cell r="D1426" t="str">
            <v>9.2.4.2/16/I/102</v>
          </cell>
        </row>
        <row r="1427">
          <cell r="C1427" t="str">
            <v>Līgums</v>
          </cell>
          <cell r="D1427" t="str">
            <v>9.2.4.2/16/I/103</v>
          </cell>
        </row>
        <row r="1428">
          <cell r="C1428" t="str">
            <v>Līgums</v>
          </cell>
          <cell r="D1428" t="str">
            <v>9.2.4.2/16/I/104</v>
          </cell>
        </row>
        <row r="1429">
          <cell r="C1429" t="str">
            <v>Līgums</v>
          </cell>
          <cell r="D1429" t="str">
            <v>9.2.4.2/16/I/105</v>
          </cell>
        </row>
        <row r="1430">
          <cell r="C1430" t="str">
            <v>Līgums</v>
          </cell>
          <cell r="D1430" t="str">
            <v>9.2.4.2/16/I/106</v>
          </cell>
        </row>
        <row r="1431">
          <cell r="C1431" t="str">
            <v>Līgums</v>
          </cell>
          <cell r="D1431" t="str">
            <v>9.2.4.1/16/I/001</v>
          </cell>
        </row>
        <row r="1432">
          <cell r="C1432" t="str">
            <v>Līgums</v>
          </cell>
          <cell r="D1432" t="str">
            <v>9.2.5.0/17/I/001</v>
          </cell>
        </row>
        <row r="1433">
          <cell r="C1433" t="str">
            <v>Līgums</v>
          </cell>
          <cell r="D1433" t="str">
            <v>9.2.6.0/17/I/001</v>
          </cell>
        </row>
        <row r="1434">
          <cell r="C1434" t="str">
            <v>Līgums</v>
          </cell>
          <cell r="D1434" t="str">
            <v>9.3.1.2/16/I/001</v>
          </cell>
        </row>
        <row r="1435">
          <cell r="C1435" t="str">
            <v>Apstiprināts</v>
          </cell>
          <cell r="D1435" t="str">
            <v>9.3.2.0/17/I/012</v>
          </cell>
        </row>
        <row r="1436">
          <cell r="C1436" t="str">
            <v>Līgums</v>
          </cell>
          <cell r="D1436" t="str">
            <v>9.3.2.0/17/I/001</v>
          </cell>
        </row>
        <row r="1437">
          <cell r="C1437" t="str">
            <v>Līgums</v>
          </cell>
          <cell r="D1437" t="str">
            <v>9.3.2.0/17/I/002</v>
          </cell>
        </row>
        <row r="1438">
          <cell r="C1438" t="str">
            <v>Līgums</v>
          </cell>
          <cell r="D1438" t="str">
            <v>9.3.2.0/17/I/003</v>
          </cell>
        </row>
        <row r="1439">
          <cell r="C1439" t="str">
            <v>Līgums</v>
          </cell>
          <cell r="D1439" t="str">
            <v>9.3.2.0/17/I/004</v>
          </cell>
        </row>
        <row r="1440">
          <cell r="C1440" t="str">
            <v>Līgums</v>
          </cell>
          <cell r="D1440" t="str">
            <v>9.3.2.0/17/I/005</v>
          </cell>
        </row>
        <row r="1441">
          <cell r="C1441" t="str">
            <v>Līgums</v>
          </cell>
          <cell r="D1441" t="str">
            <v>9.3.2.0/17/I/006</v>
          </cell>
        </row>
        <row r="1442">
          <cell r="C1442" t="str">
            <v>Līgums</v>
          </cell>
          <cell r="D1442" t="str">
            <v>9.3.2.0/17/I/007</v>
          </cell>
        </row>
        <row r="1443">
          <cell r="C1443" t="str">
            <v>Līgums</v>
          </cell>
          <cell r="D1443" t="str">
            <v>9.3.2.0/17/I/008</v>
          </cell>
        </row>
        <row r="1444">
          <cell r="C1444" t="str">
            <v>Apstiprināts ar nosacījumu 2</v>
          </cell>
          <cell r="D1444" t="str">
            <v>9.3.2.0/17/I/009</v>
          </cell>
        </row>
        <row r="1445">
          <cell r="C1445" t="str">
            <v>Apstiprināts ar nosacījumu 2</v>
          </cell>
          <cell r="D1445" t="str">
            <v>9.3.2.0/17/I/010</v>
          </cell>
        </row>
        <row r="1446">
          <cell r="C1446" t="str">
            <v>Apstiprināts ar nosacījumu 2</v>
          </cell>
          <cell r="D1446" t="str">
            <v>9.3.2.0/17/I/011</v>
          </cell>
        </row>
        <row r="1447">
          <cell r="C1447" t="str">
            <v>Apstiprināts ar nosacījumu</v>
          </cell>
          <cell r="D1447" t="str">
            <v>9.3.2.0/17/I/013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inis.Dzelzkalejs@fm.gov.l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AB282"/>
  <sheetViews>
    <sheetView topLeftCell="C2" zoomScale="55" zoomScaleNormal="55" zoomScaleSheetLayoutView="55" zoomScalePageLayoutView="50" workbookViewId="0">
      <selection activeCell="M12" sqref="M12"/>
    </sheetView>
  </sheetViews>
  <sheetFormatPr defaultColWidth="9" defaultRowHeight="12.75" outlineLevelRow="1" outlineLevelCol="1" x14ac:dyDescent="0.2"/>
  <cols>
    <col min="1" max="1" width="8.875" style="1" hidden="1" customWidth="1" collapsed="1"/>
    <col min="2" max="2" width="15.625" style="1" hidden="1" customWidth="1" outlineLevel="1"/>
    <col min="3" max="3" width="25.75" style="1" customWidth="1"/>
    <col min="4" max="4" width="10.375" style="1" customWidth="1"/>
    <col min="5" max="5" width="15.25" style="1" customWidth="1" collapsed="1"/>
    <col min="6" max="6" width="13.75" style="1" hidden="1" customWidth="1" outlineLevel="1"/>
    <col min="7" max="7" width="13" style="1" customWidth="1"/>
    <col min="8" max="8" width="13" style="1" customWidth="1" collapsed="1"/>
    <col min="9" max="9" width="11.125" style="1" hidden="1" customWidth="1" outlineLevel="1"/>
    <col min="10" max="10" width="17.625" style="1" customWidth="1"/>
    <col min="11" max="12" width="16.125" style="1" customWidth="1"/>
    <col min="13" max="13" width="11.75" style="1" customWidth="1"/>
    <col min="14" max="14" width="11.125" style="1" customWidth="1"/>
    <col min="15" max="15" width="14" style="1" customWidth="1"/>
    <col min="16" max="16" width="15.875" style="1" customWidth="1"/>
    <col min="17" max="17" width="11.75" style="1" customWidth="1" outlineLevel="1"/>
    <col min="18" max="18" width="10.625" style="1" customWidth="1" outlineLevel="1"/>
    <col min="19" max="19" width="13.75" style="1" customWidth="1" outlineLevel="1"/>
    <col min="20" max="20" width="15.25" style="1" customWidth="1" outlineLevel="1" collapsed="1"/>
    <col min="21" max="21" width="150.375" style="42" customWidth="1" outlineLevel="1"/>
    <col min="22" max="22" width="19.625" style="1" bestFit="1" customWidth="1"/>
    <col min="23" max="23" width="9" style="1"/>
    <col min="24" max="24" width="15.625" style="1" customWidth="1"/>
    <col min="25" max="27" width="9" style="1"/>
    <col min="28" max="28" width="10.625" style="1" bestFit="1" customWidth="1"/>
    <col min="29" max="16384" width="9" style="1"/>
  </cols>
  <sheetData>
    <row r="1" spans="1:22" ht="26.25" hidden="1" customHeight="1" x14ac:dyDescent="0.2"/>
    <row r="2" spans="1:22" ht="24.75" customHeight="1" x14ac:dyDescent="0.2"/>
    <row r="3" spans="1:22" ht="26.25" hidden="1" customHeight="1" x14ac:dyDescent="0.2"/>
    <row r="4" spans="1:22" ht="57" customHeight="1" x14ac:dyDescent="0.2">
      <c r="A4" s="395" t="s">
        <v>168</v>
      </c>
      <c r="B4" s="395"/>
      <c r="C4" s="395"/>
      <c r="D4" s="395"/>
      <c r="E4" s="395"/>
      <c r="F4" s="395"/>
      <c r="G4" s="395"/>
      <c r="H4" s="395"/>
      <c r="I4" s="395"/>
      <c r="J4" s="395"/>
      <c r="K4" s="395"/>
      <c r="L4" s="395"/>
      <c r="M4" s="395"/>
      <c r="N4" s="395"/>
      <c r="O4" s="395"/>
      <c r="P4" s="395"/>
      <c r="Q4" s="395"/>
      <c r="R4" s="395"/>
      <c r="S4" s="395"/>
      <c r="T4" s="395"/>
      <c r="U4" s="395"/>
      <c r="V4" s="32"/>
    </row>
    <row r="5" spans="1:22" s="3" customFormat="1" ht="36" customHeight="1" x14ac:dyDescent="0.3">
      <c r="A5" s="25"/>
      <c r="B5" s="25"/>
      <c r="C5" s="28" t="s">
        <v>320</v>
      </c>
      <c r="D5" s="2"/>
      <c r="E5" s="20"/>
      <c r="F5" s="29"/>
      <c r="G5" s="29"/>
      <c r="H5" s="29"/>
      <c r="I5" s="29"/>
      <c r="J5" s="29"/>
      <c r="K5" s="29"/>
      <c r="L5" s="29"/>
      <c r="M5" s="31"/>
      <c r="N5" s="31"/>
      <c r="O5" s="31"/>
      <c r="P5" s="31"/>
      <c r="Q5" s="31"/>
      <c r="R5" s="31"/>
      <c r="S5" s="31"/>
      <c r="T5" s="31"/>
      <c r="U5" s="43"/>
    </row>
    <row r="6" spans="1:22" s="4" customFormat="1" ht="72.75" customHeight="1" thickBot="1" x14ac:dyDescent="0.25">
      <c r="A6" s="375" t="s">
        <v>18</v>
      </c>
      <c r="B6" s="375" t="s">
        <v>0</v>
      </c>
      <c r="C6" s="375" t="s">
        <v>17</v>
      </c>
      <c r="D6" s="385" t="s">
        <v>169</v>
      </c>
      <c r="E6" s="375" t="s">
        <v>194</v>
      </c>
      <c r="F6" s="375" t="s">
        <v>161</v>
      </c>
      <c r="G6" s="375" t="s">
        <v>187</v>
      </c>
      <c r="H6" s="375" t="s">
        <v>188</v>
      </c>
      <c r="I6" s="378" t="s">
        <v>172</v>
      </c>
      <c r="J6" s="375" t="s">
        <v>321</v>
      </c>
      <c r="K6" s="375" t="s">
        <v>319</v>
      </c>
      <c r="L6" s="375" t="s">
        <v>322</v>
      </c>
      <c r="M6" s="381" t="s">
        <v>189</v>
      </c>
      <c r="N6" s="381"/>
      <c r="O6" s="381"/>
      <c r="P6" s="381"/>
      <c r="Q6" s="383"/>
      <c r="R6" s="383"/>
      <c r="S6" s="383"/>
      <c r="T6" s="384"/>
      <c r="U6" s="393" t="s">
        <v>316</v>
      </c>
    </row>
    <row r="7" spans="1:22" s="4" customFormat="1" ht="70.5" customHeight="1" x14ac:dyDescent="0.2">
      <c r="A7" s="376"/>
      <c r="B7" s="376"/>
      <c r="C7" s="376"/>
      <c r="D7" s="386"/>
      <c r="E7" s="376"/>
      <c r="F7" s="376"/>
      <c r="G7" s="376"/>
      <c r="H7" s="376"/>
      <c r="I7" s="379"/>
      <c r="J7" s="376"/>
      <c r="K7" s="376"/>
      <c r="L7" s="376"/>
      <c r="M7" s="381" t="s">
        <v>170</v>
      </c>
      <c r="N7" s="381"/>
      <c r="O7" s="381"/>
      <c r="P7" s="382"/>
      <c r="Q7" s="388" t="s">
        <v>183</v>
      </c>
      <c r="R7" s="389"/>
      <c r="S7" s="389"/>
      <c r="T7" s="390"/>
      <c r="U7" s="394"/>
    </row>
    <row r="8" spans="1:22" s="4" customFormat="1" ht="116.25" customHeight="1" x14ac:dyDescent="0.2">
      <c r="A8" s="376"/>
      <c r="B8" s="376"/>
      <c r="C8" s="376"/>
      <c r="D8" s="386"/>
      <c r="E8" s="376"/>
      <c r="F8" s="377"/>
      <c r="G8" s="377"/>
      <c r="H8" s="377"/>
      <c r="I8" s="380"/>
      <c r="J8" s="377"/>
      <c r="K8" s="377"/>
      <c r="L8" s="377"/>
      <c r="M8" s="40" t="s">
        <v>186</v>
      </c>
      <c r="N8" s="55" t="s">
        <v>171</v>
      </c>
      <c r="O8" s="41" t="s">
        <v>185</v>
      </c>
      <c r="P8" s="51" t="s">
        <v>184</v>
      </c>
      <c r="Q8" s="52" t="s">
        <v>186</v>
      </c>
      <c r="R8" s="278" t="s">
        <v>171</v>
      </c>
      <c r="S8" s="41" t="s">
        <v>185</v>
      </c>
      <c r="T8" s="53" t="s">
        <v>184</v>
      </c>
      <c r="U8" s="394"/>
    </row>
    <row r="9" spans="1:22" s="4" customFormat="1" ht="29.25" customHeight="1" x14ac:dyDescent="0.2">
      <c r="A9" s="376"/>
      <c r="B9" s="376"/>
      <c r="C9" s="376"/>
      <c r="D9" s="386"/>
      <c r="E9" s="279" t="s">
        <v>317</v>
      </c>
      <c r="F9" s="277"/>
      <c r="G9" s="280">
        <f>SUM(G10:G25)</f>
        <v>1105773772</v>
      </c>
      <c r="H9" s="280">
        <f>SUM(H10:H25)</f>
        <v>267691617.85153958</v>
      </c>
      <c r="I9" s="280">
        <v>0.75</v>
      </c>
      <c r="J9" s="280">
        <f t="shared" ref="J9:L9" si="0">SUM(J10:J25)</f>
        <v>853554292.64999998</v>
      </c>
      <c r="K9" s="280"/>
      <c r="L9" s="280">
        <f t="shared" si="0"/>
        <v>325275652.26325345</v>
      </c>
      <c r="M9" s="280">
        <f>SUM(M10:M25)</f>
        <v>1178829944.9132533</v>
      </c>
      <c r="N9" s="278"/>
      <c r="O9" s="281">
        <f>O14+O17+O22</f>
        <v>-30454243.574876059</v>
      </c>
      <c r="P9" s="282">
        <f>P17</f>
        <v>-1611552.8527495712</v>
      </c>
      <c r="Q9" s="283">
        <f>SUM(Q10:Q25)</f>
        <v>1295774776.715682</v>
      </c>
      <c r="R9" s="284"/>
      <c r="S9" s="285">
        <v>0</v>
      </c>
      <c r="T9" s="286">
        <v>0</v>
      </c>
      <c r="U9" s="400" t="s">
        <v>231</v>
      </c>
    </row>
    <row r="10" spans="1:22" s="4" customFormat="1" ht="21.95" customHeight="1" outlineLevel="1" x14ac:dyDescent="0.35">
      <c r="A10" s="376"/>
      <c r="B10" s="376"/>
      <c r="C10" s="376"/>
      <c r="D10" s="386"/>
      <c r="E10" s="78" t="s">
        <v>143</v>
      </c>
      <c r="F10" s="71" t="s">
        <v>143</v>
      </c>
      <c r="G10" s="72">
        <f>G28+G29+G31+G30+G32+G33+G34+G35+G36+G37+G38</f>
        <v>83094259</v>
      </c>
      <c r="H10" s="72">
        <f>H28+H29+H31+H30+H32+H33+H34+H35+H36+H37+H38</f>
        <v>34255265.871961921</v>
      </c>
      <c r="I10" s="276">
        <v>0.75</v>
      </c>
      <c r="J10" s="276">
        <f t="shared" ref="J10" si="1">J28+J29+J31+J30+J32+J33+J34+J35+J36+J37+J38</f>
        <v>74138732.180000007</v>
      </c>
      <c r="K10" s="73">
        <f>J10/G10</f>
        <v>0.89222448183814973</v>
      </c>
      <c r="L10" s="276">
        <f>M10-J10</f>
        <v>37755954.364434108</v>
      </c>
      <c r="M10" s="72">
        <f>M28+M29+M31+M30+M32+M33+M34+M35+M36+M37+M38</f>
        <v>111894686.54443412</v>
      </c>
      <c r="N10" s="73">
        <f>M10/G10</f>
        <v>1.3465994870287503</v>
      </c>
      <c r="O10" s="72">
        <f>M10-(G10*I10)</f>
        <v>49573992.294434115</v>
      </c>
      <c r="P10" s="74">
        <f>M10-(G10*0.65)</f>
        <v>57883418.194434114</v>
      </c>
      <c r="Q10" s="75">
        <f>Q28+Q29+Q31+Q30+Q32+Q33+Q34+Q35+Q36+Q37+Q38</f>
        <v>114405845.87145244</v>
      </c>
      <c r="R10" s="73">
        <f>Q10/G10</f>
        <v>1.3768200986238104</v>
      </c>
      <c r="S10" s="76">
        <f>Q10-(G10*I10)</f>
        <v>52085151.621452436</v>
      </c>
      <c r="T10" s="77">
        <f>Q10-(G10*0.65)</f>
        <v>60394577.521452434</v>
      </c>
      <c r="U10" s="401"/>
      <c r="V10" s="35"/>
    </row>
    <row r="11" spans="1:22" s="4" customFormat="1" ht="21.95" customHeight="1" outlineLevel="1" x14ac:dyDescent="0.35">
      <c r="A11" s="376"/>
      <c r="B11" s="376"/>
      <c r="C11" s="376"/>
      <c r="D11" s="386"/>
      <c r="E11" s="78" t="s">
        <v>144</v>
      </c>
      <c r="F11" s="78" t="s">
        <v>144</v>
      </c>
      <c r="G11" s="72">
        <f>G40+G41+G42</f>
        <v>23975988</v>
      </c>
      <c r="H11" s="72">
        <f>H40+H41+H42</f>
        <v>10538992.077308552</v>
      </c>
      <c r="I11" s="276">
        <v>0.75</v>
      </c>
      <c r="J11" s="276">
        <f t="shared" ref="J11" si="2">J40+J41+J42</f>
        <v>11645400.399999999</v>
      </c>
      <c r="K11" s="73">
        <f t="shared" ref="K11:K25" si="3">J11/G11</f>
        <v>0.4857109704926445</v>
      </c>
      <c r="L11" s="276">
        <f t="shared" ref="L11:L25" si="4">M11-J11</f>
        <v>12850116.462210082</v>
      </c>
      <c r="M11" s="72">
        <f>M40+M41+M42</f>
        <v>24495516.86221008</v>
      </c>
      <c r="N11" s="73">
        <f t="shared" ref="N11:N25" si="5">M11/G11</f>
        <v>1.0216687154752531</v>
      </c>
      <c r="O11" s="72">
        <f t="shared" ref="O11:O25" si="6">M11-(G11*I11)</f>
        <v>6513525.86221008</v>
      </c>
      <c r="P11" s="74">
        <f t="shared" ref="P11:P25" si="7">M11-(G11*0.65)</f>
        <v>8911124.6622100789</v>
      </c>
      <c r="Q11" s="75">
        <f>Q40+Q41+Q42</f>
        <v>24186961.573529415</v>
      </c>
      <c r="R11" s="73">
        <f t="shared" ref="R11:R25" si="8">Q11/G11</f>
        <v>1.0087993693327431</v>
      </c>
      <c r="S11" s="76">
        <f t="shared" ref="S11:S25" si="9">Q11-(G11*I11)</f>
        <v>6204970.5735294148</v>
      </c>
      <c r="T11" s="77">
        <f t="shared" ref="T11:T25" si="10">Q11-(G11*0.65)</f>
        <v>8602569.3735294137</v>
      </c>
      <c r="U11" s="401"/>
      <c r="V11" s="35"/>
    </row>
    <row r="12" spans="1:22" s="4" customFormat="1" ht="21.95" customHeight="1" outlineLevel="1" x14ac:dyDescent="0.35">
      <c r="A12" s="376"/>
      <c r="B12" s="376"/>
      <c r="C12" s="376"/>
      <c r="D12" s="386"/>
      <c r="E12" s="78" t="s">
        <v>145</v>
      </c>
      <c r="F12" s="71" t="s">
        <v>145</v>
      </c>
      <c r="G12" s="72">
        <f>G44+G45+G46+G47+G48+G49+G50+G51+G52+G53+G54</f>
        <v>79669032</v>
      </c>
      <c r="H12" s="72">
        <f>H44+H45+H46+H47+H48+H49+H50+H51+H52+H53+H54</f>
        <v>18066349.449242234</v>
      </c>
      <c r="I12" s="276">
        <v>0.85</v>
      </c>
      <c r="J12" s="276">
        <f t="shared" ref="J12" si="11">J44+J45+J46+J47+J48+J49+J50+J51+J52+J53+J54</f>
        <v>95354458.850000009</v>
      </c>
      <c r="K12" s="73">
        <f t="shared" si="3"/>
        <v>1.1968823576267378</v>
      </c>
      <c r="L12" s="276">
        <f t="shared" si="4"/>
        <v>29512065.078722402</v>
      </c>
      <c r="M12" s="72">
        <f>M44+M45+M46+M47+M48+M49+M50+M51+M52+M53+M54</f>
        <v>124866523.92872241</v>
      </c>
      <c r="N12" s="73">
        <f t="shared" si="5"/>
        <v>1.5673156908536607</v>
      </c>
      <c r="O12" s="72">
        <f t="shared" si="6"/>
        <v>57147846.728722408</v>
      </c>
      <c r="P12" s="74">
        <f t="shared" si="7"/>
        <v>73081653.128722399</v>
      </c>
      <c r="Q12" s="75">
        <f>Q44+Q45+Q46+Q47+Q48+Q49+Q50+Q51+Q52+Q53+Q54</f>
        <v>127789529.43456942</v>
      </c>
      <c r="R12" s="73">
        <f t="shared" si="8"/>
        <v>1.6040050472129423</v>
      </c>
      <c r="S12" s="76">
        <f t="shared" si="9"/>
        <v>60070852.234569415</v>
      </c>
      <c r="T12" s="77">
        <f t="shared" si="10"/>
        <v>76004658.634569407</v>
      </c>
      <c r="U12" s="401"/>
      <c r="V12" s="35"/>
    </row>
    <row r="13" spans="1:22" s="4" customFormat="1" ht="21.95" customHeight="1" outlineLevel="1" x14ac:dyDescent="0.35">
      <c r="A13" s="376"/>
      <c r="B13" s="376"/>
      <c r="C13" s="376"/>
      <c r="D13" s="386"/>
      <c r="E13" s="78" t="s">
        <v>146</v>
      </c>
      <c r="F13" s="78" t="s">
        <v>146</v>
      </c>
      <c r="G13" s="72">
        <f>G56+G57+G58+G59</f>
        <v>7012838</v>
      </c>
      <c r="H13" s="72">
        <f>H56+H57+H58+H59</f>
        <v>1123274.1675711775</v>
      </c>
      <c r="I13" s="276">
        <v>0.85</v>
      </c>
      <c r="J13" s="276">
        <f t="shared" ref="J13" si="12">J56+J57+J58+J59</f>
        <v>4923696.7300000004</v>
      </c>
      <c r="K13" s="73">
        <f t="shared" si="3"/>
        <v>0.70209760014419276</v>
      </c>
      <c r="L13" s="276">
        <f t="shared" si="4"/>
        <v>2055649.2734140372</v>
      </c>
      <c r="M13" s="72">
        <f>M56+M57+M58+M59</f>
        <v>6979346.0034140376</v>
      </c>
      <c r="N13" s="73">
        <f t="shared" si="5"/>
        <v>0.99522418789854228</v>
      </c>
      <c r="O13" s="72">
        <f t="shared" si="6"/>
        <v>1018433.7034140378</v>
      </c>
      <c r="P13" s="74">
        <f t="shared" si="7"/>
        <v>2421001.3034140375</v>
      </c>
      <c r="Q13" s="75">
        <f>Q56+Q57+Q58+Q59</f>
        <v>7327390.3168235291</v>
      </c>
      <c r="R13" s="73">
        <f t="shared" si="8"/>
        <v>1.0448537834217086</v>
      </c>
      <c r="S13" s="76">
        <f t="shared" si="9"/>
        <v>1366478.0168235293</v>
      </c>
      <c r="T13" s="77">
        <f t="shared" si="10"/>
        <v>2769045.6168235289</v>
      </c>
      <c r="U13" s="401"/>
      <c r="V13" s="35"/>
    </row>
    <row r="14" spans="1:22" s="4" customFormat="1" ht="21.95" customHeight="1" outlineLevel="1" x14ac:dyDescent="0.35">
      <c r="A14" s="376"/>
      <c r="B14" s="376"/>
      <c r="C14" s="376"/>
      <c r="D14" s="386"/>
      <c r="E14" s="120" t="s">
        <v>147</v>
      </c>
      <c r="F14" s="71" t="s">
        <v>147</v>
      </c>
      <c r="G14" s="72">
        <f>G61+G62+G63+G64</f>
        <v>74174925</v>
      </c>
      <c r="H14" s="72">
        <f>H61+H62+H63+H64</f>
        <v>17465636.620791227</v>
      </c>
      <c r="I14" s="276">
        <v>0.75</v>
      </c>
      <c r="J14" s="276">
        <f t="shared" ref="J14" si="13">J61+J62+J63+J64</f>
        <v>20149140.040000003</v>
      </c>
      <c r="K14" s="73">
        <f t="shared" si="3"/>
        <v>0.27164355124053047</v>
      </c>
      <c r="L14" s="276">
        <f t="shared" si="4"/>
        <v>30960329.916218314</v>
      </c>
      <c r="M14" s="72">
        <f>M61+M62+M63+M64</f>
        <v>51109469.956218317</v>
      </c>
      <c r="N14" s="79">
        <f t="shared" si="5"/>
        <v>0.68903972543576308</v>
      </c>
      <c r="O14" s="72">
        <f t="shared" si="6"/>
        <v>-4521723.7937816828</v>
      </c>
      <c r="P14" s="74">
        <f t="shared" si="7"/>
        <v>2895768.7062183172</v>
      </c>
      <c r="Q14" s="75">
        <f>Q61+Q62+Q63+Q64</f>
        <v>56175282.211331397</v>
      </c>
      <c r="R14" s="73">
        <f t="shared" si="8"/>
        <v>0.75733520743474159</v>
      </c>
      <c r="S14" s="76">
        <f t="shared" si="9"/>
        <v>544088.46133139729</v>
      </c>
      <c r="T14" s="77">
        <f t="shared" si="10"/>
        <v>7961580.9613313973</v>
      </c>
      <c r="U14" s="401"/>
      <c r="V14" s="35"/>
    </row>
    <row r="15" spans="1:22" s="4" customFormat="1" ht="21.95" customHeight="1" outlineLevel="1" x14ac:dyDescent="0.35">
      <c r="A15" s="376"/>
      <c r="B15" s="376"/>
      <c r="C15" s="376"/>
      <c r="D15" s="386"/>
      <c r="E15" s="78" t="s">
        <v>148</v>
      </c>
      <c r="F15" s="78" t="s">
        <v>148</v>
      </c>
      <c r="G15" s="72">
        <f>G66+G67+G68+G69</f>
        <v>31678051</v>
      </c>
      <c r="H15" s="72">
        <f>H66+H67+H68+H69</f>
        <v>12019298.103321806</v>
      </c>
      <c r="I15" s="276">
        <v>0.75</v>
      </c>
      <c r="J15" s="276">
        <f t="shared" ref="J15" si="14">J66+J67+J68+J69</f>
        <v>19782774.699999999</v>
      </c>
      <c r="K15" s="73">
        <f t="shared" si="3"/>
        <v>0.6244946919240707</v>
      </c>
      <c r="L15" s="276">
        <f t="shared" si="4"/>
        <v>16593346.360144597</v>
      </c>
      <c r="M15" s="72">
        <f>M66+M67+M68+M69</f>
        <v>36376121.060144596</v>
      </c>
      <c r="N15" s="73">
        <f t="shared" si="5"/>
        <v>1.1483067900908612</v>
      </c>
      <c r="O15" s="72">
        <f t="shared" si="6"/>
        <v>12617582.810144596</v>
      </c>
      <c r="P15" s="74">
        <f t="shared" si="7"/>
        <v>15785387.910144594</v>
      </c>
      <c r="Q15" s="75">
        <f>Q66+Q67+Q68+Q69</f>
        <v>35614218.377708338</v>
      </c>
      <c r="R15" s="73">
        <f t="shared" si="8"/>
        <v>1.1242553520009277</v>
      </c>
      <c r="S15" s="76">
        <f t="shared" si="9"/>
        <v>11855680.127708338</v>
      </c>
      <c r="T15" s="77">
        <f t="shared" si="10"/>
        <v>15023485.227708336</v>
      </c>
      <c r="U15" s="401"/>
      <c r="V15" s="35"/>
    </row>
    <row r="16" spans="1:22" s="4" customFormat="1" ht="21.95" customHeight="1" outlineLevel="1" x14ac:dyDescent="0.35">
      <c r="A16" s="376"/>
      <c r="B16" s="376"/>
      <c r="C16" s="376"/>
      <c r="D16" s="386"/>
      <c r="E16" s="121" t="s">
        <v>149</v>
      </c>
      <c r="F16" s="71" t="s">
        <v>149</v>
      </c>
      <c r="G16" s="72">
        <f>G71+G72+G73+G74+G75+G76+G77</f>
        <v>109957466</v>
      </c>
      <c r="H16" s="72">
        <f>H71+H72+H73+H74+H75+H76+H77</f>
        <v>26405878.707944859</v>
      </c>
      <c r="I16" s="276">
        <v>0.75</v>
      </c>
      <c r="J16" s="276">
        <f t="shared" ref="J16" si="15">J71+J72+J73+J74+J75+J76+J77</f>
        <v>50283944.030000001</v>
      </c>
      <c r="K16" s="73">
        <f t="shared" si="3"/>
        <v>0.45730359073571231</v>
      </c>
      <c r="L16" s="276">
        <f t="shared" si="4"/>
        <v>35519149.327057213</v>
      </c>
      <c r="M16" s="72">
        <f>M71+M72+M73+M74+M75+M76+M77</f>
        <v>85803093.357057214</v>
      </c>
      <c r="N16" s="80">
        <f t="shared" si="5"/>
        <v>0.78032985370049557</v>
      </c>
      <c r="O16" s="72">
        <f t="shared" si="6"/>
        <v>3334993.8570572138</v>
      </c>
      <c r="P16" s="74">
        <f t="shared" si="7"/>
        <v>14330740.457057208</v>
      </c>
      <c r="Q16" s="75">
        <f>Q71+Q72+Q73+Q74+Q75+Q76+Q77</f>
        <v>102259609.34048858</v>
      </c>
      <c r="R16" s="73">
        <f t="shared" si="8"/>
        <v>0.92999241488966822</v>
      </c>
      <c r="S16" s="76">
        <f t="shared" si="9"/>
        <v>19791509.840488583</v>
      </c>
      <c r="T16" s="77">
        <f t="shared" si="10"/>
        <v>30787256.440488577</v>
      </c>
      <c r="U16" s="401"/>
      <c r="V16" s="35"/>
    </row>
    <row r="17" spans="1:24" s="4" customFormat="1" ht="21.95" customHeight="1" outlineLevel="1" x14ac:dyDescent="0.35">
      <c r="A17" s="376"/>
      <c r="B17" s="376"/>
      <c r="C17" s="376"/>
      <c r="D17" s="386"/>
      <c r="E17" s="120" t="s">
        <v>150</v>
      </c>
      <c r="F17" s="78" t="s">
        <v>150</v>
      </c>
      <c r="G17" s="72">
        <f>G79+G80+G81+G82+G83+G84+G85</f>
        <v>46013028</v>
      </c>
      <c r="H17" s="72">
        <f>H79+H80+H81+H82+H83+H84+H85</f>
        <v>12102145.191502687</v>
      </c>
      <c r="I17" s="276">
        <v>0.85</v>
      </c>
      <c r="J17" s="276">
        <f t="shared" ref="J17" si="16">J79+J80+J81+J82+J83+J84+J85</f>
        <v>16031992.399999999</v>
      </c>
      <c r="K17" s="73">
        <f t="shared" si="3"/>
        <v>0.34842289448979535</v>
      </c>
      <c r="L17" s="276">
        <f t="shared" si="4"/>
        <v>12264922.94725043</v>
      </c>
      <c r="M17" s="72">
        <f>M79+M80+M81+M82+M83+M84+M85</f>
        <v>28296915.347250428</v>
      </c>
      <c r="N17" s="79">
        <f t="shared" si="5"/>
        <v>0.61497616169165015</v>
      </c>
      <c r="O17" s="72">
        <f t="shared" si="6"/>
        <v>-10814158.452749569</v>
      </c>
      <c r="P17" s="74">
        <f t="shared" si="7"/>
        <v>-1611552.8527495712</v>
      </c>
      <c r="Q17" s="75">
        <f>Q79+Q80+Q81+Q82+Q83+Q84+Q85</f>
        <v>46086084.727796137</v>
      </c>
      <c r="R17" s="73">
        <f t="shared" si="8"/>
        <v>1.0015877400591011</v>
      </c>
      <c r="S17" s="76">
        <f t="shared" si="9"/>
        <v>6975010.9277961403</v>
      </c>
      <c r="T17" s="77">
        <f t="shared" si="10"/>
        <v>16177616.527796138</v>
      </c>
      <c r="U17" s="401"/>
      <c r="V17" s="35"/>
    </row>
    <row r="18" spans="1:24" s="4" customFormat="1" ht="21.95" customHeight="1" outlineLevel="1" x14ac:dyDescent="0.35">
      <c r="A18" s="376"/>
      <c r="B18" s="376"/>
      <c r="C18" s="376"/>
      <c r="D18" s="386"/>
      <c r="E18" s="78" t="s">
        <v>151</v>
      </c>
      <c r="F18" s="78" t="s">
        <v>151</v>
      </c>
      <c r="G18" s="72">
        <f>G87</f>
        <v>72852630</v>
      </c>
      <c r="H18" s="72">
        <f>H87</f>
        <v>14363011</v>
      </c>
      <c r="I18" s="276">
        <v>0.75</v>
      </c>
      <c r="J18" s="276">
        <f t="shared" ref="J18" si="17">J87</f>
        <v>152107791.14000005</v>
      </c>
      <c r="K18" s="73">
        <f t="shared" si="3"/>
        <v>2.0878833219885138</v>
      </c>
      <c r="L18" s="276">
        <f t="shared" si="4"/>
        <v>29259508.299697787</v>
      </c>
      <c r="M18" s="72">
        <f>M87</f>
        <v>181367299.43969783</v>
      </c>
      <c r="N18" s="73">
        <f t="shared" si="5"/>
        <v>2.4895092934832665</v>
      </c>
      <c r="O18" s="72">
        <f t="shared" si="6"/>
        <v>126727826.93969783</v>
      </c>
      <c r="P18" s="74">
        <f t="shared" si="7"/>
        <v>134013089.93969783</v>
      </c>
      <c r="Q18" s="75">
        <f>Q87</f>
        <v>178628248.42352948</v>
      </c>
      <c r="R18" s="73">
        <f t="shared" si="8"/>
        <v>2.4519121468027918</v>
      </c>
      <c r="S18" s="76">
        <f t="shared" si="9"/>
        <v>123988775.92352948</v>
      </c>
      <c r="T18" s="77">
        <f t="shared" si="10"/>
        <v>131274038.92352948</v>
      </c>
      <c r="U18" s="401"/>
      <c r="V18" s="35"/>
    </row>
    <row r="19" spans="1:24" s="4" customFormat="1" ht="21.95" customHeight="1" outlineLevel="1" x14ac:dyDescent="0.35">
      <c r="A19" s="376"/>
      <c r="B19" s="376"/>
      <c r="C19" s="376"/>
      <c r="D19" s="386"/>
      <c r="E19" s="78" t="s">
        <v>152</v>
      </c>
      <c r="F19" s="78" t="s">
        <v>152</v>
      </c>
      <c r="G19" s="72">
        <f>G89+G90+G91+G92+G93+G94+G95+G96+G97</f>
        <v>306148623</v>
      </c>
      <c r="H19" s="72">
        <f>H89+H90+H91+H92+H93+H94+H95+H96+H97</f>
        <v>57183035.877791017</v>
      </c>
      <c r="I19" s="276">
        <v>0.75</v>
      </c>
      <c r="J19" s="276">
        <f t="shared" ref="J19" si="18">J89+J90+J91+J92+J93+J94+J95+J96+J97</f>
        <v>212175789.02999997</v>
      </c>
      <c r="K19" s="73">
        <f t="shared" si="3"/>
        <v>0.69304832061910004</v>
      </c>
      <c r="L19" s="276">
        <f t="shared" si="4"/>
        <v>54936469.811981231</v>
      </c>
      <c r="M19" s="72">
        <f>M89+M90+M91+M92+M93+M94+M95+M96+M97</f>
        <v>267112258.8419812</v>
      </c>
      <c r="N19" s="73">
        <f t="shared" si="5"/>
        <v>0.87249211257102799</v>
      </c>
      <c r="O19" s="72">
        <f t="shared" si="6"/>
        <v>37500791.591981202</v>
      </c>
      <c r="P19" s="74">
        <f t="shared" si="7"/>
        <v>68115653.891981184</v>
      </c>
      <c r="Q19" s="75">
        <f>Q89+Q90+Q91+Q92+Q93+Q94+Q95+Q96+Q97</f>
        <v>290838482.79888833</v>
      </c>
      <c r="R19" s="73">
        <f t="shared" si="8"/>
        <v>0.94999115118962441</v>
      </c>
      <c r="S19" s="76">
        <f t="shared" si="9"/>
        <v>61227015.548888326</v>
      </c>
      <c r="T19" s="77">
        <f t="shared" si="10"/>
        <v>91841877.848888308</v>
      </c>
      <c r="U19" s="401"/>
      <c r="V19" s="35"/>
    </row>
    <row r="20" spans="1:24" s="4" customFormat="1" ht="21.95" customHeight="1" outlineLevel="1" x14ac:dyDescent="0.35">
      <c r="A20" s="376"/>
      <c r="B20" s="376"/>
      <c r="C20" s="376"/>
      <c r="D20" s="386"/>
      <c r="E20" s="78" t="s">
        <v>153</v>
      </c>
      <c r="F20" s="78" t="s">
        <v>153</v>
      </c>
      <c r="G20" s="72">
        <f>G99+G100+G101+G102+G103+G104+G105+G106</f>
        <v>49376694</v>
      </c>
      <c r="H20" s="72">
        <f>H99+H100+H101+H102+H103+H104+H105+H106</f>
        <v>6973974</v>
      </c>
      <c r="I20" s="276">
        <v>0.85</v>
      </c>
      <c r="J20" s="276">
        <f t="shared" ref="J20" si="19">J99+J100+J101+J102+J103+J104+J105+J106</f>
        <v>51017765.25</v>
      </c>
      <c r="K20" s="73">
        <f t="shared" si="3"/>
        <v>1.0332357457953747</v>
      </c>
      <c r="L20" s="276">
        <f t="shared" si="4"/>
        <v>6569346.1020807624</v>
      </c>
      <c r="M20" s="72">
        <f>M99+M100+M101+M102+M103+M104+M105+M106</f>
        <v>57587111.352080762</v>
      </c>
      <c r="N20" s="73">
        <f t="shared" si="5"/>
        <v>1.1662812287935025</v>
      </c>
      <c r="O20" s="72">
        <f t="shared" si="6"/>
        <v>15616921.452080764</v>
      </c>
      <c r="P20" s="74">
        <f t="shared" si="7"/>
        <v>25492260.252080761</v>
      </c>
      <c r="Q20" s="75">
        <f>Q99+Q100+Q101+Q102+Q103+Q104+Q105+Q106</f>
        <v>60995293.816761754</v>
      </c>
      <c r="R20" s="73">
        <f t="shared" si="8"/>
        <v>1.2353053409521859</v>
      </c>
      <c r="S20" s="76">
        <f t="shared" si="9"/>
        <v>19025103.916761756</v>
      </c>
      <c r="T20" s="77">
        <f t="shared" si="10"/>
        <v>28900442.716761753</v>
      </c>
      <c r="U20" s="401"/>
      <c r="V20" s="35"/>
    </row>
    <row r="21" spans="1:24" s="4" customFormat="1" ht="21.95" customHeight="1" outlineLevel="1" x14ac:dyDescent="0.35">
      <c r="A21" s="376"/>
      <c r="B21" s="376"/>
      <c r="C21" s="376"/>
      <c r="D21" s="386"/>
      <c r="E21" s="78" t="s">
        <v>154</v>
      </c>
      <c r="F21" s="78" t="s">
        <v>154</v>
      </c>
      <c r="G21" s="72">
        <f>G108+G109</f>
        <v>48708012</v>
      </c>
      <c r="H21" s="72">
        <f>H108+H109</f>
        <v>0</v>
      </c>
      <c r="I21" s="276">
        <v>0.85</v>
      </c>
      <c r="J21" s="276">
        <f t="shared" ref="J21" si="20">J108+J109</f>
        <v>53479083.459999993</v>
      </c>
      <c r="K21" s="73">
        <f t="shared" si="3"/>
        <v>1.0979524982460789</v>
      </c>
      <c r="L21" s="276">
        <f t="shared" si="4"/>
        <v>1565411.3733804226</v>
      </c>
      <c r="M21" s="72">
        <f>M108+M109</f>
        <v>55044494.833380416</v>
      </c>
      <c r="N21" s="73">
        <f t="shared" si="5"/>
        <v>1.1300911815776924</v>
      </c>
      <c r="O21" s="72">
        <f t="shared" si="6"/>
        <v>13642684.633380421</v>
      </c>
      <c r="P21" s="74">
        <f t="shared" si="7"/>
        <v>23384287.033380415</v>
      </c>
      <c r="Q21" s="75">
        <f>Q108+Q109</f>
        <v>54769121.992546514</v>
      </c>
      <c r="R21" s="73">
        <f t="shared" si="8"/>
        <v>1.1244376385664543</v>
      </c>
      <c r="S21" s="76">
        <f t="shared" si="9"/>
        <v>13367311.792546518</v>
      </c>
      <c r="T21" s="77">
        <f t="shared" si="10"/>
        <v>23108914.192546513</v>
      </c>
      <c r="U21" s="401"/>
      <c r="V21" s="35"/>
    </row>
    <row r="22" spans="1:24" s="4" customFormat="1" ht="21.95" customHeight="1" outlineLevel="1" x14ac:dyDescent="0.35">
      <c r="A22" s="376"/>
      <c r="B22" s="376"/>
      <c r="C22" s="376"/>
      <c r="D22" s="386"/>
      <c r="E22" s="120" t="s">
        <v>155</v>
      </c>
      <c r="F22" s="78" t="s">
        <v>155</v>
      </c>
      <c r="G22" s="72">
        <f>G111+G112+G113+G114</f>
        <v>80534872</v>
      </c>
      <c r="H22" s="72">
        <f>H111+H112+H113+H114</f>
        <v>16924211.699999999</v>
      </c>
      <c r="I22" s="276">
        <v>0.85</v>
      </c>
      <c r="J22" s="276">
        <f t="shared" ref="J22" si="21">J111+J112+J113+J114</f>
        <v>27317361.659999996</v>
      </c>
      <c r="K22" s="73">
        <f t="shared" si="3"/>
        <v>0.33919916902581027</v>
      </c>
      <c r="L22" s="276">
        <f t="shared" si="4"/>
        <v>26018918.2116552</v>
      </c>
      <c r="M22" s="72">
        <f>M111+M112+M113+M114</f>
        <v>53336279.871655196</v>
      </c>
      <c r="N22" s="79">
        <f t="shared" si="5"/>
        <v>0.66227559002831959</v>
      </c>
      <c r="O22" s="72">
        <f t="shared" si="6"/>
        <v>-15118361.328344807</v>
      </c>
      <c r="P22" s="74">
        <f t="shared" si="7"/>
        <v>988613.07165519148</v>
      </c>
      <c r="Q22" s="75">
        <f>Q111+Q112+Q113+Q114</f>
        <v>74624030.223760501</v>
      </c>
      <c r="R22" s="73">
        <f t="shared" si="8"/>
        <v>0.92660518816942428</v>
      </c>
      <c r="S22" s="76">
        <f t="shared" si="9"/>
        <v>6169389.0237604976</v>
      </c>
      <c r="T22" s="77">
        <f t="shared" si="10"/>
        <v>22276363.423760496</v>
      </c>
      <c r="U22" s="401"/>
      <c r="V22" s="35"/>
    </row>
    <row r="23" spans="1:24" s="4" customFormat="1" ht="21.95" customHeight="1" outlineLevel="1" x14ac:dyDescent="0.35">
      <c r="A23" s="376"/>
      <c r="B23" s="376"/>
      <c r="C23" s="376"/>
      <c r="D23" s="386"/>
      <c r="E23" s="78" t="s">
        <v>156</v>
      </c>
      <c r="F23" s="78" t="s">
        <v>156</v>
      </c>
      <c r="G23" s="72">
        <f>G116+G117+G118+G119+G120+G121+G122+G123+G124+G125+G126+G127+G128+G129+G130+G131+G132</f>
        <v>36865959</v>
      </c>
      <c r="H23" s="72">
        <f>H116+H117+H118+H119+H120+H121+H122+H123+H124+H125+H126+H127+H128+H129+H130+H131+H132</f>
        <v>14473760.993476558</v>
      </c>
      <c r="I23" s="276">
        <v>0.75</v>
      </c>
      <c r="J23" s="276">
        <f t="shared" ref="J23" si="22">J116+J117+J118+J119+J120+J121+J122+J123+J124+J125+J126+J127+J128+J129+J130+J131+J132</f>
        <v>18164868.52</v>
      </c>
      <c r="K23" s="73">
        <f t="shared" si="3"/>
        <v>0.49272741067172565</v>
      </c>
      <c r="L23" s="276">
        <f t="shared" si="4"/>
        <v>12577736.250196286</v>
      </c>
      <c r="M23" s="72">
        <f>M116+M117+M118+M119+M120+M121+M122+M123+M124+M125+M126+M127+M128+M129+M130+M131+M132</f>
        <v>30742604.770196285</v>
      </c>
      <c r="N23" s="73">
        <f t="shared" si="5"/>
        <v>0.83390221234164241</v>
      </c>
      <c r="O23" s="72">
        <f t="shared" si="6"/>
        <v>3093135.5201962851</v>
      </c>
      <c r="P23" s="74">
        <f t="shared" si="7"/>
        <v>6779731.4201962836</v>
      </c>
      <c r="Q23" s="75">
        <f>Q116+Q117+Q118+Q119+Q120+Q121+Q122+Q123+Q124+Q125+Q126+Q127+Q128+Q129+Q130+Q131+Q132</f>
        <v>39555905.851552948</v>
      </c>
      <c r="R23" s="73">
        <f t="shared" si="8"/>
        <v>1.0729656009098516</v>
      </c>
      <c r="S23" s="76">
        <f t="shared" si="9"/>
        <v>11906436.601552948</v>
      </c>
      <c r="T23" s="77">
        <f t="shared" si="10"/>
        <v>15593032.501552947</v>
      </c>
      <c r="U23" s="401"/>
      <c r="V23" s="35"/>
    </row>
    <row r="24" spans="1:24" s="4" customFormat="1" ht="21.95" customHeight="1" outlineLevel="1" x14ac:dyDescent="0.35">
      <c r="A24" s="376"/>
      <c r="B24" s="376"/>
      <c r="C24" s="376"/>
      <c r="D24" s="386"/>
      <c r="E24" s="78" t="s">
        <v>157</v>
      </c>
      <c r="F24" s="78" t="s">
        <v>157</v>
      </c>
      <c r="G24" s="72">
        <f>G134+G135+G136</f>
        <v>7796118</v>
      </c>
      <c r="H24" s="72">
        <f>H134+H135+H136</f>
        <v>11795105</v>
      </c>
      <c r="I24" s="276">
        <v>0.75</v>
      </c>
      <c r="J24" s="276">
        <f t="shared" ref="J24" si="23">J134+J135+J136</f>
        <v>8122978.46</v>
      </c>
      <c r="K24" s="73">
        <f t="shared" si="3"/>
        <v>1.0419260534537831</v>
      </c>
      <c r="L24" s="276">
        <f t="shared" si="4"/>
        <v>4788674.2566240272</v>
      </c>
      <c r="M24" s="72">
        <f>M134+M135+M136</f>
        <v>12911652.716624027</v>
      </c>
      <c r="N24" s="73">
        <f t="shared" si="5"/>
        <v>1.6561643521332061</v>
      </c>
      <c r="O24" s="72">
        <f t="shared" si="6"/>
        <v>7064564.2166240271</v>
      </c>
      <c r="P24" s="74">
        <f t="shared" si="7"/>
        <v>7844176.0166240269</v>
      </c>
      <c r="Q24" s="75">
        <f>Q134+Q135+Q136</f>
        <v>22075179.434117645</v>
      </c>
      <c r="R24" s="73">
        <f t="shared" si="8"/>
        <v>2.8315604553596603</v>
      </c>
      <c r="S24" s="76">
        <f t="shared" si="9"/>
        <v>16228090.934117645</v>
      </c>
      <c r="T24" s="77">
        <f t="shared" si="10"/>
        <v>17007702.734117646</v>
      </c>
      <c r="U24" s="401"/>
      <c r="V24" s="35"/>
    </row>
    <row r="25" spans="1:24" s="4" customFormat="1" ht="21.95" customHeight="1" outlineLevel="1" x14ac:dyDescent="0.35">
      <c r="A25" s="377"/>
      <c r="B25" s="377"/>
      <c r="C25" s="377"/>
      <c r="D25" s="387"/>
      <c r="E25" s="78" t="s">
        <v>158</v>
      </c>
      <c r="F25" s="78" t="s">
        <v>158</v>
      </c>
      <c r="G25" s="72">
        <f>G138+G139+G140+G141+G142+G143+G144+G145+G146+G147+G148+G149+G150+G151+G152+G153+G154+G155+G156</f>
        <v>47915277</v>
      </c>
      <c r="H25" s="72">
        <f>H138+H139+H140+H141+H142+H143+H144+H145+H146+H147+H148+H149+H150+H151+H152+H153+H154+H155+H156</f>
        <v>14001679.090627547</v>
      </c>
      <c r="I25" s="276">
        <v>0.75</v>
      </c>
      <c r="J25" s="276">
        <f t="shared" ref="J25" si="24">J138+J139+J140+J141+J142+J143+J144+J145+J146+J147+J148+J149+J150+J151+J152+J153+J154+J155+J156</f>
        <v>38858515.79999999</v>
      </c>
      <c r="K25" s="73">
        <f t="shared" si="3"/>
        <v>0.81098384968117765</v>
      </c>
      <c r="L25" s="276">
        <f t="shared" si="4"/>
        <v>12048054.228186563</v>
      </c>
      <c r="M25" s="72">
        <f>M138+M139+M140+M141+M142+M143+M144+M145+M146+M147+M148+M149+M150+M151+M152+M153+M154+M155+M156</f>
        <v>50906570.028186552</v>
      </c>
      <c r="N25" s="73">
        <f t="shared" si="5"/>
        <v>1.0624287954797078</v>
      </c>
      <c r="O25" s="72">
        <f t="shared" si="6"/>
        <v>14970112.278186552</v>
      </c>
      <c r="P25" s="74">
        <f t="shared" si="7"/>
        <v>19761639.978186551</v>
      </c>
      <c r="Q25" s="75">
        <f>Q138+Q139+Q140+Q141+Q142+Q143+Q144+Q145+Q146+Q147+Q148+Q149+Q150+Q151+Q152+Q153+Q154+Q155+Q156</f>
        <v>60443592.320825838</v>
      </c>
      <c r="R25" s="73">
        <f t="shared" si="8"/>
        <v>1.2614680766809683</v>
      </c>
      <c r="S25" s="76">
        <f t="shared" si="9"/>
        <v>24507134.570825838</v>
      </c>
      <c r="T25" s="77">
        <f t="shared" si="10"/>
        <v>29298662.270825837</v>
      </c>
      <c r="U25" s="401"/>
      <c r="V25" s="35"/>
    </row>
    <row r="26" spans="1:24" s="6" customFormat="1" ht="15" customHeight="1" x14ac:dyDescent="0.2">
      <c r="A26" s="54" t="s">
        <v>1</v>
      </c>
      <c r="B26" s="54" t="s">
        <v>1</v>
      </c>
      <c r="C26" s="54" t="s">
        <v>1</v>
      </c>
      <c r="D26" s="54" t="s">
        <v>2</v>
      </c>
      <c r="E26" s="54" t="s">
        <v>3</v>
      </c>
      <c r="F26" s="5" t="s">
        <v>4</v>
      </c>
      <c r="G26" s="54" t="s">
        <v>4</v>
      </c>
      <c r="H26" s="54" t="s">
        <v>5</v>
      </c>
      <c r="I26" s="54" t="s">
        <v>8</v>
      </c>
      <c r="J26" s="54" t="s">
        <v>7</v>
      </c>
      <c r="K26" s="54" t="s">
        <v>8</v>
      </c>
      <c r="L26" s="54"/>
      <c r="M26" s="54" t="s">
        <v>9</v>
      </c>
      <c r="N26" s="54" t="s">
        <v>6</v>
      </c>
      <c r="O26" s="54" t="s">
        <v>10</v>
      </c>
      <c r="P26" s="59" t="s">
        <v>11</v>
      </c>
      <c r="Q26" s="68" t="s">
        <v>12</v>
      </c>
      <c r="R26" s="69" t="s">
        <v>13</v>
      </c>
      <c r="S26" s="69" t="s">
        <v>14</v>
      </c>
      <c r="T26" s="70" t="s">
        <v>318</v>
      </c>
      <c r="U26" s="60" t="s">
        <v>14</v>
      </c>
    </row>
    <row r="27" spans="1:24" s="6" customFormat="1" ht="40.5" customHeight="1" x14ac:dyDescent="0.2">
      <c r="A27" s="272" t="s">
        <v>203</v>
      </c>
      <c r="B27" s="273"/>
      <c r="C27" s="273"/>
      <c r="D27" s="273"/>
      <c r="E27" s="273"/>
      <c r="F27" s="273"/>
      <c r="G27" s="273"/>
      <c r="H27" s="273"/>
      <c r="I27" s="273"/>
      <c r="J27" s="273"/>
      <c r="K27" s="273"/>
      <c r="L27" s="273"/>
      <c r="M27" s="273"/>
      <c r="N27" s="273"/>
      <c r="O27" s="273"/>
      <c r="P27" s="273"/>
      <c r="Q27" s="273"/>
      <c r="R27" s="273"/>
      <c r="S27" s="273"/>
      <c r="T27" s="273"/>
      <c r="U27" s="274"/>
    </row>
    <row r="28" spans="1:24" s="8" customFormat="1" ht="46.5" x14ac:dyDescent="0.2">
      <c r="A28" s="81">
        <v>9</v>
      </c>
      <c r="B28" s="82" t="s">
        <v>1</v>
      </c>
      <c r="C28" s="83" t="s">
        <v>20</v>
      </c>
      <c r="D28" s="84" t="s">
        <v>126</v>
      </c>
      <c r="E28" s="72">
        <v>76512873</v>
      </c>
      <c r="F28" s="72"/>
      <c r="G28" s="72">
        <v>11617160</v>
      </c>
      <c r="H28" s="72">
        <v>0</v>
      </c>
      <c r="I28" s="85">
        <v>0.75</v>
      </c>
      <c r="J28" s="276">
        <v>15972883.410000004</v>
      </c>
      <c r="K28" s="275">
        <f>IFERROR(J28/G28,"n/a")</f>
        <v>1.3749387466472016</v>
      </c>
      <c r="L28" s="276">
        <f>M28-J28</f>
        <v>5795607.6260298528</v>
      </c>
      <c r="M28" s="271">
        <v>21768491.036029857</v>
      </c>
      <c r="N28" s="86">
        <f>IFERROR(M28/G28,"n/a")</f>
        <v>1.8738220904274243</v>
      </c>
      <c r="O28" s="72">
        <f>IFERROR(M28-(G28*I28),"n/a")</f>
        <v>13055621.036029857</v>
      </c>
      <c r="P28" s="74">
        <f>IFERROR(M28-(G28*0.65),"n/a")</f>
        <v>14217337.036029857</v>
      </c>
      <c r="Q28" s="289">
        <v>21492043.621493112</v>
      </c>
      <c r="R28" s="87">
        <f>IFERROR(Q28/G28,"n/a")</f>
        <v>1.8500256191266293</v>
      </c>
      <c r="S28" s="72">
        <f>Q28-(G28*I28)</f>
        <v>12779173.621493112</v>
      </c>
      <c r="T28" s="88">
        <f>Q28-(G28*0.65)</f>
        <v>13940889.621493112</v>
      </c>
      <c r="U28" s="116"/>
      <c r="X28" s="288">
        <f>M28-J28</f>
        <v>5795607.6260298528</v>
      </c>
    </row>
    <row r="29" spans="1:24" s="8" customFormat="1" ht="101.25" customHeight="1" x14ac:dyDescent="0.2">
      <c r="A29" s="89">
        <v>1</v>
      </c>
      <c r="B29" s="90" t="s">
        <v>1</v>
      </c>
      <c r="C29" s="124" t="s">
        <v>21</v>
      </c>
      <c r="D29" s="91" t="s">
        <v>126</v>
      </c>
      <c r="E29" s="72">
        <v>64029231</v>
      </c>
      <c r="F29" s="72"/>
      <c r="G29" s="72">
        <v>9721734</v>
      </c>
      <c r="H29" s="72">
        <v>0</v>
      </c>
      <c r="I29" s="92">
        <v>0.75</v>
      </c>
      <c r="J29" s="276">
        <v>1053615.1499999999</v>
      </c>
      <c r="K29" s="275">
        <f t="shared" ref="K29:K92" si="25">IFERROR(J29/G29,"n/a")</f>
        <v>0.10837728639767349</v>
      </c>
      <c r="L29" s="276">
        <f t="shared" ref="L29:L92" si="26">M29-J29</f>
        <v>1887746.8218567413</v>
      </c>
      <c r="M29" s="271">
        <v>2941361.9718567412</v>
      </c>
      <c r="N29" s="93">
        <f t="shared" ref="N29:N92" si="27">IFERROR(M29/G29,"n/a")</f>
        <v>0.3025552819956544</v>
      </c>
      <c r="O29" s="72">
        <f t="shared" ref="O29:O92" si="28">IFERROR(M29-(G29*I29),"n/a")</f>
        <v>-4349938.5281432588</v>
      </c>
      <c r="P29" s="74">
        <f t="shared" ref="P29:P92" si="29">IFERROR(M29-(G29*0.65),"n/a")</f>
        <v>-3377765.1281432593</v>
      </c>
      <c r="Q29" s="289">
        <v>3167315.1882352945</v>
      </c>
      <c r="R29" s="94">
        <f t="shared" ref="R29:R92" si="30">IFERROR(Q29/G29,"n/a")</f>
        <v>0.32579735140205385</v>
      </c>
      <c r="S29" s="72">
        <f t="shared" ref="S29:S92" si="31">Q29-(G29*I29)</f>
        <v>-4123985.3117647055</v>
      </c>
      <c r="T29" s="88">
        <f t="shared" ref="T29:T92" si="32">Q29-(G29*0.65)</f>
        <v>-3151811.911764706</v>
      </c>
      <c r="U29" s="117" t="s">
        <v>173</v>
      </c>
      <c r="X29" s="288">
        <f t="shared" ref="X29:X92" si="33">M29-J29</f>
        <v>1887746.8218567413</v>
      </c>
    </row>
    <row r="30" spans="1:24" s="8" customFormat="1" ht="158.25" customHeight="1" x14ac:dyDescent="0.2">
      <c r="A30" s="89">
        <v>2</v>
      </c>
      <c r="B30" s="90" t="s">
        <v>1</v>
      </c>
      <c r="C30" s="124" t="s">
        <v>22</v>
      </c>
      <c r="D30" s="91" t="s">
        <v>126</v>
      </c>
      <c r="E30" s="72">
        <v>34000000</v>
      </c>
      <c r="F30" s="72"/>
      <c r="G30" s="72">
        <v>5116765</v>
      </c>
      <c r="H30" s="72">
        <v>9049303</v>
      </c>
      <c r="I30" s="92">
        <v>0.75</v>
      </c>
      <c r="J30" s="276">
        <v>0</v>
      </c>
      <c r="K30" s="275">
        <f t="shared" si="25"/>
        <v>0</v>
      </c>
      <c r="L30" s="276">
        <f t="shared" si="26"/>
        <v>0</v>
      </c>
      <c r="M30" s="271">
        <v>0</v>
      </c>
      <c r="N30" s="93">
        <f t="shared" si="27"/>
        <v>0</v>
      </c>
      <c r="O30" s="72">
        <f t="shared" si="28"/>
        <v>-3837573.75</v>
      </c>
      <c r="P30" s="74">
        <f t="shared" si="29"/>
        <v>-3325897.25</v>
      </c>
      <c r="Q30" s="289">
        <v>0</v>
      </c>
      <c r="R30" s="94">
        <f t="shared" si="30"/>
        <v>0</v>
      </c>
      <c r="S30" s="72">
        <f t="shared" si="31"/>
        <v>-3837573.75</v>
      </c>
      <c r="T30" s="88">
        <f t="shared" si="32"/>
        <v>-3325897.25</v>
      </c>
      <c r="U30" s="117" t="s">
        <v>174</v>
      </c>
      <c r="V30" s="10"/>
      <c r="X30" s="288">
        <f t="shared" si="33"/>
        <v>0</v>
      </c>
    </row>
    <row r="31" spans="1:24" s="8" customFormat="1" ht="69.75" x14ac:dyDescent="0.2">
      <c r="A31" s="89">
        <v>8</v>
      </c>
      <c r="B31" s="90" t="s">
        <v>1</v>
      </c>
      <c r="C31" s="71" t="s">
        <v>23</v>
      </c>
      <c r="D31" s="91" t="s">
        <v>126</v>
      </c>
      <c r="E31" s="72">
        <v>122252616</v>
      </c>
      <c r="F31" s="72"/>
      <c r="G31" s="72">
        <v>17499122</v>
      </c>
      <c r="H31" s="72">
        <v>0</v>
      </c>
      <c r="I31" s="92">
        <v>0.75</v>
      </c>
      <c r="J31" s="276">
        <v>14219582.890000001</v>
      </c>
      <c r="K31" s="275">
        <f t="shared" si="25"/>
        <v>0.8125883624332696</v>
      </c>
      <c r="L31" s="276">
        <f t="shared" si="26"/>
        <v>18302244.655779764</v>
      </c>
      <c r="M31" s="271">
        <v>32521827.545779765</v>
      </c>
      <c r="N31" s="73">
        <f t="shared" si="27"/>
        <v>1.8584833882396936</v>
      </c>
      <c r="O31" s="72">
        <f t="shared" si="28"/>
        <v>19397486.045779765</v>
      </c>
      <c r="P31" s="74">
        <f t="shared" si="29"/>
        <v>21147398.245779764</v>
      </c>
      <c r="Q31" s="289">
        <v>35149476.474999994</v>
      </c>
      <c r="R31" s="94">
        <f t="shared" si="30"/>
        <v>2.008642289310286</v>
      </c>
      <c r="S31" s="72">
        <f t="shared" si="31"/>
        <v>22025134.974999994</v>
      </c>
      <c r="T31" s="88">
        <f t="shared" si="32"/>
        <v>23775047.174999993</v>
      </c>
      <c r="U31" s="117"/>
      <c r="X31" s="288">
        <f t="shared" si="33"/>
        <v>18302244.655779764</v>
      </c>
    </row>
    <row r="32" spans="1:24" s="8" customFormat="1" ht="127.5" customHeight="1" x14ac:dyDescent="0.2">
      <c r="A32" s="89">
        <v>4</v>
      </c>
      <c r="B32" s="90" t="s">
        <v>1</v>
      </c>
      <c r="C32" s="124" t="s">
        <v>24</v>
      </c>
      <c r="D32" s="91" t="s">
        <v>126</v>
      </c>
      <c r="E32" s="72">
        <v>32552786</v>
      </c>
      <c r="F32" s="72"/>
      <c r="G32" s="72">
        <v>4809228</v>
      </c>
      <c r="H32" s="72">
        <v>7663112</v>
      </c>
      <c r="I32" s="92">
        <v>0.75</v>
      </c>
      <c r="J32" s="276">
        <v>189503.37</v>
      </c>
      <c r="K32" s="275">
        <f t="shared" si="25"/>
        <v>3.9404114340180998E-2</v>
      </c>
      <c r="L32" s="276">
        <f t="shared" si="26"/>
        <v>665922.11523596523</v>
      </c>
      <c r="M32" s="271">
        <v>855425.48523596523</v>
      </c>
      <c r="N32" s="93">
        <f t="shared" si="27"/>
        <v>0.17787168444414889</v>
      </c>
      <c r="O32" s="72">
        <f t="shared" si="28"/>
        <v>-2751495.5147640347</v>
      </c>
      <c r="P32" s="74">
        <f t="shared" si="29"/>
        <v>-2270572.7147640348</v>
      </c>
      <c r="Q32" s="289">
        <v>754807.04</v>
      </c>
      <c r="R32" s="94">
        <f t="shared" si="30"/>
        <v>0.15694973080918601</v>
      </c>
      <c r="S32" s="72">
        <f t="shared" si="31"/>
        <v>-2852113.96</v>
      </c>
      <c r="T32" s="88">
        <f t="shared" si="32"/>
        <v>-2371191.16</v>
      </c>
      <c r="U32" s="117" t="s">
        <v>180</v>
      </c>
      <c r="X32" s="288">
        <f t="shared" si="33"/>
        <v>665922.11523596523</v>
      </c>
    </row>
    <row r="33" spans="1:28" s="8" customFormat="1" ht="69.75" x14ac:dyDescent="0.2">
      <c r="A33" s="89">
        <v>10</v>
      </c>
      <c r="B33" s="95" t="s">
        <v>1</v>
      </c>
      <c r="C33" s="71" t="s">
        <v>25</v>
      </c>
      <c r="D33" s="91" t="s">
        <v>127</v>
      </c>
      <c r="E33" s="72">
        <v>81614203</v>
      </c>
      <c r="F33" s="72"/>
      <c r="G33" s="72">
        <v>13643805</v>
      </c>
      <c r="H33" s="72">
        <v>0</v>
      </c>
      <c r="I33" s="92">
        <v>0.75</v>
      </c>
      <c r="J33" s="287">
        <v>29433576.82</v>
      </c>
      <c r="K33" s="275">
        <f t="shared" si="25"/>
        <v>2.1572850696708139</v>
      </c>
      <c r="L33" s="276">
        <f t="shared" si="26"/>
        <v>5571868.6197910011</v>
      </c>
      <c r="M33" s="287">
        <v>35005445.439791001</v>
      </c>
      <c r="N33" s="73">
        <f t="shared" si="27"/>
        <v>2.565665915028176</v>
      </c>
      <c r="O33" s="72">
        <f t="shared" si="28"/>
        <v>24772591.689791001</v>
      </c>
      <c r="P33" s="74">
        <f t="shared" si="29"/>
        <v>26136972.189791001</v>
      </c>
      <c r="Q33" s="289">
        <v>34182275.523636363</v>
      </c>
      <c r="R33" s="94">
        <f t="shared" si="30"/>
        <v>2.505333044824106</v>
      </c>
      <c r="S33" s="72">
        <f t="shared" si="31"/>
        <v>23949421.773636363</v>
      </c>
      <c r="T33" s="88">
        <f t="shared" si="32"/>
        <v>25313802.273636363</v>
      </c>
      <c r="U33" s="117"/>
      <c r="X33" s="288">
        <f t="shared" si="33"/>
        <v>5571868.6197910011</v>
      </c>
    </row>
    <row r="34" spans="1:28" s="8" customFormat="1" ht="302.25" x14ac:dyDescent="0.2">
      <c r="A34" s="89">
        <v>3</v>
      </c>
      <c r="B34" s="95" t="s">
        <v>1</v>
      </c>
      <c r="C34" s="124" t="s">
        <v>26</v>
      </c>
      <c r="D34" s="91" t="s">
        <v>127</v>
      </c>
      <c r="E34" s="72">
        <v>42352941</v>
      </c>
      <c r="F34" s="72"/>
      <c r="G34" s="72">
        <v>6352941</v>
      </c>
      <c r="H34" s="72">
        <v>17250001</v>
      </c>
      <c r="I34" s="92">
        <v>0.75</v>
      </c>
      <c r="J34" s="276">
        <v>1321894.52</v>
      </c>
      <c r="K34" s="275">
        <f t="shared" si="25"/>
        <v>0.208075995039148</v>
      </c>
      <c r="L34" s="276">
        <f t="shared" si="26"/>
        <v>1797859.2920649648</v>
      </c>
      <c r="M34" s="271">
        <v>3119753.8120649648</v>
      </c>
      <c r="N34" s="93">
        <f t="shared" si="27"/>
        <v>0.49107237294742151</v>
      </c>
      <c r="O34" s="72">
        <f t="shared" si="28"/>
        <v>-1644951.9379350352</v>
      </c>
      <c r="P34" s="74">
        <f t="shared" si="29"/>
        <v>-1009657.8379350356</v>
      </c>
      <c r="Q34" s="289">
        <v>3007534.9294117647</v>
      </c>
      <c r="R34" s="94">
        <f t="shared" si="30"/>
        <v>0.47340828907615617</v>
      </c>
      <c r="S34" s="72">
        <f t="shared" si="31"/>
        <v>-1757170.8205882353</v>
      </c>
      <c r="T34" s="88">
        <f t="shared" si="32"/>
        <v>-1121876.7205882357</v>
      </c>
      <c r="U34" s="117" t="s">
        <v>222</v>
      </c>
      <c r="X34" s="288">
        <f t="shared" si="33"/>
        <v>1797859.2920649648</v>
      </c>
    </row>
    <row r="35" spans="1:28" s="8" customFormat="1" ht="46.5" x14ac:dyDescent="0.2">
      <c r="A35" s="89">
        <v>11</v>
      </c>
      <c r="B35" s="95" t="s">
        <v>1</v>
      </c>
      <c r="C35" s="71" t="s">
        <v>27</v>
      </c>
      <c r="D35" s="91" t="s">
        <v>127</v>
      </c>
      <c r="E35" s="72">
        <v>142117362</v>
      </c>
      <c r="F35" s="72"/>
      <c r="G35" s="72">
        <v>9000000</v>
      </c>
      <c r="H35" s="72">
        <v>0</v>
      </c>
      <c r="I35" s="92">
        <v>0.75</v>
      </c>
      <c r="J35" s="276">
        <v>4837768.3600000003</v>
      </c>
      <c r="K35" s="275">
        <f t="shared" si="25"/>
        <v>0.53752981777777786</v>
      </c>
      <c r="L35" s="276">
        <f t="shared" si="26"/>
        <v>2011107.1828571428</v>
      </c>
      <c r="M35" s="271">
        <v>6848875.5428571431</v>
      </c>
      <c r="N35" s="73">
        <f t="shared" si="27"/>
        <v>0.7609861714285715</v>
      </c>
      <c r="O35" s="72">
        <f t="shared" si="28"/>
        <v>98875.542857143097</v>
      </c>
      <c r="P35" s="74">
        <f t="shared" si="29"/>
        <v>998875.5428571431</v>
      </c>
      <c r="Q35" s="289">
        <v>7706018</v>
      </c>
      <c r="R35" s="94">
        <f t="shared" si="30"/>
        <v>0.85622422222222228</v>
      </c>
      <c r="S35" s="72">
        <f t="shared" si="31"/>
        <v>956018</v>
      </c>
      <c r="T35" s="88">
        <f t="shared" si="32"/>
        <v>1856018</v>
      </c>
      <c r="U35" s="117"/>
      <c r="X35" s="288">
        <f t="shared" si="33"/>
        <v>2011107.1828571428</v>
      </c>
    </row>
    <row r="36" spans="1:28" s="8" customFormat="1" ht="69.75" x14ac:dyDescent="0.2">
      <c r="A36" s="89">
        <v>7</v>
      </c>
      <c r="B36" s="95" t="s">
        <v>1</v>
      </c>
      <c r="C36" s="71" t="s">
        <v>28</v>
      </c>
      <c r="D36" s="91" t="s">
        <v>127</v>
      </c>
      <c r="E36" s="72">
        <v>21176470</v>
      </c>
      <c r="F36" s="72"/>
      <c r="G36" s="72">
        <v>3736236</v>
      </c>
      <c r="H36" s="72">
        <v>0</v>
      </c>
      <c r="I36" s="92">
        <v>0.75</v>
      </c>
      <c r="J36" s="287">
        <v>5486857.2699999996</v>
      </c>
      <c r="K36" s="275">
        <f t="shared" si="25"/>
        <v>1.4685521123397987</v>
      </c>
      <c r="L36" s="276">
        <f t="shared" si="26"/>
        <v>1188968.5267860908</v>
      </c>
      <c r="M36" s="287">
        <v>6675825.7967860904</v>
      </c>
      <c r="N36" s="73">
        <f t="shared" si="27"/>
        <v>1.7867784039300758</v>
      </c>
      <c r="O36" s="72">
        <f t="shared" si="28"/>
        <v>3873648.7967860904</v>
      </c>
      <c r="P36" s="74">
        <f t="shared" si="29"/>
        <v>4247272.39678609</v>
      </c>
      <c r="Q36" s="289">
        <v>6798841.6545454543</v>
      </c>
      <c r="R36" s="94">
        <f t="shared" si="30"/>
        <v>1.8197034808683001</v>
      </c>
      <c r="S36" s="72">
        <f t="shared" si="31"/>
        <v>3996664.6545454543</v>
      </c>
      <c r="T36" s="88">
        <f t="shared" si="32"/>
        <v>4370288.2545454539</v>
      </c>
      <c r="U36" s="117"/>
      <c r="X36" s="288">
        <f t="shared" si="33"/>
        <v>1188968.5267860908</v>
      </c>
    </row>
    <row r="37" spans="1:28" s="8" customFormat="1" ht="69.75" x14ac:dyDescent="0.2">
      <c r="A37" s="89">
        <v>5</v>
      </c>
      <c r="B37" s="95" t="s">
        <v>1</v>
      </c>
      <c r="C37" s="71" t="s">
        <v>29</v>
      </c>
      <c r="D37" s="91" t="s">
        <v>127</v>
      </c>
      <c r="E37" s="72">
        <v>5648462</v>
      </c>
      <c r="F37" s="72"/>
      <c r="G37" s="72">
        <v>847269</v>
      </c>
      <c r="H37" s="72">
        <v>292849.87196192326</v>
      </c>
      <c r="I37" s="92">
        <v>0.75</v>
      </c>
      <c r="J37" s="276">
        <v>943063.33000000007</v>
      </c>
      <c r="K37" s="275">
        <f t="shared" si="25"/>
        <v>1.1130624748456512</v>
      </c>
      <c r="L37" s="276">
        <f t="shared" si="26"/>
        <v>134595.02711946936</v>
      </c>
      <c r="M37" s="271">
        <v>1077658.3571194694</v>
      </c>
      <c r="N37" s="73">
        <f t="shared" si="27"/>
        <v>1.2719199653468609</v>
      </c>
      <c r="O37" s="72">
        <f t="shared" si="28"/>
        <v>442206.60711946944</v>
      </c>
      <c r="P37" s="74">
        <f t="shared" si="29"/>
        <v>526933.50711946946</v>
      </c>
      <c r="Q37" s="289">
        <v>1077658.2</v>
      </c>
      <c r="R37" s="94">
        <f t="shared" si="30"/>
        <v>1.2719197799046111</v>
      </c>
      <c r="S37" s="72">
        <f t="shared" si="31"/>
        <v>442206.44999999995</v>
      </c>
      <c r="T37" s="88">
        <f t="shared" si="32"/>
        <v>526933.35</v>
      </c>
      <c r="U37" s="117"/>
      <c r="X37" s="288">
        <f t="shared" si="33"/>
        <v>134595.02711946936</v>
      </c>
    </row>
    <row r="38" spans="1:28" s="8" customFormat="1" ht="69.75" x14ac:dyDescent="0.2">
      <c r="A38" s="96">
        <v>6</v>
      </c>
      <c r="B38" s="97" t="s">
        <v>1</v>
      </c>
      <c r="C38" s="98" t="s">
        <v>30</v>
      </c>
      <c r="D38" s="99" t="s">
        <v>127</v>
      </c>
      <c r="E38" s="72">
        <v>8127343</v>
      </c>
      <c r="F38" s="72"/>
      <c r="G38" s="72">
        <v>749999</v>
      </c>
      <c r="H38" s="72">
        <v>0</v>
      </c>
      <c r="I38" s="100">
        <v>0.75</v>
      </c>
      <c r="J38" s="287">
        <v>679987.06</v>
      </c>
      <c r="K38" s="275">
        <f t="shared" si="25"/>
        <v>0.9066506222008297</v>
      </c>
      <c r="L38" s="276">
        <f t="shared" si="26"/>
        <v>400034.49691312201</v>
      </c>
      <c r="M38" s="287">
        <v>1080021.5569131221</v>
      </c>
      <c r="N38" s="101">
        <f t="shared" si="27"/>
        <v>1.440030662591713</v>
      </c>
      <c r="O38" s="72">
        <f t="shared" si="28"/>
        <v>517522.30691312207</v>
      </c>
      <c r="P38" s="74">
        <f t="shared" si="29"/>
        <v>592522.20691312198</v>
      </c>
      <c r="Q38" s="289">
        <v>1069875.2391304348</v>
      </c>
      <c r="R38" s="102">
        <f t="shared" si="30"/>
        <v>1.4265022208435409</v>
      </c>
      <c r="S38" s="72">
        <f t="shared" si="31"/>
        <v>507375.98913043481</v>
      </c>
      <c r="T38" s="88">
        <f t="shared" si="32"/>
        <v>582375.88913043472</v>
      </c>
      <c r="U38" s="118"/>
      <c r="X38" s="288">
        <f t="shared" si="33"/>
        <v>400034.49691312201</v>
      </c>
    </row>
    <row r="39" spans="1:28" s="8" customFormat="1" ht="28.5" x14ac:dyDescent="0.2">
      <c r="A39" s="272" t="s">
        <v>217</v>
      </c>
      <c r="B39" s="273"/>
      <c r="C39" s="273"/>
      <c r="D39" s="273"/>
      <c r="E39" s="273"/>
      <c r="F39" s="273"/>
      <c r="G39" s="273"/>
      <c r="H39" s="273"/>
      <c r="I39" s="273"/>
      <c r="J39" s="273"/>
      <c r="K39" s="275"/>
      <c r="L39" s="276"/>
      <c r="M39" s="273"/>
      <c r="N39" s="273"/>
      <c r="O39" s="273"/>
      <c r="P39" s="273"/>
      <c r="Q39" s="290"/>
      <c r="R39" s="273"/>
      <c r="S39" s="273"/>
      <c r="T39" s="273"/>
      <c r="U39" s="274"/>
      <c r="X39" s="288">
        <f t="shared" si="33"/>
        <v>0</v>
      </c>
    </row>
    <row r="40" spans="1:28" s="8" customFormat="1" ht="93" x14ac:dyDescent="0.2">
      <c r="A40" s="81">
        <v>12</v>
      </c>
      <c r="B40" s="81" t="s">
        <v>2</v>
      </c>
      <c r="C40" s="125" t="s">
        <v>31</v>
      </c>
      <c r="D40" s="84" t="s">
        <v>128</v>
      </c>
      <c r="E40" s="72">
        <v>51734253</v>
      </c>
      <c r="F40" s="72"/>
      <c r="G40" s="72">
        <v>8821904</v>
      </c>
      <c r="H40" s="72">
        <v>2682212</v>
      </c>
      <c r="I40" s="85">
        <v>0.75</v>
      </c>
      <c r="J40" s="276">
        <v>592506.03999999992</v>
      </c>
      <c r="K40" s="275">
        <f t="shared" si="25"/>
        <v>6.7163056863915077E-2</v>
      </c>
      <c r="L40" s="276">
        <f t="shared" si="26"/>
        <v>4434762.6957394937</v>
      </c>
      <c r="M40" s="271">
        <v>5027268.7357394937</v>
      </c>
      <c r="N40" s="113">
        <f t="shared" si="27"/>
        <v>0.56986209958071343</v>
      </c>
      <c r="O40" s="72">
        <f t="shared" si="28"/>
        <v>-1589159.2642605063</v>
      </c>
      <c r="P40" s="74">
        <f t="shared" si="29"/>
        <v>-706968.86426050682</v>
      </c>
      <c r="Q40" s="289">
        <v>5027268.729411765</v>
      </c>
      <c r="R40" s="86">
        <f t="shared" si="30"/>
        <v>0.56986209886343864</v>
      </c>
      <c r="S40" s="72">
        <f t="shared" si="31"/>
        <v>-1589159.270588235</v>
      </c>
      <c r="T40" s="88">
        <f t="shared" si="32"/>
        <v>-706968.87058823556</v>
      </c>
      <c r="U40" s="116" t="s">
        <v>243</v>
      </c>
      <c r="X40" s="288">
        <f t="shared" si="33"/>
        <v>4434762.6957394937</v>
      </c>
    </row>
    <row r="41" spans="1:28" s="8" customFormat="1" ht="69.75" x14ac:dyDescent="0.2">
      <c r="A41" s="89">
        <v>14</v>
      </c>
      <c r="B41" s="89" t="s">
        <v>2</v>
      </c>
      <c r="C41" s="71" t="s">
        <v>162</v>
      </c>
      <c r="D41" s="91" t="s">
        <v>129</v>
      </c>
      <c r="E41" s="72">
        <v>139640840</v>
      </c>
      <c r="F41" s="72"/>
      <c r="G41" s="72">
        <v>13754084</v>
      </c>
      <c r="H41" s="72">
        <v>7130936.6605614899</v>
      </c>
      <c r="I41" s="92">
        <v>0.75</v>
      </c>
      <c r="J41" s="276">
        <v>9854446.3699999992</v>
      </c>
      <c r="K41" s="275">
        <f t="shared" si="25"/>
        <v>0.71647420286221886</v>
      </c>
      <c r="L41" s="276">
        <f t="shared" si="26"/>
        <v>7183793.756470589</v>
      </c>
      <c r="M41" s="271">
        <v>17038240.126470588</v>
      </c>
      <c r="N41" s="73">
        <f t="shared" si="27"/>
        <v>1.2387767972385939</v>
      </c>
      <c r="O41" s="72">
        <f t="shared" si="28"/>
        <v>6722677.1264705881</v>
      </c>
      <c r="P41" s="74">
        <f t="shared" si="29"/>
        <v>8098085.5264705885</v>
      </c>
      <c r="Q41" s="289">
        <v>16729684.844117649</v>
      </c>
      <c r="R41" s="73">
        <f t="shared" si="30"/>
        <v>1.2163430762904786</v>
      </c>
      <c r="S41" s="72">
        <f t="shared" si="31"/>
        <v>6414121.8441176489</v>
      </c>
      <c r="T41" s="88">
        <f t="shared" si="32"/>
        <v>7789530.2441176493</v>
      </c>
      <c r="U41" s="117"/>
      <c r="X41" s="288">
        <f t="shared" si="33"/>
        <v>7183793.756470589</v>
      </c>
    </row>
    <row r="42" spans="1:28" s="27" customFormat="1" ht="69.75" x14ac:dyDescent="0.2">
      <c r="A42" s="96">
        <v>13</v>
      </c>
      <c r="B42" s="96" t="s">
        <v>2</v>
      </c>
      <c r="C42" s="98" t="s">
        <v>32</v>
      </c>
      <c r="D42" s="99" t="s">
        <v>129</v>
      </c>
      <c r="E42" s="72">
        <v>11900000</v>
      </c>
      <c r="F42" s="72"/>
      <c r="G42" s="72">
        <v>1400000</v>
      </c>
      <c r="H42" s="72">
        <v>725843.41674706095</v>
      </c>
      <c r="I42" s="100">
        <v>0.75</v>
      </c>
      <c r="J42" s="276">
        <v>1198447.99</v>
      </c>
      <c r="K42" s="275">
        <f t="shared" si="25"/>
        <v>0.85603427857142855</v>
      </c>
      <c r="L42" s="276">
        <f t="shared" si="26"/>
        <v>1231560.01</v>
      </c>
      <c r="M42" s="271">
        <v>2430008</v>
      </c>
      <c r="N42" s="101">
        <f t="shared" si="27"/>
        <v>1.7357199999999999</v>
      </c>
      <c r="O42" s="72">
        <f t="shared" si="28"/>
        <v>1380008</v>
      </c>
      <c r="P42" s="74">
        <f t="shared" si="29"/>
        <v>1520008</v>
      </c>
      <c r="Q42" s="289">
        <v>2430008</v>
      </c>
      <c r="R42" s="101">
        <f t="shared" si="30"/>
        <v>1.7357199999999999</v>
      </c>
      <c r="S42" s="72">
        <f t="shared" si="31"/>
        <v>1380008</v>
      </c>
      <c r="T42" s="88">
        <f t="shared" si="32"/>
        <v>1520008</v>
      </c>
      <c r="U42" s="118"/>
      <c r="X42" s="288">
        <f t="shared" si="33"/>
        <v>1231560.01</v>
      </c>
    </row>
    <row r="43" spans="1:28" s="27" customFormat="1" ht="28.5" x14ac:dyDescent="0.2">
      <c r="A43" s="272" t="s">
        <v>218</v>
      </c>
      <c r="B43" s="273"/>
      <c r="C43" s="273"/>
      <c r="D43" s="273"/>
      <c r="E43" s="273"/>
      <c r="F43" s="273"/>
      <c r="G43" s="273"/>
      <c r="H43" s="273"/>
      <c r="I43" s="273"/>
      <c r="J43" s="273"/>
      <c r="K43" s="275"/>
      <c r="L43" s="276"/>
      <c r="M43" s="273"/>
      <c r="N43" s="273"/>
      <c r="O43" s="273"/>
      <c r="P43" s="273"/>
      <c r="Q43" s="290"/>
      <c r="R43" s="273"/>
      <c r="S43" s="273"/>
      <c r="T43" s="273"/>
      <c r="U43" s="274"/>
      <c r="X43" s="288">
        <f t="shared" si="33"/>
        <v>0</v>
      </c>
    </row>
    <row r="44" spans="1:28" s="8" customFormat="1" ht="46.5" x14ac:dyDescent="0.2">
      <c r="A44" s="81">
        <v>18</v>
      </c>
      <c r="B44" s="81" t="s">
        <v>3</v>
      </c>
      <c r="C44" s="83" t="s">
        <v>33</v>
      </c>
      <c r="D44" s="84" t="s">
        <v>127</v>
      </c>
      <c r="E44" s="72">
        <v>25882353</v>
      </c>
      <c r="F44" s="365"/>
      <c r="G44" s="373">
        <v>15955365.4</v>
      </c>
      <c r="H44" s="373">
        <v>3136162.7714382587</v>
      </c>
      <c r="I44" s="372">
        <v>0.85</v>
      </c>
      <c r="J44" s="359">
        <v>14168318.249244651</v>
      </c>
      <c r="K44" s="275">
        <f t="shared" si="25"/>
        <v>0.88799710279556809</v>
      </c>
      <c r="L44" s="276">
        <f t="shared" si="26"/>
        <v>4797677.9696355667</v>
      </c>
      <c r="M44" s="368">
        <v>18965996.218880218</v>
      </c>
      <c r="N44" s="371">
        <f t="shared" si="27"/>
        <v>1.1886908098563644</v>
      </c>
      <c r="O44" s="369">
        <f>IFERROR(M44-(G44*I44),"n/a")</f>
        <v>5403935.6288802177</v>
      </c>
      <c r="P44" s="398">
        <f t="shared" si="29"/>
        <v>8595008.7088802177</v>
      </c>
      <c r="Q44" s="291">
        <v>18965996.172011878</v>
      </c>
      <c r="R44" s="371">
        <f t="shared" si="30"/>
        <v>1.1886908069188988</v>
      </c>
      <c r="S44" s="369">
        <f t="shared" si="31"/>
        <v>5403935.5820118785</v>
      </c>
      <c r="T44" s="396">
        <f t="shared" si="32"/>
        <v>8595008.6620118786</v>
      </c>
      <c r="U44" s="404"/>
      <c r="X44" s="288">
        <f t="shared" si="33"/>
        <v>4797677.9696355667</v>
      </c>
    </row>
    <row r="45" spans="1:28" s="8" customFormat="1" ht="46.5" x14ac:dyDescent="0.2">
      <c r="A45" s="89">
        <v>19</v>
      </c>
      <c r="B45" s="89" t="s">
        <v>3</v>
      </c>
      <c r="C45" s="71" t="s">
        <v>34</v>
      </c>
      <c r="D45" s="91" t="s">
        <v>127</v>
      </c>
      <c r="E45" s="72">
        <v>8235294</v>
      </c>
      <c r="F45" s="366"/>
      <c r="G45" s="373"/>
      <c r="H45" s="373"/>
      <c r="I45" s="372"/>
      <c r="J45" s="373"/>
      <c r="K45" s="275" t="str">
        <f t="shared" si="25"/>
        <v>n/a</v>
      </c>
      <c r="L45" s="276">
        <f t="shared" si="26"/>
        <v>0</v>
      </c>
      <c r="M45" s="369"/>
      <c r="N45" s="371"/>
      <c r="O45" s="369"/>
      <c r="P45" s="398"/>
      <c r="Q45" s="292"/>
      <c r="R45" s="371"/>
      <c r="S45" s="369"/>
      <c r="T45" s="396"/>
      <c r="U45" s="404"/>
      <c r="X45" s="288">
        <f t="shared" si="33"/>
        <v>0</v>
      </c>
      <c r="AB45" s="128">
        <v>46631226.280000001</v>
      </c>
    </row>
    <row r="46" spans="1:28" s="8" customFormat="1" ht="46.5" x14ac:dyDescent="0.2">
      <c r="A46" s="89">
        <v>20</v>
      </c>
      <c r="B46" s="89" t="s">
        <v>3</v>
      </c>
      <c r="C46" s="71" t="s">
        <v>35</v>
      </c>
      <c r="D46" s="91" t="s">
        <v>127</v>
      </c>
      <c r="E46" s="72">
        <v>12254724</v>
      </c>
      <c r="F46" s="366"/>
      <c r="G46" s="373"/>
      <c r="H46" s="373"/>
      <c r="I46" s="372"/>
      <c r="J46" s="373"/>
      <c r="K46" s="275" t="str">
        <f t="shared" si="25"/>
        <v>n/a</v>
      </c>
      <c r="L46" s="276">
        <f t="shared" si="26"/>
        <v>0</v>
      </c>
      <c r="M46" s="369"/>
      <c r="N46" s="371"/>
      <c r="O46" s="369"/>
      <c r="P46" s="398"/>
      <c r="Q46" s="292"/>
      <c r="R46" s="371"/>
      <c r="S46" s="369"/>
      <c r="T46" s="396"/>
      <c r="U46" s="404"/>
      <c r="X46" s="288">
        <f t="shared" si="33"/>
        <v>0</v>
      </c>
      <c r="AB46" s="8">
        <v>0.40672308519183592</v>
      </c>
    </row>
    <row r="47" spans="1:28" s="9" customFormat="1" ht="69.75" x14ac:dyDescent="0.2">
      <c r="A47" s="89">
        <v>21</v>
      </c>
      <c r="B47" s="89" t="s">
        <v>3</v>
      </c>
      <c r="C47" s="71" t="s">
        <v>36</v>
      </c>
      <c r="D47" s="91" t="s">
        <v>127</v>
      </c>
      <c r="E47" s="72">
        <v>14117647</v>
      </c>
      <c r="F47" s="367"/>
      <c r="G47" s="360"/>
      <c r="H47" s="360"/>
      <c r="I47" s="362"/>
      <c r="J47" s="360"/>
      <c r="K47" s="275" t="str">
        <f t="shared" si="25"/>
        <v>n/a</v>
      </c>
      <c r="L47" s="276">
        <f t="shared" si="26"/>
        <v>0</v>
      </c>
      <c r="M47" s="370"/>
      <c r="N47" s="364"/>
      <c r="O47" s="370"/>
      <c r="P47" s="399"/>
      <c r="Q47" s="293"/>
      <c r="R47" s="364"/>
      <c r="S47" s="370"/>
      <c r="T47" s="397"/>
      <c r="U47" s="403"/>
      <c r="X47" s="288">
        <f t="shared" si="33"/>
        <v>0</v>
      </c>
    </row>
    <row r="48" spans="1:28" s="8" customFormat="1" ht="46.5" x14ac:dyDescent="0.2">
      <c r="A48" s="89">
        <v>17</v>
      </c>
      <c r="B48" s="89" t="s">
        <v>3</v>
      </c>
      <c r="C48" s="71" t="s">
        <v>37</v>
      </c>
      <c r="D48" s="91" t="s">
        <v>127</v>
      </c>
      <c r="E48" s="72">
        <v>29565515</v>
      </c>
      <c r="F48" s="103"/>
      <c r="G48" s="72">
        <v>7712947</v>
      </c>
      <c r="H48" s="72">
        <v>1532852.3333420665</v>
      </c>
      <c r="I48" s="92">
        <v>0.85</v>
      </c>
      <c r="J48" s="287">
        <v>11525863.510000005</v>
      </c>
      <c r="K48" s="275">
        <f t="shared" si="25"/>
        <v>1.4943527435103605</v>
      </c>
      <c r="L48" s="276">
        <f t="shared" si="26"/>
        <v>7226257.4472885914</v>
      </c>
      <c r="M48" s="287">
        <v>18752120.957288597</v>
      </c>
      <c r="N48" s="73">
        <f t="shared" si="27"/>
        <v>2.4312524068023023</v>
      </c>
      <c r="O48" s="72">
        <f t="shared" si="28"/>
        <v>12196116.007288598</v>
      </c>
      <c r="P48" s="74">
        <f t="shared" si="29"/>
        <v>13738705.407288596</v>
      </c>
      <c r="Q48" s="289">
        <v>18377756.831111107</v>
      </c>
      <c r="R48" s="73">
        <f t="shared" si="30"/>
        <v>2.3827153007937314</v>
      </c>
      <c r="S48" s="72">
        <f t="shared" si="31"/>
        <v>11821751.881111108</v>
      </c>
      <c r="T48" s="88">
        <f t="shared" si="32"/>
        <v>13364341.281111106</v>
      </c>
      <c r="U48" s="117"/>
      <c r="X48" s="288">
        <f t="shared" si="33"/>
        <v>7226257.4472885914</v>
      </c>
    </row>
    <row r="49" spans="1:24" s="8" customFormat="1" ht="69.75" x14ac:dyDescent="0.2">
      <c r="A49" s="89">
        <v>15</v>
      </c>
      <c r="B49" s="89" t="s">
        <v>3</v>
      </c>
      <c r="C49" s="124" t="s">
        <v>38</v>
      </c>
      <c r="D49" s="91" t="s">
        <v>127</v>
      </c>
      <c r="E49" s="72">
        <v>32823529</v>
      </c>
      <c r="F49" s="103"/>
      <c r="G49" s="72">
        <v>8657815</v>
      </c>
      <c r="H49" s="72">
        <v>1701767.2497470386</v>
      </c>
      <c r="I49" s="92">
        <v>0.85</v>
      </c>
      <c r="J49" s="276">
        <v>2912979.6700000004</v>
      </c>
      <c r="K49" s="275">
        <f t="shared" si="25"/>
        <v>0.3364566775797358</v>
      </c>
      <c r="L49" s="276">
        <f t="shared" si="26"/>
        <v>373749.97112156404</v>
      </c>
      <c r="M49" s="271">
        <v>3286729.6411215644</v>
      </c>
      <c r="N49" s="93">
        <f t="shared" si="27"/>
        <v>0.37962576482883548</v>
      </c>
      <c r="O49" s="72">
        <f t="shared" si="28"/>
        <v>-4072413.1088784356</v>
      </c>
      <c r="P49" s="74">
        <f t="shared" si="29"/>
        <v>-2340850.1088784356</v>
      </c>
      <c r="Q49" s="289">
        <v>3286941.8117647059</v>
      </c>
      <c r="R49" s="73">
        <f t="shared" si="30"/>
        <v>0.37965027108626204</v>
      </c>
      <c r="S49" s="72">
        <f t="shared" si="31"/>
        <v>-4072200.9382352941</v>
      </c>
      <c r="T49" s="88">
        <f t="shared" si="32"/>
        <v>-2340637.9382352941</v>
      </c>
      <c r="U49" s="117" t="s">
        <v>223</v>
      </c>
      <c r="X49" s="288">
        <f t="shared" si="33"/>
        <v>373749.97112156404</v>
      </c>
    </row>
    <row r="50" spans="1:24" s="8" customFormat="1" ht="46.5" x14ac:dyDescent="0.2">
      <c r="A50" s="89">
        <v>22</v>
      </c>
      <c r="B50" s="89" t="s">
        <v>3</v>
      </c>
      <c r="C50" s="71" t="s">
        <v>39</v>
      </c>
      <c r="D50" s="91" t="s">
        <v>127</v>
      </c>
      <c r="E50" s="72">
        <v>70588236</v>
      </c>
      <c r="F50" s="365"/>
      <c r="G50" s="359">
        <v>22220807.399999999</v>
      </c>
      <c r="H50" s="359">
        <v>4574643.1444812873</v>
      </c>
      <c r="I50" s="361">
        <v>0.85</v>
      </c>
      <c r="J50" s="359">
        <v>20666975.750755347</v>
      </c>
      <c r="K50" s="275">
        <f t="shared" si="25"/>
        <v>0.93007312374956042</v>
      </c>
      <c r="L50" s="276">
        <f t="shared" si="26"/>
        <v>6998254.3103644475</v>
      </c>
      <c r="M50" s="368">
        <v>27665230.061119795</v>
      </c>
      <c r="N50" s="363">
        <f t="shared" si="27"/>
        <v>1.2450146190961449</v>
      </c>
      <c r="O50" s="359">
        <f t="shared" si="28"/>
        <v>8777543.7711197957</v>
      </c>
      <c r="P50" s="391">
        <f t="shared" si="29"/>
        <v>13221705.251119796</v>
      </c>
      <c r="Q50" s="291">
        <v>27665230.107988123</v>
      </c>
      <c r="R50" s="363">
        <f t="shared" si="30"/>
        <v>1.2450146212053539</v>
      </c>
      <c r="S50" s="359">
        <f t="shared" si="31"/>
        <v>8777543.8179881237</v>
      </c>
      <c r="T50" s="405">
        <f t="shared" si="32"/>
        <v>13221705.297988124</v>
      </c>
      <c r="U50" s="402"/>
      <c r="X50" s="288">
        <f t="shared" si="33"/>
        <v>6998254.3103644475</v>
      </c>
    </row>
    <row r="51" spans="1:24" s="8" customFormat="1" ht="69.75" x14ac:dyDescent="0.2">
      <c r="A51" s="89">
        <v>23</v>
      </c>
      <c r="B51" s="89" t="s">
        <v>3</v>
      </c>
      <c r="C51" s="71" t="s">
        <v>40</v>
      </c>
      <c r="D51" s="91" t="s">
        <v>127</v>
      </c>
      <c r="E51" s="72">
        <v>17647059</v>
      </c>
      <c r="F51" s="367"/>
      <c r="G51" s="360"/>
      <c r="H51" s="360"/>
      <c r="I51" s="362"/>
      <c r="J51" s="360"/>
      <c r="K51" s="275" t="str">
        <f t="shared" si="25"/>
        <v>n/a</v>
      </c>
      <c r="L51" s="276">
        <f t="shared" si="26"/>
        <v>0</v>
      </c>
      <c r="M51" s="370"/>
      <c r="N51" s="364"/>
      <c r="O51" s="360">
        <f t="shared" si="28"/>
        <v>0</v>
      </c>
      <c r="P51" s="392">
        <f t="shared" si="29"/>
        <v>0</v>
      </c>
      <c r="Q51" s="293"/>
      <c r="R51" s="364"/>
      <c r="S51" s="360">
        <f t="shared" si="31"/>
        <v>0</v>
      </c>
      <c r="T51" s="406">
        <f t="shared" si="32"/>
        <v>0</v>
      </c>
      <c r="U51" s="403"/>
      <c r="X51" s="288">
        <f t="shared" si="33"/>
        <v>0</v>
      </c>
    </row>
    <row r="52" spans="1:24" s="8" customFormat="1" ht="46.5" x14ac:dyDescent="0.2">
      <c r="A52" s="89">
        <v>16</v>
      </c>
      <c r="B52" s="89" t="s">
        <v>3</v>
      </c>
      <c r="C52" s="71" t="s">
        <v>41</v>
      </c>
      <c r="D52" s="91" t="s">
        <v>127</v>
      </c>
      <c r="E52" s="72">
        <v>7294119</v>
      </c>
      <c r="F52" s="104"/>
      <c r="G52" s="72">
        <v>1201009</v>
      </c>
      <c r="H52" s="72">
        <v>378170.56093902828</v>
      </c>
      <c r="I52" s="92">
        <v>0.85</v>
      </c>
      <c r="J52" s="276">
        <v>1619365.2300000002</v>
      </c>
      <c r="K52" s="275">
        <f t="shared" si="25"/>
        <v>1.3483372980552188</v>
      </c>
      <c r="L52" s="276">
        <f t="shared" si="26"/>
        <v>640762.65997462091</v>
      </c>
      <c r="M52" s="271">
        <v>2260127.8899746211</v>
      </c>
      <c r="N52" s="73">
        <f t="shared" si="27"/>
        <v>1.8818575797305608</v>
      </c>
      <c r="O52" s="72">
        <f t="shared" si="28"/>
        <v>1239270.2399746212</v>
      </c>
      <c r="P52" s="74">
        <f t="shared" si="29"/>
        <v>1479472.039974621</v>
      </c>
      <c r="Q52" s="289">
        <v>2323273.1325301207</v>
      </c>
      <c r="R52" s="73">
        <f t="shared" si="30"/>
        <v>1.9344344068446786</v>
      </c>
      <c r="S52" s="72">
        <f t="shared" si="31"/>
        <v>1302415.4825301208</v>
      </c>
      <c r="T52" s="88">
        <f t="shared" si="32"/>
        <v>1542617.2825301206</v>
      </c>
      <c r="U52" s="117"/>
      <c r="X52" s="288">
        <f t="shared" si="33"/>
        <v>640762.65997462091</v>
      </c>
    </row>
    <row r="53" spans="1:24" s="8" customFormat="1" ht="69.75" x14ac:dyDescent="0.2">
      <c r="A53" s="89">
        <v>25</v>
      </c>
      <c r="B53" s="89" t="s">
        <v>3</v>
      </c>
      <c r="C53" s="71" t="s">
        <v>42</v>
      </c>
      <c r="D53" s="91" t="s">
        <v>127</v>
      </c>
      <c r="E53" s="72">
        <v>60620418</v>
      </c>
      <c r="F53" s="104"/>
      <c r="G53" s="72">
        <v>10034796</v>
      </c>
      <c r="H53" s="72">
        <v>3143014</v>
      </c>
      <c r="I53" s="92">
        <v>0.85</v>
      </c>
      <c r="J53" s="276">
        <v>25153642.890000004</v>
      </c>
      <c r="K53" s="275">
        <f t="shared" si="25"/>
        <v>2.5066421768813241</v>
      </c>
      <c r="L53" s="276">
        <f t="shared" si="26"/>
        <v>2589531.753877867</v>
      </c>
      <c r="M53" s="271">
        <v>27743174.643877871</v>
      </c>
      <c r="N53" s="73">
        <f t="shared" si="27"/>
        <v>2.7646974232339026</v>
      </c>
      <c r="O53" s="72">
        <f t="shared" si="28"/>
        <v>19213598.04387787</v>
      </c>
      <c r="P53" s="74">
        <f t="shared" si="29"/>
        <v>21220557.243877873</v>
      </c>
      <c r="Q53" s="289">
        <v>30181731.558139537</v>
      </c>
      <c r="R53" s="73">
        <f t="shared" si="30"/>
        <v>3.0077075366693591</v>
      </c>
      <c r="S53" s="72">
        <f t="shared" si="31"/>
        <v>21652154.958139539</v>
      </c>
      <c r="T53" s="88">
        <f t="shared" si="32"/>
        <v>23659114.158139534</v>
      </c>
      <c r="U53" s="117"/>
      <c r="X53" s="288">
        <f t="shared" si="33"/>
        <v>2589531.753877867</v>
      </c>
    </row>
    <row r="54" spans="1:24" s="8" customFormat="1" ht="69.75" x14ac:dyDescent="0.2">
      <c r="A54" s="96">
        <v>24</v>
      </c>
      <c r="B54" s="96" t="s">
        <v>3</v>
      </c>
      <c r="C54" s="98" t="s">
        <v>43</v>
      </c>
      <c r="D54" s="99" t="s">
        <v>129</v>
      </c>
      <c r="E54" s="72">
        <v>75552110.395380691</v>
      </c>
      <c r="F54" s="104"/>
      <c r="G54" s="72">
        <v>13886292.199999999</v>
      </c>
      <c r="H54" s="72">
        <v>3599739.3892945535</v>
      </c>
      <c r="I54" s="100">
        <v>0.85</v>
      </c>
      <c r="J54" s="276">
        <v>19307313.549999993</v>
      </c>
      <c r="K54" s="275">
        <f t="shared" si="25"/>
        <v>1.3903865244892366</v>
      </c>
      <c r="L54" s="276">
        <f t="shared" si="26"/>
        <v>6885830.9664597362</v>
      </c>
      <c r="M54" s="271">
        <v>26193144.51645973</v>
      </c>
      <c r="N54" s="101">
        <f t="shared" si="27"/>
        <v>1.8862590631975706</v>
      </c>
      <c r="O54" s="72">
        <f t="shared" si="28"/>
        <v>14389796.14645973</v>
      </c>
      <c r="P54" s="74">
        <f t="shared" si="29"/>
        <v>17167054.58645973</v>
      </c>
      <c r="Q54" s="289">
        <v>26988599.821023963</v>
      </c>
      <c r="R54" s="101">
        <f t="shared" si="30"/>
        <v>1.9435425549394649</v>
      </c>
      <c r="S54" s="72">
        <f t="shared" si="31"/>
        <v>15185251.451023964</v>
      </c>
      <c r="T54" s="88">
        <f t="shared" si="32"/>
        <v>17962509.891023964</v>
      </c>
      <c r="U54" s="118"/>
      <c r="X54" s="288">
        <f t="shared" si="33"/>
        <v>6885830.9664597362</v>
      </c>
    </row>
    <row r="55" spans="1:24" s="8" customFormat="1" ht="28.5" x14ac:dyDescent="0.2">
      <c r="A55" s="272" t="s">
        <v>219</v>
      </c>
      <c r="B55" s="273"/>
      <c r="C55" s="273"/>
      <c r="D55" s="273"/>
      <c r="E55" s="273"/>
      <c r="F55" s="273"/>
      <c r="G55" s="273"/>
      <c r="H55" s="273"/>
      <c r="I55" s="273"/>
      <c r="J55" s="273"/>
      <c r="K55" s="275"/>
      <c r="L55" s="276"/>
      <c r="M55" s="273"/>
      <c r="N55" s="273"/>
      <c r="O55" s="273"/>
      <c r="P55" s="273"/>
      <c r="Q55" s="290"/>
      <c r="R55" s="273"/>
      <c r="S55" s="273"/>
      <c r="T55" s="273"/>
      <c r="U55" s="274"/>
      <c r="X55" s="288">
        <f t="shared" si="33"/>
        <v>0</v>
      </c>
    </row>
    <row r="56" spans="1:24" s="8" customFormat="1" ht="116.25" x14ac:dyDescent="0.2">
      <c r="A56" s="81">
        <v>26</v>
      </c>
      <c r="B56" s="81" t="s">
        <v>3</v>
      </c>
      <c r="C56" s="83" t="s">
        <v>44</v>
      </c>
      <c r="D56" s="84" t="s">
        <v>130</v>
      </c>
      <c r="E56" s="72">
        <v>11169393</v>
      </c>
      <c r="F56" s="72"/>
      <c r="G56" s="72">
        <v>3672987</v>
      </c>
      <c r="H56" s="72">
        <v>590386</v>
      </c>
      <c r="I56" s="85">
        <v>0.85</v>
      </c>
      <c r="J56" s="276">
        <v>2538155.1500000008</v>
      </c>
      <c r="K56" s="275">
        <f t="shared" si="25"/>
        <v>0.69103297942519282</v>
      </c>
      <c r="L56" s="276">
        <f t="shared" si="26"/>
        <v>664768.86686817557</v>
      </c>
      <c r="M56" s="271">
        <v>3202924.0168681764</v>
      </c>
      <c r="N56" s="86">
        <f t="shared" si="27"/>
        <v>0.87202160445113919</v>
      </c>
      <c r="O56" s="72">
        <f t="shared" si="28"/>
        <v>80885.066868176684</v>
      </c>
      <c r="P56" s="74">
        <f t="shared" si="29"/>
        <v>815482.46686817612</v>
      </c>
      <c r="Q56" s="289">
        <v>3470603.7058823528</v>
      </c>
      <c r="R56" s="86">
        <f t="shared" si="30"/>
        <v>0.94489953432515628</v>
      </c>
      <c r="S56" s="72">
        <f t="shared" si="31"/>
        <v>348564.75588235306</v>
      </c>
      <c r="T56" s="88">
        <f t="shared" si="32"/>
        <v>1083162.1558823525</v>
      </c>
      <c r="U56" s="116"/>
      <c r="V56" s="10"/>
      <c r="X56" s="288">
        <f t="shared" si="33"/>
        <v>664768.86686817557</v>
      </c>
    </row>
    <row r="57" spans="1:24" s="8" customFormat="1" ht="93" x14ac:dyDescent="0.2">
      <c r="A57" s="89">
        <v>27</v>
      </c>
      <c r="B57" s="89" t="s">
        <v>3</v>
      </c>
      <c r="C57" s="71" t="s">
        <v>45</v>
      </c>
      <c r="D57" s="91" t="s">
        <v>131</v>
      </c>
      <c r="E57" s="72">
        <v>8181615</v>
      </c>
      <c r="F57" s="72"/>
      <c r="G57" s="72">
        <v>3132164</v>
      </c>
      <c r="H57" s="72">
        <v>453602</v>
      </c>
      <c r="I57" s="92">
        <v>0.85</v>
      </c>
      <c r="J57" s="276">
        <v>2178102.85</v>
      </c>
      <c r="K57" s="275">
        <f t="shared" si="25"/>
        <v>0.69539872433244243</v>
      </c>
      <c r="L57" s="276">
        <f t="shared" si="26"/>
        <v>1276044.9608988026</v>
      </c>
      <c r="M57" s="271">
        <v>3454147.8108988027</v>
      </c>
      <c r="N57" s="73">
        <f t="shared" si="27"/>
        <v>1.10279915448195</v>
      </c>
      <c r="O57" s="72">
        <f t="shared" si="28"/>
        <v>791808.4108988028</v>
      </c>
      <c r="P57" s="74">
        <f t="shared" si="29"/>
        <v>1418241.2108988026</v>
      </c>
      <c r="Q57" s="289">
        <v>3534512.4352941178</v>
      </c>
      <c r="R57" s="73">
        <f t="shared" si="30"/>
        <v>1.1284570141583001</v>
      </c>
      <c r="S57" s="72">
        <f t="shared" si="31"/>
        <v>872173.03529411787</v>
      </c>
      <c r="T57" s="88">
        <f t="shared" si="32"/>
        <v>1498605.8352941177</v>
      </c>
      <c r="U57" s="117"/>
      <c r="X57" s="288">
        <f t="shared" si="33"/>
        <v>1276044.9608988026</v>
      </c>
    </row>
    <row r="58" spans="1:24" s="8" customFormat="1" ht="46.5" x14ac:dyDescent="0.5">
      <c r="A58" s="89">
        <v>29</v>
      </c>
      <c r="B58" s="89" t="s">
        <v>3</v>
      </c>
      <c r="C58" s="71" t="s">
        <v>46</v>
      </c>
      <c r="D58" s="91" t="s">
        <v>131</v>
      </c>
      <c r="E58" s="72">
        <v>1500000</v>
      </c>
      <c r="F58" s="72"/>
      <c r="G58" s="72">
        <v>207687</v>
      </c>
      <c r="H58" s="72">
        <v>79286.167571177386</v>
      </c>
      <c r="I58" s="92">
        <v>0.85</v>
      </c>
      <c r="J58" s="276">
        <v>207438.72999999998</v>
      </c>
      <c r="K58" s="275">
        <f t="shared" si="25"/>
        <v>0.99880459537669652</v>
      </c>
      <c r="L58" s="276">
        <f t="shared" si="26"/>
        <v>114835.44564705889</v>
      </c>
      <c r="M58" s="271">
        <v>322274.17564705887</v>
      </c>
      <c r="N58" s="73">
        <f t="shared" si="27"/>
        <v>1.5517301306632523</v>
      </c>
      <c r="O58" s="72">
        <f t="shared" si="28"/>
        <v>145740.22564705889</v>
      </c>
      <c r="P58" s="74">
        <f t="shared" si="29"/>
        <v>187277.62564705886</v>
      </c>
      <c r="Q58" s="289">
        <v>322274.17564705887</v>
      </c>
      <c r="R58" s="73">
        <f t="shared" si="30"/>
        <v>1.5517301306632523</v>
      </c>
      <c r="S58" s="72">
        <f t="shared" si="31"/>
        <v>145740.22564705889</v>
      </c>
      <c r="T58" s="88">
        <f t="shared" si="32"/>
        <v>187277.62564705886</v>
      </c>
      <c r="U58" s="117"/>
      <c r="V58" s="30"/>
      <c r="X58" s="288">
        <f t="shared" si="33"/>
        <v>114835.44564705889</v>
      </c>
    </row>
    <row r="59" spans="1:24" s="8" customFormat="1" ht="139.5" x14ac:dyDescent="0.2">
      <c r="A59" s="96">
        <v>28</v>
      </c>
      <c r="B59" s="96" t="s">
        <v>3</v>
      </c>
      <c r="C59" s="98" t="s">
        <v>47</v>
      </c>
      <c r="D59" s="99" t="s">
        <v>131</v>
      </c>
      <c r="E59" s="72">
        <v>400000</v>
      </c>
      <c r="F59" s="72"/>
      <c r="G59" s="72">
        <v>0</v>
      </c>
      <c r="H59" s="72">
        <v>0</v>
      </c>
      <c r="I59" s="100">
        <v>0.85</v>
      </c>
      <c r="J59" s="276">
        <v>0</v>
      </c>
      <c r="K59" s="275" t="str">
        <f t="shared" si="25"/>
        <v>n/a</v>
      </c>
      <c r="L59" s="276">
        <f t="shared" si="26"/>
        <v>0</v>
      </c>
      <c r="M59" s="271">
        <v>0</v>
      </c>
      <c r="N59" s="101" t="str">
        <f t="shared" si="27"/>
        <v>n/a</v>
      </c>
      <c r="O59" s="72">
        <f t="shared" si="28"/>
        <v>0</v>
      </c>
      <c r="P59" s="74">
        <f t="shared" si="29"/>
        <v>0</v>
      </c>
      <c r="Q59" s="289">
        <v>0</v>
      </c>
      <c r="R59" s="101" t="str">
        <f t="shared" si="30"/>
        <v>n/a</v>
      </c>
      <c r="S59" s="72">
        <f t="shared" si="31"/>
        <v>0</v>
      </c>
      <c r="T59" s="88">
        <f t="shared" si="32"/>
        <v>0</v>
      </c>
      <c r="U59" s="118"/>
      <c r="X59" s="288">
        <f t="shared" si="33"/>
        <v>0</v>
      </c>
    </row>
    <row r="60" spans="1:24" s="8" customFormat="1" ht="28.5" x14ac:dyDescent="0.2">
      <c r="A60" s="272" t="s">
        <v>220</v>
      </c>
      <c r="B60" s="273"/>
      <c r="C60" s="273"/>
      <c r="D60" s="273"/>
      <c r="E60" s="273"/>
      <c r="F60" s="273"/>
      <c r="G60" s="273"/>
      <c r="H60" s="273"/>
      <c r="I60" s="273"/>
      <c r="J60" s="273"/>
      <c r="K60" s="275"/>
      <c r="L60" s="276"/>
      <c r="M60" s="273"/>
      <c r="N60" s="273"/>
      <c r="O60" s="273"/>
      <c r="P60" s="273"/>
      <c r="Q60" s="290"/>
      <c r="R60" s="273"/>
      <c r="S60" s="273"/>
      <c r="T60" s="273"/>
      <c r="U60" s="274"/>
      <c r="X60" s="288">
        <f t="shared" si="33"/>
        <v>0</v>
      </c>
    </row>
    <row r="61" spans="1:24" s="9" customFormat="1" ht="186" customHeight="1" x14ac:dyDescent="0.2">
      <c r="A61" s="81">
        <v>31</v>
      </c>
      <c r="B61" s="81" t="s">
        <v>4</v>
      </c>
      <c r="C61" s="127" t="s">
        <v>49</v>
      </c>
      <c r="D61" s="84" t="s">
        <v>127</v>
      </c>
      <c r="E61" s="72">
        <v>176471763</v>
      </c>
      <c r="F61" s="72"/>
      <c r="G61" s="72">
        <v>30007856</v>
      </c>
      <c r="H61" s="72">
        <v>11926141.999999985</v>
      </c>
      <c r="I61" s="85">
        <v>0.75</v>
      </c>
      <c r="J61" s="276">
        <v>6681807.9399999995</v>
      </c>
      <c r="K61" s="275">
        <f t="shared" si="25"/>
        <v>0.22266862184355987</v>
      </c>
      <c r="L61" s="276">
        <f t="shared" si="26"/>
        <v>18484669.214650705</v>
      </c>
      <c r="M61" s="271">
        <v>25166477.154650707</v>
      </c>
      <c r="N61" s="122">
        <f t="shared" si="27"/>
        <v>0.83866295394948265</v>
      </c>
      <c r="O61" s="72">
        <f t="shared" si="28"/>
        <v>2660585.1546507068</v>
      </c>
      <c r="P61" s="74">
        <f t="shared" si="29"/>
        <v>5661370.7546507046</v>
      </c>
      <c r="Q61" s="289">
        <v>25997180.548235297</v>
      </c>
      <c r="R61" s="86">
        <f t="shared" si="30"/>
        <v>0.86634581784967568</v>
      </c>
      <c r="S61" s="72">
        <f t="shared" si="31"/>
        <v>3491288.5482352972</v>
      </c>
      <c r="T61" s="88">
        <f t="shared" si="32"/>
        <v>6492074.148235295</v>
      </c>
      <c r="U61" s="116" t="s">
        <v>215</v>
      </c>
      <c r="X61" s="288">
        <f t="shared" si="33"/>
        <v>18484669.214650705</v>
      </c>
    </row>
    <row r="62" spans="1:24" s="9" customFormat="1" ht="232.5" x14ac:dyDescent="0.2">
      <c r="A62" s="89">
        <v>30</v>
      </c>
      <c r="B62" s="89" t="s">
        <v>4</v>
      </c>
      <c r="C62" s="124" t="s">
        <v>50</v>
      </c>
      <c r="D62" s="91" t="s">
        <v>127</v>
      </c>
      <c r="E62" s="72">
        <v>115127027</v>
      </c>
      <c r="F62" s="72"/>
      <c r="G62" s="72">
        <v>25903583</v>
      </c>
      <c r="H62" s="72">
        <v>3192016</v>
      </c>
      <c r="I62" s="92">
        <v>0.75</v>
      </c>
      <c r="J62" s="276">
        <v>2967870.9400000009</v>
      </c>
      <c r="K62" s="275">
        <f t="shared" si="25"/>
        <v>0.11457376147539129</v>
      </c>
      <c r="L62" s="276">
        <f t="shared" si="26"/>
        <v>3695965.0677561951</v>
      </c>
      <c r="M62" s="271">
        <v>6663836.007756196</v>
      </c>
      <c r="N62" s="93">
        <f t="shared" si="27"/>
        <v>0.2572553769011876</v>
      </c>
      <c r="O62" s="72">
        <f t="shared" si="28"/>
        <v>-12763851.242243804</v>
      </c>
      <c r="P62" s="74">
        <f t="shared" si="29"/>
        <v>-10173492.942243803</v>
      </c>
      <c r="Q62" s="289">
        <v>9232241.7605813965</v>
      </c>
      <c r="R62" s="73">
        <f t="shared" si="30"/>
        <v>0.35640790544618467</v>
      </c>
      <c r="S62" s="72">
        <f t="shared" si="31"/>
        <v>-10195445.489418603</v>
      </c>
      <c r="T62" s="88">
        <f t="shared" si="32"/>
        <v>-7605087.1894186027</v>
      </c>
      <c r="U62" s="117" t="s">
        <v>216</v>
      </c>
      <c r="X62" s="288">
        <f t="shared" si="33"/>
        <v>3695965.0677561951</v>
      </c>
    </row>
    <row r="63" spans="1:24" s="8" customFormat="1" ht="116.25" x14ac:dyDescent="0.2">
      <c r="A63" s="89">
        <v>33</v>
      </c>
      <c r="B63" s="89" t="s">
        <v>4</v>
      </c>
      <c r="C63" s="71" t="s">
        <v>51</v>
      </c>
      <c r="D63" s="91" t="s">
        <v>129</v>
      </c>
      <c r="E63" s="72">
        <v>55289876.350825503</v>
      </c>
      <c r="F63" s="72"/>
      <c r="G63" s="72">
        <v>14773486</v>
      </c>
      <c r="H63" s="72">
        <v>1914863.8170615549</v>
      </c>
      <c r="I63" s="92">
        <v>0.75</v>
      </c>
      <c r="J63" s="276">
        <v>7634882.3500000024</v>
      </c>
      <c r="K63" s="275">
        <f t="shared" si="25"/>
        <v>0.51679626257472355</v>
      </c>
      <c r="L63" s="276">
        <f t="shared" si="26"/>
        <v>6998604.4584419532</v>
      </c>
      <c r="M63" s="271">
        <v>14633486.808441956</v>
      </c>
      <c r="N63" s="73">
        <f t="shared" si="27"/>
        <v>0.99052361835533975</v>
      </c>
      <c r="O63" s="72">
        <f t="shared" si="28"/>
        <v>3553372.3084419556</v>
      </c>
      <c r="P63" s="74">
        <f t="shared" si="29"/>
        <v>5030720.9084419552</v>
      </c>
      <c r="Q63" s="289">
        <v>17560965.690749999</v>
      </c>
      <c r="R63" s="73">
        <f t="shared" si="30"/>
        <v>1.1886812422437061</v>
      </c>
      <c r="S63" s="72">
        <f t="shared" si="31"/>
        <v>6480851.1907499991</v>
      </c>
      <c r="T63" s="88">
        <f t="shared" si="32"/>
        <v>7958199.7907499988</v>
      </c>
      <c r="U63" s="117" t="s">
        <v>198</v>
      </c>
      <c r="X63" s="288">
        <f t="shared" si="33"/>
        <v>6998604.4584419532</v>
      </c>
    </row>
    <row r="64" spans="1:24" s="8" customFormat="1" ht="93" x14ac:dyDescent="0.2">
      <c r="A64" s="96">
        <v>32</v>
      </c>
      <c r="B64" s="96" t="s">
        <v>4</v>
      </c>
      <c r="C64" s="98" t="s">
        <v>195</v>
      </c>
      <c r="D64" s="99" t="s">
        <v>128</v>
      </c>
      <c r="E64" s="72">
        <v>8344235</v>
      </c>
      <c r="F64" s="72"/>
      <c r="G64" s="72">
        <v>3490000</v>
      </c>
      <c r="H64" s="72">
        <v>432614.80372968857</v>
      </c>
      <c r="I64" s="100">
        <v>0.75</v>
      </c>
      <c r="J64" s="276">
        <v>2864578.81</v>
      </c>
      <c r="K64" s="275">
        <f t="shared" si="25"/>
        <v>0.8207962206303725</v>
      </c>
      <c r="L64" s="276">
        <f t="shared" si="26"/>
        <v>1781091.1753694606</v>
      </c>
      <c r="M64" s="271">
        <v>4645669.9853694607</v>
      </c>
      <c r="N64" s="101">
        <f t="shared" si="27"/>
        <v>1.3311375316244873</v>
      </c>
      <c r="O64" s="72">
        <f t="shared" si="28"/>
        <v>2028169.9853694607</v>
      </c>
      <c r="P64" s="74">
        <f t="shared" si="29"/>
        <v>2377169.9853694607</v>
      </c>
      <c r="Q64" s="289">
        <v>3384894.2117647068</v>
      </c>
      <c r="R64" s="101">
        <f t="shared" si="30"/>
        <v>0.96988372829934288</v>
      </c>
      <c r="S64" s="72">
        <f t="shared" si="31"/>
        <v>767394.21176470676</v>
      </c>
      <c r="T64" s="88">
        <f t="shared" si="32"/>
        <v>1116394.2117647068</v>
      </c>
      <c r="U64" s="118"/>
      <c r="X64" s="288">
        <f t="shared" si="33"/>
        <v>1781091.1753694606</v>
      </c>
    </row>
    <row r="65" spans="1:24" s="8" customFormat="1" ht="28.5" x14ac:dyDescent="0.2">
      <c r="A65" s="272" t="s">
        <v>204</v>
      </c>
      <c r="B65" s="273"/>
      <c r="C65" s="273"/>
      <c r="D65" s="273"/>
      <c r="E65" s="273"/>
      <c r="F65" s="273"/>
      <c r="G65" s="273"/>
      <c r="H65" s="273"/>
      <c r="I65" s="273"/>
      <c r="J65" s="273"/>
      <c r="K65" s="275"/>
      <c r="L65" s="276"/>
      <c r="M65" s="273"/>
      <c r="N65" s="273"/>
      <c r="O65" s="273"/>
      <c r="P65" s="273"/>
      <c r="Q65" s="290"/>
      <c r="R65" s="273"/>
      <c r="S65" s="273"/>
      <c r="T65" s="273"/>
      <c r="U65" s="274"/>
      <c r="X65" s="288">
        <f t="shared" si="33"/>
        <v>0</v>
      </c>
    </row>
    <row r="66" spans="1:24" s="8" customFormat="1" ht="93" x14ac:dyDescent="0.2">
      <c r="A66" s="81">
        <v>37</v>
      </c>
      <c r="B66" s="81" t="s">
        <v>4</v>
      </c>
      <c r="C66" s="83" t="s">
        <v>48</v>
      </c>
      <c r="D66" s="84" t="s">
        <v>132</v>
      </c>
      <c r="E66" s="72">
        <v>85830850</v>
      </c>
      <c r="F66" s="72"/>
      <c r="G66" s="72">
        <v>5745006</v>
      </c>
      <c r="H66" s="72">
        <v>2015156</v>
      </c>
      <c r="I66" s="85">
        <v>0.75</v>
      </c>
      <c r="J66" s="276">
        <v>11345086.879999999</v>
      </c>
      <c r="K66" s="275">
        <f t="shared" si="25"/>
        <v>1.9747737217332757</v>
      </c>
      <c r="L66" s="276">
        <f t="shared" si="26"/>
        <v>4935554.7180000003</v>
      </c>
      <c r="M66" s="271">
        <v>16280641.597999999</v>
      </c>
      <c r="N66" s="86">
        <f t="shared" si="27"/>
        <v>2.8338772140533881</v>
      </c>
      <c r="O66" s="72">
        <f t="shared" si="28"/>
        <v>11971887.097999999</v>
      </c>
      <c r="P66" s="74">
        <f t="shared" si="29"/>
        <v>12546387.697999999</v>
      </c>
      <c r="Q66" s="289">
        <v>16400568.464666668</v>
      </c>
      <c r="R66" s="86">
        <f t="shared" si="30"/>
        <v>2.8547521908013094</v>
      </c>
      <c r="S66" s="72">
        <f t="shared" si="31"/>
        <v>12091813.964666668</v>
      </c>
      <c r="T66" s="88">
        <f t="shared" si="32"/>
        <v>12666314.564666668</v>
      </c>
      <c r="U66" s="116"/>
      <c r="X66" s="288">
        <f t="shared" si="33"/>
        <v>4935554.7180000003</v>
      </c>
    </row>
    <row r="67" spans="1:24" s="8" customFormat="1" ht="162.75" x14ac:dyDescent="0.2">
      <c r="A67" s="89">
        <v>34</v>
      </c>
      <c r="B67" s="89" t="s">
        <v>4</v>
      </c>
      <c r="C67" s="124" t="s">
        <v>52</v>
      </c>
      <c r="D67" s="91" t="s">
        <v>132</v>
      </c>
      <c r="E67" s="72">
        <v>150000673</v>
      </c>
      <c r="F67" s="72"/>
      <c r="G67" s="72">
        <v>9387264</v>
      </c>
      <c r="H67" s="72">
        <v>3290568</v>
      </c>
      <c r="I67" s="92">
        <v>0.75</v>
      </c>
      <c r="J67" s="276">
        <v>206593.71000000002</v>
      </c>
      <c r="K67" s="275">
        <f t="shared" si="25"/>
        <v>2.2007872581403912E-2</v>
      </c>
      <c r="L67" s="276">
        <f t="shared" si="26"/>
        <v>4685235.174658048</v>
      </c>
      <c r="M67" s="271">
        <v>4891828.8846580479</v>
      </c>
      <c r="N67" s="93">
        <f t="shared" si="27"/>
        <v>0.5211133813492459</v>
      </c>
      <c r="O67" s="72">
        <f t="shared" si="28"/>
        <v>-2148619.1153419521</v>
      </c>
      <c r="P67" s="74">
        <f t="shared" si="29"/>
        <v>-1209892.7153419526</v>
      </c>
      <c r="Q67" s="289">
        <v>4780406.6463749995</v>
      </c>
      <c r="R67" s="73">
        <f t="shared" si="30"/>
        <v>0.50924386981925718</v>
      </c>
      <c r="S67" s="72">
        <f t="shared" si="31"/>
        <v>-2260041.3536250005</v>
      </c>
      <c r="T67" s="88">
        <f t="shared" si="32"/>
        <v>-1321314.953625001</v>
      </c>
      <c r="U67" s="117" t="s">
        <v>224</v>
      </c>
      <c r="X67" s="288">
        <f t="shared" si="33"/>
        <v>4685235.174658048</v>
      </c>
    </row>
    <row r="68" spans="1:24" s="8" customFormat="1" ht="186" x14ac:dyDescent="0.2">
      <c r="A68" s="89">
        <v>35</v>
      </c>
      <c r="B68" s="89" t="s">
        <v>4</v>
      </c>
      <c r="C68" s="127" t="s">
        <v>53</v>
      </c>
      <c r="D68" s="91" t="s">
        <v>133</v>
      </c>
      <c r="E68" s="72">
        <v>112941177</v>
      </c>
      <c r="F68" s="72"/>
      <c r="G68" s="72">
        <v>16545781</v>
      </c>
      <c r="H68" s="72">
        <v>5939202.9987374237</v>
      </c>
      <c r="I68" s="92">
        <v>0.75</v>
      </c>
      <c r="J68" s="276">
        <v>6203631.25</v>
      </c>
      <c r="K68" s="275">
        <f t="shared" si="25"/>
        <v>0.37493734807682999</v>
      </c>
      <c r="L68" s="276">
        <f t="shared" si="26"/>
        <v>6321129.7851804048</v>
      </c>
      <c r="M68" s="271">
        <v>12524761.035180405</v>
      </c>
      <c r="N68" s="114">
        <f t="shared" si="27"/>
        <v>0.75697611585578251</v>
      </c>
      <c r="O68" s="72">
        <f t="shared" si="28"/>
        <v>115425.28518040478</v>
      </c>
      <c r="P68" s="74">
        <f t="shared" si="29"/>
        <v>1770003.3851804044</v>
      </c>
      <c r="Q68" s="289">
        <v>11397168.573333336</v>
      </c>
      <c r="R68" s="73">
        <f t="shared" si="30"/>
        <v>0.68882626775570976</v>
      </c>
      <c r="S68" s="72">
        <f t="shared" si="31"/>
        <v>-1012167.176666664</v>
      </c>
      <c r="T68" s="88">
        <f t="shared" si="32"/>
        <v>642410.92333333567</v>
      </c>
      <c r="U68" s="117" t="s">
        <v>244</v>
      </c>
      <c r="X68" s="288">
        <f t="shared" si="33"/>
        <v>6321129.7851804048</v>
      </c>
    </row>
    <row r="69" spans="1:24" s="8" customFormat="1" ht="46.5" x14ac:dyDescent="0.2">
      <c r="A69" s="96">
        <v>36</v>
      </c>
      <c r="B69" s="96" t="s">
        <v>4</v>
      </c>
      <c r="C69" s="98" t="s">
        <v>54</v>
      </c>
      <c r="D69" s="99" t="s">
        <v>133</v>
      </c>
      <c r="E69" s="72">
        <v>14725610</v>
      </c>
      <c r="F69" s="72"/>
      <c r="G69" s="72">
        <v>0</v>
      </c>
      <c r="H69" s="72">
        <v>774371.10458438157</v>
      </c>
      <c r="I69" s="100">
        <v>0.75</v>
      </c>
      <c r="J69" s="276">
        <v>2027462.86</v>
      </c>
      <c r="K69" s="275" t="str">
        <f t="shared" si="25"/>
        <v>n/a</v>
      </c>
      <c r="L69" s="276">
        <f t="shared" si="26"/>
        <v>651426.68230614509</v>
      </c>
      <c r="M69" s="271">
        <v>2678889.5423061452</v>
      </c>
      <c r="N69" s="101" t="str">
        <f t="shared" si="27"/>
        <v>n/a</v>
      </c>
      <c r="O69" s="72">
        <f t="shared" si="28"/>
        <v>2678889.5423061452</v>
      </c>
      <c r="P69" s="74">
        <f t="shared" si="29"/>
        <v>2678889.5423061452</v>
      </c>
      <c r="Q69" s="289">
        <v>3036074.6933333334</v>
      </c>
      <c r="R69" s="101" t="str">
        <f t="shared" si="30"/>
        <v>n/a</v>
      </c>
      <c r="S69" s="72">
        <f t="shared" si="31"/>
        <v>3036074.6933333334</v>
      </c>
      <c r="T69" s="88">
        <f t="shared" si="32"/>
        <v>3036074.6933333334</v>
      </c>
      <c r="U69" s="118"/>
      <c r="X69" s="288">
        <f t="shared" si="33"/>
        <v>651426.68230614509</v>
      </c>
    </row>
    <row r="70" spans="1:24" s="8" customFormat="1" ht="28.5" x14ac:dyDescent="0.2">
      <c r="A70" s="272" t="s">
        <v>205</v>
      </c>
      <c r="B70" s="273"/>
      <c r="C70" s="273"/>
      <c r="D70" s="273"/>
      <c r="E70" s="273"/>
      <c r="F70" s="273"/>
      <c r="G70" s="273"/>
      <c r="H70" s="273"/>
      <c r="I70" s="273"/>
      <c r="J70" s="273"/>
      <c r="K70" s="275"/>
      <c r="L70" s="276"/>
      <c r="M70" s="273"/>
      <c r="N70" s="273"/>
      <c r="O70" s="273"/>
      <c r="P70" s="273"/>
      <c r="Q70" s="290"/>
      <c r="R70" s="273"/>
      <c r="S70" s="273"/>
      <c r="T70" s="273"/>
      <c r="U70" s="274"/>
      <c r="X70" s="288">
        <f t="shared" si="33"/>
        <v>0</v>
      </c>
    </row>
    <row r="71" spans="1:24" s="8" customFormat="1" ht="93" x14ac:dyDescent="0.2">
      <c r="A71" s="81">
        <v>40</v>
      </c>
      <c r="B71" s="81" t="s">
        <v>5</v>
      </c>
      <c r="C71" s="121" t="s">
        <v>55</v>
      </c>
      <c r="D71" s="84" t="s">
        <v>129</v>
      </c>
      <c r="E71" s="72">
        <v>34044477</v>
      </c>
      <c r="F71" s="72"/>
      <c r="G71" s="72">
        <v>6056264</v>
      </c>
      <c r="H71" s="72">
        <v>2679997</v>
      </c>
      <c r="I71" s="85">
        <v>0.75</v>
      </c>
      <c r="J71" s="276">
        <v>2353637.1899999995</v>
      </c>
      <c r="K71" s="275">
        <f t="shared" si="25"/>
        <v>0.38862856539939467</v>
      </c>
      <c r="L71" s="276">
        <f t="shared" si="26"/>
        <v>2032890.3408353366</v>
      </c>
      <c r="M71" s="271">
        <v>4386527.5308353361</v>
      </c>
      <c r="N71" s="114">
        <f t="shared" si="27"/>
        <v>0.7242959571833949</v>
      </c>
      <c r="O71" s="72">
        <f t="shared" si="28"/>
        <v>-155670.46916466393</v>
      </c>
      <c r="P71" s="74">
        <f t="shared" si="29"/>
        <v>449955.93083533598</v>
      </c>
      <c r="Q71" s="289">
        <v>5199394.7899999991</v>
      </c>
      <c r="R71" s="86">
        <f t="shared" si="30"/>
        <v>0.85851521499062777</v>
      </c>
      <c r="S71" s="72">
        <f t="shared" si="31"/>
        <v>657196.78999999911</v>
      </c>
      <c r="T71" s="88">
        <f t="shared" si="32"/>
        <v>1262823.189999999</v>
      </c>
      <c r="U71" s="116" t="s">
        <v>199</v>
      </c>
      <c r="X71" s="288">
        <f t="shared" si="33"/>
        <v>2032890.3408353366</v>
      </c>
    </row>
    <row r="72" spans="1:24" s="8" customFormat="1" ht="69.75" x14ac:dyDescent="0.2">
      <c r="A72" s="89">
        <v>39</v>
      </c>
      <c r="B72" s="89" t="s">
        <v>5</v>
      </c>
      <c r="C72" s="71" t="s">
        <v>56</v>
      </c>
      <c r="D72" s="91" t="s">
        <v>134</v>
      </c>
      <c r="E72" s="72">
        <v>43390019</v>
      </c>
      <c r="F72" s="72"/>
      <c r="G72" s="72">
        <v>15186507</v>
      </c>
      <c r="H72" s="72">
        <v>2249596.9460619083</v>
      </c>
      <c r="I72" s="92">
        <v>0.75</v>
      </c>
      <c r="J72" s="276">
        <v>6662977.5799999991</v>
      </c>
      <c r="K72" s="275">
        <f t="shared" si="25"/>
        <v>0.43874325939467179</v>
      </c>
      <c r="L72" s="276">
        <f t="shared" si="26"/>
        <v>6643431.8882358531</v>
      </c>
      <c r="M72" s="271">
        <v>13306409.468235852</v>
      </c>
      <c r="N72" s="73">
        <f t="shared" si="27"/>
        <v>0.87619947551045496</v>
      </c>
      <c r="O72" s="72">
        <f t="shared" si="28"/>
        <v>1916529.2182358522</v>
      </c>
      <c r="P72" s="74">
        <f t="shared" si="29"/>
        <v>3435179.9182358515</v>
      </c>
      <c r="Q72" s="289">
        <v>13941163.554705881</v>
      </c>
      <c r="R72" s="73">
        <f t="shared" si="30"/>
        <v>0.91799671607867961</v>
      </c>
      <c r="S72" s="72">
        <f t="shared" si="31"/>
        <v>2551283.3047058806</v>
      </c>
      <c r="T72" s="88">
        <f t="shared" si="32"/>
        <v>4069934.0047058798</v>
      </c>
      <c r="U72" s="117" t="s">
        <v>256</v>
      </c>
      <c r="X72" s="288">
        <f t="shared" si="33"/>
        <v>6643431.8882358531</v>
      </c>
    </row>
    <row r="73" spans="1:24" s="8" customFormat="1" ht="93" x14ac:dyDescent="0.2">
      <c r="A73" s="89">
        <v>42</v>
      </c>
      <c r="B73" s="89" t="s">
        <v>5</v>
      </c>
      <c r="C73" s="71" t="s">
        <v>61</v>
      </c>
      <c r="D73" s="91" t="s">
        <v>129</v>
      </c>
      <c r="E73" s="72">
        <v>4000000</v>
      </c>
      <c r="F73" s="72"/>
      <c r="G73" s="72">
        <v>1964706</v>
      </c>
      <c r="H73" s="72">
        <v>0</v>
      </c>
      <c r="I73" s="92">
        <v>0.75</v>
      </c>
      <c r="J73" s="276">
        <v>1021103.47</v>
      </c>
      <c r="K73" s="275">
        <f t="shared" si="25"/>
        <v>0.51972329193273703</v>
      </c>
      <c r="L73" s="276">
        <f t="shared" si="26"/>
        <v>2121953.4459999995</v>
      </c>
      <c r="M73" s="271">
        <v>3143056.9159999993</v>
      </c>
      <c r="N73" s="73">
        <f t="shared" si="27"/>
        <v>1.5997594123497354</v>
      </c>
      <c r="O73" s="72">
        <f t="shared" si="28"/>
        <v>1669527.4159999993</v>
      </c>
      <c r="P73" s="74">
        <f t="shared" si="29"/>
        <v>1865998.0159999991</v>
      </c>
      <c r="Q73" s="289">
        <v>3455579.3201176468</v>
      </c>
      <c r="R73" s="73">
        <f t="shared" si="30"/>
        <v>1.758827692345647</v>
      </c>
      <c r="S73" s="72">
        <f t="shared" si="31"/>
        <v>1982049.8201176468</v>
      </c>
      <c r="T73" s="88">
        <f t="shared" si="32"/>
        <v>2178520.4201176465</v>
      </c>
      <c r="U73" s="117"/>
      <c r="X73" s="288">
        <f t="shared" si="33"/>
        <v>2121953.4459999995</v>
      </c>
    </row>
    <row r="74" spans="1:24" s="8" customFormat="1" ht="139.5" x14ac:dyDescent="0.2">
      <c r="A74" s="89">
        <v>43</v>
      </c>
      <c r="B74" s="89" t="s">
        <v>5</v>
      </c>
      <c r="C74" s="71" t="s">
        <v>65</v>
      </c>
      <c r="D74" s="91" t="s">
        <v>136</v>
      </c>
      <c r="E74" s="72">
        <v>70717732.736073375</v>
      </c>
      <c r="F74" s="72"/>
      <c r="G74" s="72">
        <v>8041664.4461944811</v>
      </c>
      <c r="H74" s="72">
        <v>2146457</v>
      </c>
      <c r="I74" s="92">
        <v>0.75</v>
      </c>
      <c r="J74" s="276">
        <v>1825102.57</v>
      </c>
      <c r="K74" s="275">
        <f t="shared" si="25"/>
        <v>0.22695582266724457</v>
      </c>
      <c r="L74" s="276">
        <f t="shared" si="26"/>
        <v>4537774.249284666</v>
      </c>
      <c r="M74" s="271">
        <v>6362876.8192846663</v>
      </c>
      <c r="N74" s="73">
        <f t="shared" si="27"/>
        <v>0.7912387866787628</v>
      </c>
      <c r="O74" s="72">
        <f t="shared" si="28"/>
        <v>331628.4846388055</v>
      </c>
      <c r="P74" s="74">
        <f t="shared" si="29"/>
        <v>1135794.9292582534</v>
      </c>
      <c r="Q74" s="289">
        <v>9355420.7311900686</v>
      </c>
      <c r="R74" s="73">
        <f t="shared" si="30"/>
        <v>1.163368702311036</v>
      </c>
      <c r="S74" s="72">
        <f t="shared" si="31"/>
        <v>3324172.3965442078</v>
      </c>
      <c r="T74" s="88">
        <f t="shared" si="32"/>
        <v>4128338.8411636557</v>
      </c>
      <c r="U74" s="117" t="s">
        <v>232</v>
      </c>
      <c r="V74" s="10"/>
      <c r="X74" s="288">
        <f t="shared" si="33"/>
        <v>4537774.249284666</v>
      </c>
    </row>
    <row r="75" spans="1:24" s="8" customFormat="1" ht="93" x14ac:dyDescent="0.2">
      <c r="A75" s="89">
        <v>38</v>
      </c>
      <c r="B75" s="89" t="s">
        <v>5</v>
      </c>
      <c r="C75" s="71" t="s">
        <v>66</v>
      </c>
      <c r="D75" s="91" t="s">
        <v>136</v>
      </c>
      <c r="E75" s="72">
        <v>94567990</v>
      </c>
      <c r="F75" s="72"/>
      <c r="G75" s="72">
        <v>18913598</v>
      </c>
      <c r="H75" s="72">
        <v>4902967.6857516551</v>
      </c>
      <c r="I75" s="92">
        <v>0.75</v>
      </c>
      <c r="J75" s="276">
        <v>10598432.42</v>
      </c>
      <c r="K75" s="275">
        <f t="shared" si="25"/>
        <v>0.56036045706374848</v>
      </c>
      <c r="L75" s="276">
        <f t="shared" si="26"/>
        <v>4935046.8413278032</v>
      </c>
      <c r="M75" s="271">
        <v>15533479.261327803</v>
      </c>
      <c r="N75" s="73">
        <f t="shared" si="27"/>
        <v>0.82128631798813756</v>
      </c>
      <c r="O75" s="72">
        <f t="shared" si="28"/>
        <v>1348280.7613278031</v>
      </c>
      <c r="P75" s="74">
        <f t="shared" si="29"/>
        <v>3239640.561327802</v>
      </c>
      <c r="Q75" s="289">
        <v>16135178.240963859</v>
      </c>
      <c r="R75" s="73">
        <f t="shared" si="30"/>
        <v>0.8530993542827684</v>
      </c>
      <c r="S75" s="72">
        <f t="shared" si="31"/>
        <v>1949979.7409638595</v>
      </c>
      <c r="T75" s="88">
        <f t="shared" si="32"/>
        <v>3841339.5409638584</v>
      </c>
      <c r="U75" s="117" t="s">
        <v>233</v>
      </c>
      <c r="X75" s="288">
        <f t="shared" si="33"/>
        <v>4935046.8413278032</v>
      </c>
    </row>
    <row r="76" spans="1:24" s="8" customFormat="1" ht="84.75" customHeight="1" x14ac:dyDescent="0.2">
      <c r="A76" s="89">
        <v>44</v>
      </c>
      <c r="B76" s="89" t="s">
        <v>5</v>
      </c>
      <c r="C76" s="124" t="s">
        <v>67</v>
      </c>
      <c r="D76" s="91" t="s">
        <v>129</v>
      </c>
      <c r="E76" s="72">
        <v>282004866.82961953</v>
      </c>
      <c r="F76" s="72"/>
      <c r="G76" s="72">
        <v>56868726.553805523</v>
      </c>
      <c r="H76" s="72">
        <v>14426860.076131295</v>
      </c>
      <c r="I76" s="92">
        <v>0.75</v>
      </c>
      <c r="J76" s="276">
        <v>24546571.210000001</v>
      </c>
      <c r="K76" s="275">
        <f t="shared" si="25"/>
        <v>0.43163567566042854</v>
      </c>
      <c r="L76" s="276">
        <f t="shared" si="26"/>
        <v>10462731.784039326</v>
      </c>
      <c r="M76" s="271">
        <v>35009302.994039327</v>
      </c>
      <c r="N76" s="93">
        <f t="shared" si="27"/>
        <v>0.61561608841224502</v>
      </c>
      <c r="O76" s="72">
        <f t="shared" si="28"/>
        <v>-7642241.9213148132</v>
      </c>
      <c r="P76" s="74">
        <f t="shared" si="29"/>
        <v>-1955369.2659342661</v>
      </c>
      <c r="Q76" s="289">
        <v>46111432.174099363</v>
      </c>
      <c r="R76" s="73">
        <f t="shared" si="30"/>
        <v>0.81083989335459616</v>
      </c>
      <c r="S76" s="72">
        <f t="shared" si="31"/>
        <v>3459887.2587452233</v>
      </c>
      <c r="T76" s="88">
        <f t="shared" si="32"/>
        <v>9146759.9141257703</v>
      </c>
      <c r="U76" s="117" t="s">
        <v>202</v>
      </c>
      <c r="V76" s="10"/>
      <c r="X76" s="288">
        <f t="shared" si="33"/>
        <v>10462731.784039326</v>
      </c>
    </row>
    <row r="77" spans="1:24" s="8" customFormat="1" ht="69.75" x14ac:dyDescent="0.2">
      <c r="A77" s="96">
        <v>41</v>
      </c>
      <c r="B77" s="96" t="s">
        <v>5</v>
      </c>
      <c r="C77" s="98" t="s">
        <v>68</v>
      </c>
      <c r="D77" s="99" t="s">
        <v>129</v>
      </c>
      <c r="E77" s="72">
        <v>29257750</v>
      </c>
      <c r="F77" s="72"/>
      <c r="G77" s="72">
        <v>2926000</v>
      </c>
      <c r="H77" s="72">
        <v>0</v>
      </c>
      <c r="I77" s="100">
        <v>0.75</v>
      </c>
      <c r="J77" s="276">
        <v>3276119.59</v>
      </c>
      <c r="K77" s="275">
        <f t="shared" si="25"/>
        <v>1.1196580963773068</v>
      </c>
      <c r="L77" s="276">
        <f t="shared" si="26"/>
        <v>4785320.7773342384</v>
      </c>
      <c r="M77" s="271">
        <v>8061440.3673342383</v>
      </c>
      <c r="N77" s="101">
        <f t="shared" si="27"/>
        <v>2.755106072226329</v>
      </c>
      <c r="O77" s="72">
        <f t="shared" si="28"/>
        <v>5866940.3673342383</v>
      </c>
      <c r="P77" s="74">
        <f t="shared" si="29"/>
        <v>6159540.3673342383</v>
      </c>
      <c r="Q77" s="289">
        <v>8061440.5294117648</v>
      </c>
      <c r="R77" s="101">
        <f t="shared" si="30"/>
        <v>2.7551061276185114</v>
      </c>
      <c r="S77" s="72">
        <f t="shared" si="31"/>
        <v>5866940.5294117648</v>
      </c>
      <c r="T77" s="88">
        <f t="shared" si="32"/>
        <v>6159540.5294117648</v>
      </c>
      <c r="U77" s="118"/>
      <c r="X77" s="288">
        <f t="shared" si="33"/>
        <v>4785320.7773342384</v>
      </c>
    </row>
    <row r="78" spans="1:24" s="8" customFormat="1" ht="28.5" x14ac:dyDescent="0.2">
      <c r="A78" s="272" t="s">
        <v>206</v>
      </c>
      <c r="B78" s="273"/>
      <c r="C78" s="273"/>
      <c r="D78" s="273"/>
      <c r="E78" s="273"/>
      <c r="F78" s="273"/>
      <c r="G78" s="273"/>
      <c r="H78" s="273"/>
      <c r="I78" s="273"/>
      <c r="J78" s="273"/>
      <c r="K78" s="275"/>
      <c r="L78" s="276"/>
      <c r="M78" s="273"/>
      <c r="N78" s="273"/>
      <c r="O78" s="273"/>
      <c r="P78" s="273"/>
      <c r="Q78" s="290"/>
      <c r="R78" s="273"/>
      <c r="S78" s="273"/>
      <c r="T78" s="273"/>
      <c r="U78" s="274"/>
      <c r="X78" s="288">
        <f t="shared" si="33"/>
        <v>0</v>
      </c>
    </row>
    <row r="79" spans="1:24" s="8" customFormat="1" ht="69.75" x14ac:dyDescent="0.2">
      <c r="A79" s="81">
        <v>49</v>
      </c>
      <c r="B79" s="81" t="s">
        <v>5</v>
      </c>
      <c r="C79" s="83" t="s">
        <v>57</v>
      </c>
      <c r="D79" s="84" t="s">
        <v>135</v>
      </c>
      <c r="E79" s="72">
        <v>423470</v>
      </c>
      <c r="F79" s="72"/>
      <c r="G79" s="72">
        <v>0</v>
      </c>
      <c r="H79" s="72">
        <v>338911.19150268601</v>
      </c>
      <c r="I79" s="85">
        <v>0.85</v>
      </c>
      <c r="J79" s="276">
        <v>160597.4</v>
      </c>
      <c r="K79" s="275" t="str">
        <f t="shared" si="25"/>
        <v>n/a</v>
      </c>
      <c r="L79" s="276">
        <f t="shared" si="26"/>
        <v>192265.31878609673</v>
      </c>
      <c r="M79" s="271">
        <v>352862.71878609672</v>
      </c>
      <c r="N79" s="86" t="str">
        <f t="shared" si="27"/>
        <v>n/a</v>
      </c>
      <c r="O79" s="72">
        <f t="shared" si="28"/>
        <v>352862.71878609672</v>
      </c>
      <c r="P79" s="74">
        <f t="shared" si="29"/>
        <v>352862.71878609672</v>
      </c>
      <c r="Q79" s="289">
        <v>329019.75609756092</v>
      </c>
      <c r="R79" s="86" t="str">
        <f t="shared" si="30"/>
        <v>n/a</v>
      </c>
      <c r="S79" s="72">
        <f t="shared" si="31"/>
        <v>329019.75609756092</v>
      </c>
      <c r="T79" s="88">
        <f t="shared" si="32"/>
        <v>329019.75609756092</v>
      </c>
      <c r="U79" s="116"/>
      <c r="X79" s="288">
        <f t="shared" si="33"/>
        <v>192265.31878609673</v>
      </c>
    </row>
    <row r="80" spans="1:24" s="27" customFormat="1" ht="69.75" x14ac:dyDescent="0.2">
      <c r="A80" s="89">
        <v>46</v>
      </c>
      <c r="B80" s="89" t="s">
        <v>5</v>
      </c>
      <c r="C80" s="124" t="s">
        <v>58</v>
      </c>
      <c r="D80" s="91" t="s">
        <v>135</v>
      </c>
      <c r="E80" s="72">
        <v>54484011</v>
      </c>
      <c r="F80" s="72"/>
      <c r="G80" s="72">
        <v>4863794</v>
      </c>
      <c r="H80" s="72">
        <v>1642779</v>
      </c>
      <c r="I80" s="92">
        <v>0.85</v>
      </c>
      <c r="J80" s="276">
        <v>4120</v>
      </c>
      <c r="K80" s="275">
        <f t="shared" si="25"/>
        <v>8.4707534899709975E-4</v>
      </c>
      <c r="L80" s="276">
        <f t="shared" si="26"/>
        <v>690311.70245207334</v>
      </c>
      <c r="M80" s="271">
        <v>694431.70245207334</v>
      </c>
      <c r="N80" s="93">
        <f t="shared" si="27"/>
        <v>0.14277572250224277</v>
      </c>
      <c r="O80" s="72">
        <f t="shared" si="28"/>
        <v>-3439793.1975479266</v>
      </c>
      <c r="P80" s="74">
        <f t="shared" si="29"/>
        <v>-2467034.3975479268</v>
      </c>
      <c r="Q80" s="289">
        <v>2704822.6897758869</v>
      </c>
      <c r="R80" s="73">
        <f t="shared" si="30"/>
        <v>0.55611374366921928</v>
      </c>
      <c r="S80" s="72">
        <f t="shared" si="31"/>
        <v>-1429402.210224113</v>
      </c>
      <c r="T80" s="88">
        <f t="shared" si="32"/>
        <v>-456643.41022411315</v>
      </c>
      <c r="U80" s="117" t="s">
        <v>200</v>
      </c>
      <c r="V80" s="33"/>
      <c r="X80" s="288">
        <f t="shared" si="33"/>
        <v>690311.70245207334</v>
      </c>
    </row>
    <row r="81" spans="1:24" s="8" customFormat="1" ht="69.75" x14ac:dyDescent="0.2">
      <c r="A81" s="89">
        <v>47</v>
      </c>
      <c r="B81" s="89" t="s">
        <v>5</v>
      </c>
      <c r="C81" s="71" t="s">
        <v>59</v>
      </c>
      <c r="D81" s="91" t="s">
        <v>135</v>
      </c>
      <c r="E81" s="72">
        <v>10804999</v>
      </c>
      <c r="F81" s="72"/>
      <c r="G81" s="72">
        <v>0</v>
      </c>
      <c r="H81" s="72">
        <v>0</v>
      </c>
      <c r="I81" s="92">
        <v>0.85</v>
      </c>
      <c r="J81" s="276">
        <v>0</v>
      </c>
      <c r="K81" s="275" t="str">
        <f t="shared" si="25"/>
        <v>n/a</v>
      </c>
      <c r="L81" s="276">
        <f t="shared" si="26"/>
        <v>0</v>
      </c>
      <c r="M81" s="271">
        <v>0</v>
      </c>
      <c r="N81" s="73" t="str">
        <f t="shared" si="27"/>
        <v>n/a</v>
      </c>
      <c r="O81" s="72">
        <f t="shared" si="28"/>
        <v>0</v>
      </c>
      <c r="P81" s="74">
        <f t="shared" si="29"/>
        <v>0</v>
      </c>
      <c r="Q81" s="289">
        <v>0</v>
      </c>
      <c r="R81" s="73" t="str">
        <f t="shared" si="30"/>
        <v>n/a</v>
      </c>
      <c r="S81" s="72">
        <f t="shared" si="31"/>
        <v>0</v>
      </c>
      <c r="T81" s="88">
        <f t="shared" si="32"/>
        <v>0</v>
      </c>
      <c r="U81" s="117"/>
      <c r="X81" s="288">
        <f t="shared" si="33"/>
        <v>0</v>
      </c>
    </row>
    <row r="82" spans="1:24" s="8" customFormat="1" ht="69.75" x14ac:dyDescent="0.2">
      <c r="A82" s="89">
        <v>45</v>
      </c>
      <c r="B82" s="89" t="s">
        <v>5</v>
      </c>
      <c r="C82" s="124" t="s">
        <v>60</v>
      </c>
      <c r="D82" s="91" t="s">
        <v>135</v>
      </c>
      <c r="E82" s="72">
        <v>139698189</v>
      </c>
      <c r="F82" s="72"/>
      <c r="G82" s="72">
        <v>37227701</v>
      </c>
      <c r="H82" s="72">
        <v>0</v>
      </c>
      <c r="I82" s="92">
        <v>0.85</v>
      </c>
      <c r="J82" s="276">
        <v>13047542.989999996</v>
      </c>
      <c r="K82" s="275">
        <f t="shared" si="25"/>
        <v>0.35047941826974477</v>
      </c>
      <c r="L82" s="276">
        <f t="shared" si="26"/>
        <v>7125179.2127264608</v>
      </c>
      <c r="M82" s="271">
        <v>20172722.202726457</v>
      </c>
      <c r="N82" s="93">
        <f t="shared" si="27"/>
        <v>0.54187397182346708</v>
      </c>
      <c r="O82" s="72">
        <f t="shared" si="28"/>
        <v>-11470823.64727354</v>
      </c>
      <c r="P82" s="74">
        <f t="shared" si="29"/>
        <v>-4025283.447273545</v>
      </c>
      <c r="Q82" s="289">
        <v>33735045.214275628</v>
      </c>
      <c r="R82" s="73">
        <f t="shared" si="30"/>
        <v>0.90618126578043667</v>
      </c>
      <c r="S82" s="72">
        <f t="shared" si="31"/>
        <v>2091499.3642756306</v>
      </c>
      <c r="T82" s="88">
        <f t="shared" si="32"/>
        <v>9537039.5642756261</v>
      </c>
      <c r="U82" s="117" t="s">
        <v>201</v>
      </c>
      <c r="X82" s="288">
        <f t="shared" si="33"/>
        <v>7125179.2127264608</v>
      </c>
    </row>
    <row r="83" spans="1:24" s="8" customFormat="1" ht="69.75" x14ac:dyDescent="0.2">
      <c r="A83" s="89">
        <v>50</v>
      </c>
      <c r="B83" s="89" t="s">
        <v>5</v>
      </c>
      <c r="C83" s="71" t="s">
        <v>62</v>
      </c>
      <c r="D83" s="91" t="s">
        <v>135</v>
      </c>
      <c r="E83" s="72">
        <v>9500000</v>
      </c>
      <c r="F83" s="72"/>
      <c r="G83" s="72">
        <v>2422500</v>
      </c>
      <c r="H83" s="72">
        <v>0</v>
      </c>
      <c r="I83" s="92">
        <v>0.85</v>
      </c>
      <c r="J83" s="276">
        <v>2624722.87</v>
      </c>
      <c r="K83" s="275">
        <f t="shared" si="25"/>
        <v>1.0834769329205367</v>
      </c>
      <c r="L83" s="276">
        <f t="shared" si="26"/>
        <v>827136.6594117647</v>
      </c>
      <c r="M83" s="271">
        <v>3451859.5294117648</v>
      </c>
      <c r="N83" s="73">
        <f t="shared" si="27"/>
        <v>1.4249162144114613</v>
      </c>
      <c r="O83" s="72">
        <f t="shared" si="28"/>
        <v>1392734.5294117648</v>
      </c>
      <c r="P83" s="74">
        <f t="shared" si="29"/>
        <v>1877234.5294117648</v>
      </c>
      <c r="Q83" s="289">
        <v>4131688.5294117648</v>
      </c>
      <c r="R83" s="73">
        <f t="shared" si="30"/>
        <v>1.705547380562132</v>
      </c>
      <c r="S83" s="72">
        <f t="shared" si="31"/>
        <v>2072563.5294117648</v>
      </c>
      <c r="T83" s="88">
        <f t="shared" si="32"/>
        <v>2557063.5294117648</v>
      </c>
      <c r="U83" s="117"/>
      <c r="X83" s="288">
        <f t="shared" si="33"/>
        <v>827136.6594117647</v>
      </c>
    </row>
    <row r="84" spans="1:24" s="8" customFormat="1" ht="69.75" x14ac:dyDescent="0.2">
      <c r="A84" s="89">
        <v>51</v>
      </c>
      <c r="B84" s="89" t="s">
        <v>5</v>
      </c>
      <c r="C84" s="71" t="s">
        <v>63</v>
      </c>
      <c r="D84" s="91" t="s">
        <v>135</v>
      </c>
      <c r="E84" s="72">
        <v>16643483</v>
      </c>
      <c r="F84" s="72"/>
      <c r="G84" s="72">
        <v>1499033</v>
      </c>
      <c r="H84" s="72">
        <v>2289729</v>
      </c>
      <c r="I84" s="92">
        <v>0.85</v>
      </c>
      <c r="J84" s="276">
        <v>195009.14</v>
      </c>
      <c r="K84" s="275">
        <f t="shared" si="25"/>
        <v>0.13008995799291945</v>
      </c>
      <c r="L84" s="276">
        <f t="shared" si="26"/>
        <v>3430030.0538740335</v>
      </c>
      <c r="M84" s="271">
        <v>3625039.1938740336</v>
      </c>
      <c r="N84" s="73">
        <f t="shared" si="27"/>
        <v>2.4182517622187327</v>
      </c>
      <c r="O84" s="72">
        <f t="shared" si="28"/>
        <v>2350861.1438740334</v>
      </c>
      <c r="P84" s="74">
        <f t="shared" si="29"/>
        <v>2650667.7438740334</v>
      </c>
      <c r="Q84" s="289">
        <v>5185508.5382352956</v>
      </c>
      <c r="R84" s="73">
        <f t="shared" si="30"/>
        <v>3.4592357461345387</v>
      </c>
      <c r="S84" s="72">
        <f t="shared" si="31"/>
        <v>3911330.4882352958</v>
      </c>
      <c r="T84" s="88">
        <f t="shared" si="32"/>
        <v>4211137.0882352954</v>
      </c>
      <c r="U84" s="117"/>
      <c r="X84" s="288">
        <f t="shared" si="33"/>
        <v>3430030.0538740335</v>
      </c>
    </row>
    <row r="85" spans="1:24" s="8" customFormat="1" ht="69.75" x14ac:dyDescent="0.2">
      <c r="A85" s="96">
        <v>48</v>
      </c>
      <c r="B85" s="96" t="s">
        <v>5</v>
      </c>
      <c r="C85" s="98" t="s">
        <v>64</v>
      </c>
      <c r="D85" s="99" t="s">
        <v>135</v>
      </c>
      <c r="E85" s="72">
        <v>9212619</v>
      </c>
      <c r="F85" s="72"/>
      <c r="G85" s="72">
        <v>0</v>
      </c>
      <c r="H85" s="72">
        <v>7830726</v>
      </c>
      <c r="I85" s="100">
        <v>0.85</v>
      </c>
      <c r="J85" s="276">
        <v>0</v>
      </c>
      <c r="K85" s="275" t="str">
        <f t="shared" si="25"/>
        <v>n/a</v>
      </c>
      <c r="L85" s="276">
        <f t="shared" si="26"/>
        <v>0</v>
      </c>
      <c r="M85" s="271">
        <v>0</v>
      </c>
      <c r="N85" s="101" t="str">
        <f t="shared" si="27"/>
        <v>n/a</v>
      </c>
      <c r="O85" s="72">
        <f t="shared" si="28"/>
        <v>0</v>
      </c>
      <c r="P85" s="74">
        <f t="shared" si="29"/>
        <v>0</v>
      </c>
      <c r="Q85" s="289">
        <v>0</v>
      </c>
      <c r="R85" s="101" t="str">
        <f t="shared" si="30"/>
        <v>n/a</v>
      </c>
      <c r="S85" s="72">
        <f t="shared" si="31"/>
        <v>0</v>
      </c>
      <c r="T85" s="88">
        <f t="shared" si="32"/>
        <v>0</v>
      </c>
      <c r="U85" s="118"/>
      <c r="X85" s="288">
        <f t="shared" si="33"/>
        <v>0</v>
      </c>
    </row>
    <row r="86" spans="1:24" s="8" customFormat="1" ht="28.5" x14ac:dyDescent="0.2">
      <c r="A86" s="272" t="s">
        <v>207</v>
      </c>
      <c r="B86" s="273"/>
      <c r="C86" s="273"/>
      <c r="D86" s="273"/>
      <c r="E86" s="273"/>
      <c r="F86" s="273"/>
      <c r="G86" s="273"/>
      <c r="H86" s="273"/>
      <c r="I86" s="273"/>
      <c r="J86" s="273"/>
      <c r="K86" s="275"/>
      <c r="L86" s="276"/>
      <c r="M86" s="273"/>
      <c r="N86" s="273"/>
      <c r="O86" s="273"/>
      <c r="P86" s="273"/>
      <c r="Q86" s="290"/>
      <c r="R86" s="273"/>
      <c r="S86" s="273"/>
      <c r="T86" s="273"/>
      <c r="U86" s="274"/>
      <c r="X86" s="288">
        <f t="shared" si="33"/>
        <v>0</v>
      </c>
    </row>
    <row r="87" spans="1:24" s="8" customFormat="1" ht="46.5" x14ac:dyDescent="0.2">
      <c r="A87" s="105">
        <v>52</v>
      </c>
      <c r="B87" s="105" t="s">
        <v>7</v>
      </c>
      <c r="C87" s="106" t="s">
        <v>78</v>
      </c>
      <c r="D87" s="107" t="s">
        <v>128</v>
      </c>
      <c r="E87" s="72">
        <v>277032428</v>
      </c>
      <c r="F87" s="108"/>
      <c r="G87" s="72">
        <v>72852630</v>
      </c>
      <c r="H87" s="72">
        <v>14363011</v>
      </c>
      <c r="I87" s="109">
        <v>0.75</v>
      </c>
      <c r="J87" s="276">
        <v>152107791.14000005</v>
      </c>
      <c r="K87" s="275">
        <f t="shared" si="25"/>
        <v>2.0878833219885138</v>
      </c>
      <c r="L87" s="276">
        <f t="shared" si="26"/>
        <v>29259508.299697787</v>
      </c>
      <c r="M87" s="271">
        <v>181367299.43969783</v>
      </c>
      <c r="N87" s="110">
        <f t="shared" si="27"/>
        <v>2.4895092934832665</v>
      </c>
      <c r="O87" s="72">
        <f t="shared" si="28"/>
        <v>126727826.93969783</v>
      </c>
      <c r="P87" s="74">
        <f t="shared" si="29"/>
        <v>134013089.93969783</v>
      </c>
      <c r="Q87" s="289">
        <v>178628248.42352948</v>
      </c>
      <c r="R87" s="110">
        <f t="shared" si="30"/>
        <v>2.4519121468027918</v>
      </c>
      <c r="S87" s="72">
        <f t="shared" si="31"/>
        <v>123988775.92352948</v>
      </c>
      <c r="T87" s="88">
        <f t="shared" si="32"/>
        <v>131274038.92352948</v>
      </c>
      <c r="U87" s="119"/>
      <c r="X87" s="288">
        <f t="shared" si="33"/>
        <v>29259508.299697787</v>
      </c>
    </row>
    <row r="88" spans="1:24" s="8" customFormat="1" ht="28.5" x14ac:dyDescent="0.2">
      <c r="A88" s="272" t="s">
        <v>208</v>
      </c>
      <c r="B88" s="273"/>
      <c r="C88" s="273"/>
      <c r="D88" s="273"/>
      <c r="E88" s="273"/>
      <c r="F88" s="273"/>
      <c r="G88" s="273"/>
      <c r="H88" s="273"/>
      <c r="I88" s="273"/>
      <c r="J88" s="273"/>
      <c r="K88" s="275"/>
      <c r="L88" s="276"/>
      <c r="M88" s="273"/>
      <c r="N88" s="273"/>
      <c r="O88" s="273"/>
      <c r="P88" s="273"/>
      <c r="Q88" s="290"/>
      <c r="R88" s="273"/>
      <c r="S88" s="273"/>
      <c r="T88" s="273"/>
      <c r="U88" s="274"/>
      <c r="X88" s="288">
        <f t="shared" si="33"/>
        <v>0</v>
      </c>
    </row>
    <row r="89" spans="1:24" s="8" customFormat="1" ht="144.75" customHeight="1" x14ac:dyDescent="0.2">
      <c r="A89" s="81">
        <v>55</v>
      </c>
      <c r="B89" s="81" t="s">
        <v>7</v>
      </c>
      <c r="C89" s="83" t="s">
        <v>69</v>
      </c>
      <c r="D89" s="84" t="s">
        <v>133</v>
      </c>
      <c r="E89" s="72">
        <v>105073678</v>
      </c>
      <c r="F89" s="108"/>
      <c r="G89" s="72">
        <v>33802200</v>
      </c>
      <c r="H89" s="72">
        <v>5525477.0040577287</v>
      </c>
      <c r="I89" s="85">
        <v>0.75</v>
      </c>
      <c r="J89" s="276">
        <v>4961725.38</v>
      </c>
      <c r="K89" s="275">
        <f t="shared" si="25"/>
        <v>0.14678705468874806</v>
      </c>
      <c r="L89" s="276">
        <f t="shared" si="26"/>
        <v>30318893.767648671</v>
      </c>
      <c r="M89" s="271">
        <v>35280619.14764867</v>
      </c>
      <c r="N89" s="86">
        <f t="shared" si="27"/>
        <v>1.0437373646581782</v>
      </c>
      <c r="O89" s="72">
        <f t="shared" si="28"/>
        <v>9928969.1476486698</v>
      </c>
      <c r="P89" s="74">
        <f t="shared" si="29"/>
        <v>13309189.14764867</v>
      </c>
      <c r="Q89" s="289">
        <v>43673353.348076925</v>
      </c>
      <c r="R89" s="86">
        <f t="shared" si="30"/>
        <v>1.292026949372435</v>
      </c>
      <c r="S89" s="72">
        <f t="shared" si="31"/>
        <v>18321703.348076925</v>
      </c>
      <c r="T89" s="88">
        <f t="shared" si="32"/>
        <v>21701923.348076925</v>
      </c>
      <c r="U89" s="116" t="s">
        <v>315</v>
      </c>
      <c r="X89" s="288">
        <f t="shared" si="33"/>
        <v>30318893.767648671</v>
      </c>
    </row>
    <row r="90" spans="1:24" s="8" customFormat="1" ht="93" x14ac:dyDescent="0.2">
      <c r="A90" s="89">
        <v>58</v>
      </c>
      <c r="B90" s="89" t="s">
        <v>7</v>
      </c>
      <c r="C90" s="124" t="s">
        <v>70</v>
      </c>
      <c r="D90" s="91" t="s">
        <v>133</v>
      </c>
      <c r="E90" s="72">
        <v>23049010</v>
      </c>
      <c r="F90" s="108"/>
      <c r="G90" s="72">
        <v>2000000</v>
      </c>
      <c r="H90" s="72">
        <v>710524.46285737387</v>
      </c>
      <c r="I90" s="92">
        <v>0.75</v>
      </c>
      <c r="J90" s="276">
        <v>32450</v>
      </c>
      <c r="K90" s="275">
        <f t="shared" si="25"/>
        <v>1.6225E-2</v>
      </c>
      <c r="L90" s="276">
        <f t="shared" si="26"/>
        <v>750768.71645782038</v>
      </c>
      <c r="M90" s="271">
        <v>783218.71645782038</v>
      </c>
      <c r="N90" s="93">
        <f t="shared" si="27"/>
        <v>0.39160935822891019</v>
      </c>
      <c r="O90" s="72">
        <f t="shared" si="28"/>
        <v>-716781.28354217962</v>
      </c>
      <c r="P90" s="74">
        <f t="shared" si="29"/>
        <v>-516781.28354217962</v>
      </c>
      <c r="Q90" s="289">
        <v>948018.27659574477</v>
      </c>
      <c r="R90" s="73">
        <f t="shared" si="30"/>
        <v>0.47400913829787239</v>
      </c>
      <c r="S90" s="72">
        <f t="shared" si="31"/>
        <v>-551981.72340425523</v>
      </c>
      <c r="T90" s="88">
        <f t="shared" si="32"/>
        <v>-351981.72340425523</v>
      </c>
      <c r="U90" s="117" t="s">
        <v>245</v>
      </c>
      <c r="X90" s="288">
        <f t="shared" si="33"/>
        <v>750768.71645782038</v>
      </c>
    </row>
    <row r="91" spans="1:24" s="8" customFormat="1" ht="116.25" x14ac:dyDescent="0.2">
      <c r="A91" s="89">
        <v>56</v>
      </c>
      <c r="B91" s="89" t="s">
        <v>7</v>
      </c>
      <c r="C91" s="124" t="s">
        <v>71</v>
      </c>
      <c r="D91" s="91" t="s">
        <v>133</v>
      </c>
      <c r="E91" s="72">
        <v>88364076</v>
      </c>
      <c r="F91" s="108"/>
      <c r="G91" s="72">
        <v>24085192</v>
      </c>
      <c r="H91" s="72">
        <v>4646774.3627410103</v>
      </c>
      <c r="I91" s="92">
        <v>0.75</v>
      </c>
      <c r="J91" s="276">
        <v>9575540.1799999997</v>
      </c>
      <c r="K91" s="275">
        <f t="shared" si="25"/>
        <v>0.39756960127201807</v>
      </c>
      <c r="L91" s="276">
        <f t="shared" si="26"/>
        <v>1944388.5943780579</v>
      </c>
      <c r="M91" s="271">
        <v>11519928.774378058</v>
      </c>
      <c r="N91" s="93">
        <f t="shared" si="27"/>
        <v>0.478299229434337</v>
      </c>
      <c r="O91" s="72">
        <f t="shared" si="28"/>
        <v>-6543965.2256219424</v>
      </c>
      <c r="P91" s="74">
        <f t="shared" si="29"/>
        <v>-4135446.0256219432</v>
      </c>
      <c r="Q91" s="289">
        <v>15077892.565882353</v>
      </c>
      <c r="R91" s="73">
        <f t="shared" si="30"/>
        <v>0.62602334936264381</v>
      </c>
      <c r="S91" s="72">
        <f t="shared" si="31"/>
        <v>-2986001.4341176469</v>
      </c>
      <c r="T91" s="88">
        <f t="shared" si="32"/>
        <v>-577482.23411764763</v>
      </c>
      <c r="U91" s="117" t="s">
        <v>246</v>
      </c>
      <c r="X91" s="288">
        <f t="shared" si="33"/>
        <v>1944388.5943780579</v>
      </c>
    </row>
    <row r="92" spans="1:24" s="8" customFormat="1" ht="69.75" x14ac:dyDescent="0.2">
      <c r="A92" s="89">
        <v>59</v>
      </c>
      <c r="B92" s="89" t="s">
        <v>7</v>
      </c>
      <c r="C92" s="71" t="s">
        <v>72</v>
      </c>
      <c r="D92" s="91" t="s">
        <v>133</v>
      </c>
      <c r="E92" s="72">
        <v>8345106</v>
      </c>
      <c r="F92" s="108"/>
      <c r="G92" s="72">
        <v>0</v>
      </c>
      <c r="H92" s="72">
        <v>438842</v>
      </c>
      <c r="I92" s="92">
        <v>0.75</v>
      </c>
      <c r="J92" s="276">
        <v>0</v>
      </c>
      <c r="K92" s="275" t="str">
        <f t="shared" si="25"/>
        <v>n/a</v>
      </c>
      <c r="L92" s="276">
        <f t="shared" si="26"/>
        <v>0</v>
      </c>
      <c r="M92" s="271">
        <v>0</v>
      </c>
      <c r="N92" s="73" t="str">
        <f t="shared" si="27"/>
        <v>n/a</v>
      </c>
      <c r="O92" s="72">
        <f t="shared" si="28"/>
        <v>0</v>
      </c>
      <c r="P92" s="74">
        <f t="shared" si="29"/>
        <v>0</v>
      </c>
      <c r="Q92" s="289">
        <v>0</v>
      </c>
      <c r="R92" s="73" t="str">
        <f t="shared" si="30"/>
        <v>n/a</v>
      </c>
      <c r="S92" s="72">
        <f t="shared" si="31"/>
        <v>0</v>
      </c>
      <c r="T92" s="88">
        <f t="shared" si="32"/>
        <v>0</v>
      </c>
      <c r="U92" s="117"/>
      <c r="X92" s="288">
        <f t="shared" si="33"/>
        <v>0</v>
      </c>
    </row>
    <row r="93" spans="1:24" s="8" customFormat="1" ht="93" x14ac:dyDescent="0.2">
      <c r="A93" s="89">
        <v>57</v>
      </c>
      <c r="B93" s="89" t="s">
        <v>7</v>
      </c>
      <c r="C93" s="124" t="s">
        <v>73</v>
      </c>
      <c r="D93" s="91" t="s">
        <v>133</v>
      </c>
      <c r="E93" s="72">
        <v>28235294</v>
      </c>
      <c r="F93" s="108"/>
      <c r="G93" s="72">
        <v>5170932</v>
      </c>
      <c r="H93" s="72">
        <v>1484802.3639075528</v>
      </c>
      <c r="I93" s="92">
        <v>0.75</v>
      </c>
      <c r="J93" s="276">
        <v>0</v>
      </c>
      <c r="K93" s="275">
        <f t="shared" ref="K93:K156" si="34">IFERROR(J93/G93,"n/a")</f>
        <v>0</v>
      </c>
      <c r="L93" s="276">
        <f t="shared" ref="L93:L156" si="35">M93-J93</f>
        <v>0</v>
      </c>
      <c r="M93" s="271">
        <v>0</v>
      </c>
      <c r="N93" s="93">
        <f t="shared" ref="N93:N156" si="36">IFERROR(M93/G93,"n/a")</f>
        <v>0</v>
      </c>
      <c r="O93" s="72">
        <f t="shared" ref="O93:O156" si="37">IFERROR(M93-(G93*I93),"n/a")</f>
        <v>-3878199</v>
      </c>
      <c r="P93" s="74">
        <f t="shared" ref="P93:P156" si="38">IFERROR(M93-(G93*0.65),"n/a")</f>
        <v>-3361105.8000000003</v>
      </c>
      <c r="Q93" s="289">
        <v>0</v>
      </c>
      <c r="R93" s="73">
        <f t="shared" ref="R93:R156" si="39">IFERROR(Q93/G93,"n/a")</f>
        <v>0</v>
      </c>
      <c r="S93" s="72">
        <f t="shared" ref="S93:S156" si="40">Q93-(G93*I93)</f>
        <v>-3878199</v>
      </c>
      <c r="T93" s="88">
        <f t="shared" ref="T93:T156" si="41">Q93-(G93*0.65)</f>
        <v>-3361105.8000000003</v>
      </c>
      <c r="U93" s="117" t="s">
        <v>247</v>
      </c>
      <c r="X93" s="288">
        <f t="shared" ref="X93:X156" si="42">M93-J93</f>
        <v>0</v>
      </c>
    </row>
    <row r="94" spans="1:24" s="8" customFormat="1" ht="69.75" x14ac:dyDescent="0.2">
      <c r="A94" s="89">
        <v>60</v>
      </c>
      <c r="B94" s="89" t="s">
        <v>7</v>
      </c>
      <c r="C94" s="71" t="s">
        <v>74</v>
      </c>
      <c r="D94" s="91" t="s">
        <v>133</v>
      </c>
      <c r="E94" s="72">
        <v>51570514</v>
      </c>
      <c r="F94" s="108"/>
      <c r="G94" s="72">
        <v>6554146</v>
      </c>
      <c r="H94" s="72">
        <v>2778862.1693609911</v>
      </c>
      <c r="I94" s="92">
        <v>0.75</v>
      </c>
      <c r="J94" s="276">
        <v>6347823.6200000001</v>
      </c>
      <c r="K94" s="275">
        <f t="shared" si="34"/>
        <v>0.96852032591278869</v>
      </c>
      <c r="L94" s="276">
        <f t="shared" si="35"/>
        <v>2624981.639338634</v>
      </c>
      <c r="M94" s="271">
        <v>8972805.2593386341</v>
      </c>
      <c r="N94" s="73">
        <f t="shared" si="36"/>
        <v>1.3690273697501756</v>
      </c>
      <c r="O94" s="72">
        <f t="shared" si="37"/>
        <v>4057195.7593386341</v>
      </c>
      <c r="P94" s="74">
        <f t="shared" si="38"/>
        <v>4712610.3593386337</v>
      </c>
      <c r="Q94" s="289">
        <v>16479584.208333334</v>
      </c>
      <c r="R94" s="73">
        <f t="shared" si="39"/>
        <v>2.5143755125890288</v>
      </c>
      <c r="S94" s="72">
        <f t="shared" si="40"/>
        <v>11563974.708333334</v>
      </c>
      <c r="T94" s="88">
        <f t="shared" si="41"/>
        <v>12219389.308333334</v>
      </c>
      <c r="U94" s="117" t="s">
        <v>248</v>
      </c>
      <c r="X94" s="288">
        <f t="shared" si="42"/>
        <v>2624981.639338634</v>
      </c>
    </row>
    <row r="95" spans="1:24" s="8" customFormat="1" ht="46.5" x14ac:dyDescent="0.2">
      <c r="A95" s="89">
        <v>61</v>
      </c>
      <c r="B95" s="89" t="s">
        <v>7</v>
      </c>
      <c r="C95" s="71" t="s">
        <v>75</v>
      </c>
      <c r="D95" s="91" t="s">
        <v>133</v>
      </c>
      <c r="E95" s="72">
        <v>256999769</v>
      </c>
      <c r="F95" s="108"/>
      <c r="G95" s="72">
        <v>197688520</v>
      </c>
      <c r="H95" s="72">
        <v>13514767.514866358</v>
      </c>
      <c r="I95" s="92">
        <v>0.75</v>
      </c>
      <c r="J95" s="276">
        <v>191258249.84999996</v>
      </c>
      <c r="K95" s="275">
        <f t="shared" si="34"/>
        <v>0.96747271844616956</v>
      </c>
      <c r="L95" s="276">
        <f t="shared" si="35"/>
        <v>19297437.094158053</v>
      </c>
      <c r="M95" s="271">
        <v>210555686.94415802</v>
      </c>
      <c r="N95" s="73">
        <f t="shared" si="36"/>
        <v>1.0650880837398045</v>
      </c>
      <c r="O95" s="72">
        <f t="shared" si="37"/>
        <v>62289296.944158018</v>
      </c>
      <c r="P95" s="74">
        <f t="shared" si="38"/>
        <v>82058148.944158018</v>
      </c>
      <c r="Q95" s="289">
        <v>214659634.39999995</v>
      </c>
      <c r="R95" s="73">
        <f t="shared" si="39"/>
        <v>1.0858477487716531</v>
      </c>
      <c r="S95" s="72">
        <f t="shared" si="40"/>
        <v>66393244.399999946</v>
      </c>
      <c r="T95" s="88">
        <f t="shared" si="41"/>
        <v>86162096.399999946</v>
      </c>
      <c r="U95" s="117"/>
      <c r="X95" s="288">
        <f t="shared" si="42"/>
        <v>19297437.094158053</v>
      </c>
    </row>
    <row r="96" spans="1:24" s="8" customFormat="1" ht="46.5" x14ac:dyDescent="0.2">
      <c r="A96" s="89">
        <v>53</v>
      </c>
      <c r="B96" s="89" t="s">
        <v>7</v>
      </c>
      <c r="C96" s="71" t="s">
        <v>76</v>
      </c>
      <c r="D96" s="91" t="s">
        <v>133</v>
      </c>
      <c r="E96" s="72">
        <v>407810998</v>
      </c>
      <c r="F96" s="108"/>
      <c r="G96" s="72">
        <v>0</v>
      </c>
      <c r="H96" s="72">
        <v>28082986</v>
      </c>
      <c r="I96" s="92">
        <v>0.75</v>
      </c>
      <c r="J96" s="276">
        <v>0</v>
      </c>
      <c r="K96" s="275" t="str">
        <f t="shared" si="34"/>
        <v>n/a</v>
      </c>
      <c r="L96" s="276">
        <f t="shared" si="35"/>
        <v>0</v>
      </c>
      <c r="M96" s="271">
        <v>0</v>
      </c>
      <c r="N96" s="73" t="str">
        <f t="shared" si="36"/>
        <v>n/a</v>
      </c>
      <c r="O96" s="72">
        <f t="shared" si="37"/>
        <v>0</v>
      </c>
      <c r="P96" s="74">
        <f t="shared" si="38"/>
        <v>0</v>
      </c>
      <c r="Q96" s="289">
        <v>0</v>
      </c>
      <c r="R96" s="73" t="str">
        <f t="shared" si="39"/>
        <v>n/a</v>
      </c>
      <c r="S96" s="72">
        <f t="shared" si="40"/>
        <v>0</v>
      </c>
      <c r="T96" s="88">
        <f t="shared" si="41"/>
        <v>0</v>
      </c>
      <c r="U96" s="117"/>
      <c r="X96" s="288">
        <f t="shared" si="42"/>
        <v>0</v>
      </c>
    </row>
    <row r="97" spans="1:24" s="8" customFormat="1" ht="116.25" x14ac:dyDescent="0.2">
      <c r="A97" s="96">
        <v>54</v>
      </c>
      <c r="B97" s="96" t="s">
        <v>7</v>
      </c>
      <c r="C97" s="98" t="s">
        <v>77</v>
      </c>
      <c r="D97" s="99" t="s">
        <v>133</v>
      </c>
      <c r="E97" s="72">
        <v>126221198</v>
      </c>
      <c r="F97" s="108"/>
      <c r="G97" s="72">
        <v>36847633</v>
      </c>
      <c r="H97" s="72">
        <v>0</v>
      </c>
      <c r="I97" s="100">
        <v>0.75</v>
      </c>
      <c r="J97" s="276">
        <v>0</v>
      </c>
      <c r="K97" s="275">
        <f t="shared" si="34"/>
        <v>0</v>
      </c>
      <c r="L97" s="276">
        <f t="shared" si="35"/>
        <v>0</v>
      </c>
      <c r="M97" s="271">
        <v>0</v>
      </c>
      <c r="N97" s="101">
        <f t="shared" si="36"/>
        <v>0</v>
      </c>
      <c r="O97" s="72">
        <f t="shared" si="37"/>
        <v>-27635724.75</v>
      </c>
      <c r="P97" s="74">
        <f t="shared" si="38"/>
        <v>-23950961.449999999</v>
      </c>
      <c r="Q97" s="289">
        <v>0</v>
      </c>
      <c r="R97" s="101">
        <f t="shared" si="39"/>
        <v>0</v>
      </c>
      <c r="S97" s="72">
        <f t="shared" si="40"/>
        <v>-27635724.75</v>
      </c>
      <c r="T97" s="88">
        <f t="shared" si="41"/>
        <v>-23950961.449999999</v>
      </c>
      <c r="U97" s="118" t="s">
        <v>249</v>
      </c>
      <c r="X97" s="288">
        <f t="shared" si="42"/>
        <v>0</v>
      </c>
    </row>
    <row r="98" spans="1:24" s="8" customFormat="1" ht="28.5" x14ac:dyDescent="0.2">
      <c r="A98" s="272" t="s">
        <v>209</v>
      </c>
      <c r="B98" s="273"/>
      <c r="C98" s="273"/>
      <c r="D98" s="273"/>
      <c r="E98" s="273"/>
      <c r="F98" s="273"/>
      <c r="G98" s="273"/>
      <c r="H98" s="273"/>
      <c r="I98" s="273"/>
      <c r="J98" s="273"/>
      <c r="K98" s="275"/>
      <c r="L98" s="276"/>
      <c r="M98" s="273"/>
      <c r="N98" s="273"/>
      <c r="O98" s="273"/>
      <c r="P98" s="273"/>
      <c r="Q98" s="290"/>
      <c r="R98" s="273"/>
      <c r="S98" s="273"/>
      <c r="T98" s="273"/>
      <c r="U98" s="274"/>
      <c r="X98" s="288">
        <f t="shared" si="42"/>
        <v>0</v>
      </c>
    </row>
    <row r="99" spans="1:24" s="8" customFormat="1" ht="69.75" x14ac:dyDescent="0.35">
      <c r="A99" s="81">
        <v>69</v>
      </c>
      <c r="B99" s="81" t="s">
        <v>8</v>
      </c>
      <c r="C99" s="83" t="s">
        <v>79</v>
      </c>
      <c r="D99" s="84" t="s">
        <v>137</v>
      </c>
      <c r="E99" s="72">
        <v>96428049</v>
      </c>
      <c r="F99" s="108"/>
      <c r="G99" s="72">
        <v>35925577.217863351</v>
      </c>
      <c r="H99" s="72">
        <v>4203913</v>
      </c>
      <c r="I99" s="85">
        <v>0.85</v>
      </c>
      <c r="J99" s="276">
        <v>42463134.549999997</v>
      </c>
      <c r="K99" s="275">
        <f t="shared" si="34"/>
        <v>1.1819750116328254</v>
      </c>
      <c r="L99" s="276">
        <f t="shared" si="35"/>
        <v>5813597.8446149454</v>
      </c>
      <c r="M99" s="271">
        <v>48276732.394614942</v>
      </c>
      <c r="N99" s="86">
        <f t="shared" si="36"/>
        <v>1.3437983780149314</v>
      </c>
      <c r="O99" s="72">
        <f t="shared" si="37"/>
        <v>17739991.759431094</v>
      </c>
      <c r="P99" s="74">
        <f t="shared" si="38"/>
        <v>24925107.203003764</v>
      </c>
      <c r="Q99" s="289">
        <v>51308452.129411772</v>
      </c>
      <c r="R99" s="86">
        <f t="shared" si="39"/>
        <v>1.4281872722117199</v>
      </c>
      <c r="S99" s="72">
        <f t="shared" si="40"/>
        <v>20771711.494227923</v>
      </c>
      <c r="T99" s="88">
        <f t="shared" si="41"/>
        <v>27956826.937800594</v>
      </c>
      <c r="U99" s="116"/>
      <c r="V99" s="34"/>
      <c r="X99" s="288">
        <f t="shared" si="42"/>
        <v>5813597.8446149454</v>
      </c>
    </row>
    <row r="100" spans="1:24" s="8" customFormat="1" ht="46.5" x14ac:dyDescent="0.35">
      <c r="A100" s="89">
        <v>67</v>
      </c>
      <c r="B100" s="89" t="s">
        <v>8</v>
      </c>
      <c r="C100" s="71" t="s">
        <v>80</v>
      </c>
      <c r="D100" s="91" t="s">
        <v>137</v>
      </c>
      <c r="E100" s="72">
        <v>591250</v>
      </c>
      <c r="F100" s="108"/>
      <c r="G100" s="72">
        <v>239911.32122226211</v>
      </c>
      <c r="H100" s="72">
        <v>0</v>
      </c>
      <c r="I100" s="92">
        <v>0.85</v>
      </c>
      <c r="J100" s="276">
        <v>273039.01999999996</v>
      </c>
      <c r="K100" s="275">
        <f t="shared" si="34"/>
        <v>1.1380830992425206</v>
      </c>
      <c r="L100" s="276">
        <f t="shared" si="35"/>
        <v>41497.351756121614</v>
      </c>
      <c r="M100" s="271">
        <v>314536.37175612157</v>
      </c>
      <c r="N100" s="73">
        <f t="shared" si="36"/>
        <v>1.3110526429251925</v>
      </c>
      <c r="O100" s="72">
        <f t="shared" si="37"/>
        <v>110611.74871719879</v>
      </c>
      <c r="P100" s="74">
        <f t="shared" si="38"/>
        <v>158594.0129616512</v>
      </c>
      <c r="Q100" s="289">
        <v>314536.05882352946</v>
      </c>
      <c r="R100" s="73">
        <f t="shared" si="39"/>
        <v>1.3110513385574347</v>
      </c>
      <c r="S100" s="72">
        <f t="shared" si="40"/>
        <v>110611.43578460667</v>
      </c>
      <c r="T100" s="88">
        <f t="shared" si="41"/>
        <v>158593.70002905908</v>
      </c>
      <c r="U100" s="117"/>
      <c r="V100" s="34"/>
      <c r="X100" s="288">
        <f t="shared" si="42"/>
        <v>41497.351756121614</v>
      </c>
    </row>
    <row r="101" spans="1:24" s="8" customFormat="1" ht="93" x14ac:dyDescent="0.35">
      <c r="A101" s="89">
        <v>68</v>
      </c>
      <c r="B101" s="89" t="s">
        <v>8</v>
      </c>
      <c r="C101" s="71" t="s">
        <v>81</v>
      </c>
      <c r="D101" s="91" t="s">
        <v>137</v>
      </c>
      <c r="E101" s="72">
        <v>1400770</v>
      </c>
      <c r="F101" s="108"/>
      <c r="G101" s="72">
        <v>605638.94254677766</v>
      </c>
      <c r="H101" s="72">
        <v>0</v>
      </c>
      <c r="I101" s="92">
        <v>0.85</v>
      </c>
      <c r="J101" s="276">
        <v>835592.28</v>
      </c>
      <c r="K101" s="275">
        <f t="shared" si="34"/>
        <v>1.3796871721726538</v>
      </c>
      <c r="L101" s="276">
        <f t="shared" si="35"/>
        <v>123004.37627322762</v>
      </c>
      <c r="M101" s="271">
        <v>958596.65627322765</v>
      </c>
      <c r="N101" s="73">
        <f t="shared" si="36"/>
        <v>1.5827856977661052</v>
      </c>
      <c r="O101" s="72">
        <f t="shared" si="37"/>
        <v>443803.55510846665</v>
      </c>
      <c r="P101" s="74">
        <f t="shared" si="38"/>
        <v>564931.34361782216</v>
      </c>
      <c r="Q101" s="289">
        <v>958597.0588235294</v>
      </c>
      <c r="R101" s="73">
        <f t="shared" si="39"/>
        <v>1.5827863624365441</v>
      </c>
      <c r="S101" s="72">
        <f t="shared" si="40"/>
        <v>443803.9576587684</v>
      </c>
      <c r="T101" s="88">
        <f t="shared" si="41"/>
        <v>564931.74616812391</v>
      </c>
      <c r="U101" s="117"/>
      <c r="V101" s="34"/>
      <c r="X101" s="288">
        <f t="shared" si="42"/>
        <v>123004.37627322762</v>
      </c>
    </row>
    <row r="102" spans="1:24" s="8" customFormat="1" ht="116.25" x14ac:dyDescent="0.35">
      <c r="A102" s="89">
        <v>65</v>
      </c>
      <c r="B102" s="89"/>
      <c r="C102" s="71" t="s">
        <v>164</v>
      </c>
      <c r="D102" s="91" t="s">
        <v>137</v>
      </c>
      <c r="E102" s="72">
        <v>208000</v>
      </c>
      <c r="F102" s="108"/>
      <c r="G102" s="72">
        <v>194218.59541997206</v>
      </c>
      <c r="H102" s="72">
        <v>0</v>
      </c>
      <c r="I102" s="92">
        <v>0.85</v>
      </c>
      <c r="J102" s="276">
        <v>192471.5</v>
      </c>
      <c r="K102" s="275">
        <f t="shared" si="34"/>
        <v>0.99100448947128783</v>
      </c>
      <c r="L102" s="276">
        <f t="shared" si="35"/>
        <v>0.17058823542902246</v>
      </c>
      <c r="M102" s="271">
        <v>192471.67058823543</v>
      </c>
      <c r="N102" s="73">
        <f t="shared" si="36"/>
        <v>0.99100536780240256</v>
      </c>
      <c r="O102" s="72">
        <f t="shared" si="37"/>
        <v>27385.864481259196</v>
      </c>
      <c r="P102" s="74">
        <f t="shared" si="38"/>
        <v>66229.58356525359</v>
      </c>
      <c r="Q102" s="289">
        <v>183549.90588235305</v>
      </c>
      <c r="R102" s="73">
        <f t="shared" si="39"/>
        <v>0.94506865053498412</v>
      </c>
      <c r="S102" s="72">
        <f t="shared" si="40"/>
        <v>18464.099775376817</v>
      </c>
      <c r="T102" s="88">
        <f t="shared" si="41"/>
        <v>57307.818859371211</v>
      </c>
      <c r="U102" s="117"/>
      <c r="V102" s="34"/>
      <c r="X102" s="288">
        <f t="shared" si="42"/>
        <v>0.17058823542902246</v>
      </c>
    </row>
    <row r="103" spans="1:24" s="8" customFormat="1" ht="93" customHeight="1" x14ac:dyDescent="0.35">
      <c r="A103" s="89">
        <v>64</v>
      </c>
      <c r="B103" s="89"/>
      <c r="C103" s="71" t="s">
        <v>165</v>
      </c>
      <c r="D103" s="91" t="s">
        <v>137</v>
      </c>
      <c r="E103" s="72">
        <v>6812578</v>
      </c>
      <c r="F103" s="108"/>
      <c r="G103" s="72">
        <v>6361198.7036009729</v>
      </c>
      <c r="H103" s="72">
        <v>0</v>
      </c>
      <c r="I103" s="92">
        <v>0.85</v>
      </c>
      <c r="J103" s="276">
        <v>6434183.4099999992</v>
      </c>
      <c r="K103" s="275">
        <f t="shared" si="34"/>
        <v>1.0114734203095574</v>
      </c>
      <c r="L103" s="276">
        <f t="shared" si="35"/>
        <v>247645.70087331347</v>
      </c>
      <c r="M103" s="271">
        <v>6681829.1108733127</v>
      </c>
      <c r="N103" s="73">
        <f t="shared" si="36"/>
        <v>1.0504040861183657</v>
      </c>
      <c r="O103" s="72">
        <f t="shared" si="37"/>
        <v>1274810.2128124861</v>
      </c>
      <c r="P103" s="74">
        <f t="shared" si="38"/>
        <v>2547049.9535326799</v>
      </c>
      <c r="Q103" s="289">
        <v>6681946.7579382313</v>
      </c>
      <c r="R103" s="73">
        <f t="shared" si="39"/>
        <v>1.0504225805987932</v>
      </c>
      <c r="S103" s="72">
        <f t="shared" si="40"/>
        <v>1274927.8598774048</v>
      </c>
      <c r="T103" s="88">
        <f t="shared" si="41"/>
        <v>2547167.6005975986</v>
      </c>
      <c r="U103" s="117"/>
      <c r="V103" s="34"/>
      <c r="X103" s="288">
        <f t="shared" si="42"/>
        <v>247645.70087331347</v>
      </c>
    </row>
    <row r="104" spans="1:24" s="8" customFormat="1" ht="116.25" x14ac:dyDescent="0.35">
      <c r="A104" s="89">
        <v>66</v>
      </c>
      <c r="B104" s="89" t="s">
        <v>8</v>
      </c>
      <c r="C104" s="71" t="s">
        <v>82</v>
      </c>
      <c r="D104" s="91" t="s">
        <v>137</v>
      </c>
      <c r="E104" s="72">
        <v>3258896</v>
      </c>
      <c r="F104" s="108"/>
      <c r="G104" s="72">
        <v>0</v>
      </c>
      <c r="H104" s="72">
        <v>2770061</v>
      </c>
      <c r="I104" s="92">
        <v>0.85</v>
      </c>
      <c r="J104" s="276">
        <v>0</v>
      </c>
      <c r="K104" s="275" t="str">
        <f t="shared" si="34"/>
        <v>n/a</v>
      </c>
      <c r="L104" s="276">
        <f t="shared" si="35"/>
        <v>0</v>
      </c>
      <c r="M104" s="271">
        <v>0</v>
      </c>
      <c r="N104" s="73" t="str">
        <f t="shared" si="36"/>
        <v>n/a</v>
      </c>
      <c r="O104" s="72">
        <f t="shared" si="37"/>
        <v>0</v>
      </c>
      <c r="P104" s="74">
        <f t="shared" si="38"/>
        <v>0</v>
      </c>
      <c r="Q104" s="289">
        <v>0</v>
      </c>
      <c r="R104" s="73" t="str">
        <f t="shared" si="39"/>
        <v>n/a</v>
      </c>
      <c r="S104" s="72">
        <f t="shared" si="40"/>
        <v>0</v>
      </c>
      <c r="T104" s="88">
        <f t="shared" si="41"/>
        <v>0</v>
      </c>
      <c r="U104" s="117"/>
      <c r="V104" s="34"/>
      <c r="X104" s="288">
        <f t="shared" si="42"/>
        <v>0</v>
      </c>
    </row>
    <row r="105" spans="1:24" s="8" customFormat="1" ht="93" x14ac:dyDescent="0.35">
      <c r="A105" s="89">
        <v>63</v>
      </c>
      <c r="B105" s="89" t="s">
        <v>8</v>
      </c>
      <c r="C105" s="124" t="s">
        <v>83</v>
      </c>
      <c r="D105" s="91" t="s">
        <v>137</v>
      </c>
      <c r="E105" s="72">
        <v>12643472</v>
      </c>
      <c r="F105" s="108"/>
      <c r="G105" s="72">
        <v>2975050.7158188513</v>
      </c>
      <c r="H105" s="72">
        <v>0</v>
      </c>
      <c r="I105" s="92">
        <v>0.85</v>
      </c>
      <c r="J105" s="276">
        <v>596471.24000000011</v>
      </c>
      <c r="K105" s="275">
        <f t="shared" si="34"/>
        <v>0.20049111661473903</v>
      </c>
      <c r="L105" s="276">
        <f t="shared" si="35"/>
        <v>231383.22246513632</v>
      </c>
      <c r="M105" s="271">
        <v>827854.46246513643</v>
      </c>
      <c r="N105" s="93">
        <f t="shared" si="36"/>
        <v>0.27826566386357493</v>
      </c>
      <c r="O105" s="72">
        <f t="shared" si="37"/>
        <v>-1700938.6459808871</v>
      </c>
      <c r="P105" s="74">
        <f t="shared" si="38"/>
        <v>-1105928.5028171171</v>
      </c>
      <c r="Q105" s="289">
        <v>991609.43529411766</v>
      </c>
      <c r="R105" s="73">
        <f t="shared" si="39"/>
        <v>0.33330841387730348</v>
      </c>
      <c r="S105" s="72">
        <f t="shared" si="40"/>
        <v>-1537183.6731519056</v>
      </c>
      <c r="T105" s="88">
        <f t="shared" si="41"/>
        <v>-942173.52998813579</v>
      </c>
      <c r="U105" s="117" t="s">
        <v>235</v>
      </c>
      <c r="V105" s="34"/>
      <c r="X105" s="288">
        <f t="shared" si="42"/>
        <v>231383.22246513632</v>
      </c>
    </row>
    <row r="106" spans="1:24" s="8" customFormat="1" ht="116.25" x14ac:dyDescent="0.35">
      <c r="A106" s="96">
        <v>62</v>
      </c>
      <c r="B106" s="96" t="s">
        <v>8</v>
      </c>
      <c r="C106" s="126" t="s">
        <v>84</v>
      </c>
      <c r="D106" s="99" t="s">
        <v>137</v>
      </c>
      <c r="E106" s="72">
        <v>10596211</v>
      </c>
      <c r="F106" s="108"/>
      <c r="G106" s="72">
        <v>3075098.5035278117</v>
      </c>
      <c r="H106" s="72">
        <v>0</v>
      </c>
      <c r="I106" s="100">
        <v>0.85</v>
      </c>
      <c r="J106" s="276">
        <v>222873.25</v>
      </c>
      <c r="K106" s="275">
        <f t="shared" si="34"/>
        <v>7.2476783993851102E-2</v>
      </c>
      <c r="L106" s="276">
        <f t="shared" si="35"/>
        <v>112217.43550978403</v>
      </c>
      <c r="M106" s="271">
        <v>335090.68550978403</v>
      </c>
      <c r="N106" s="123">
        <f t="shared" si="36"/>
        <v>0.10896908997398347</v>
      </c>
      <c r="O106" s="72">
        <f t="shared" si="37"/>
        <v>-2278743.0424888558</v>
      </c>
      <c r="P106" s="74">
        <f t="shared" si="38"/>
        <v>-1663723.3417832935</v>
      </c>
      <c r="Q106" s="289">
        <v>556602.47058823542</v>
      </c>
      <c r="R106" s="101">
        <f t="shared" si="39"/>
        <v>0.18100313533036111</v>
      </c>
      <c r="S106" s="72">
        <f t="shared" si="40"/>
        <v>-2057231.2574104045</v>
      </c>
      <c r="T106" s="88">
        <f t="shared" si="41"/>
        <v>-1442211.5567048423</v>
      </c>
      <c r="U106" s="118" t="s">
        <v>236</v>
      </c>
      <c r="V106" s="34"/>
      <c r="X106" s="288">
        <f t="shared" si="42"/>
        <v>112217.43550978403</v>
      </c>
    </row>
    <row r="107" spans="1:24" s="8" customFormat="1" ht="28.5" x14ac:dyDescent="0.2">
      <c r="A107" s="272" t="s">
        <v>210</v>
      </c>
      <c r="B107" s="273"/>
      <c r="C107" s="273"/>
      <c r="D107" s="273"/>
      <c r="E107" s="273"/>
      <c r="F107" s="273"/>
      <c r="G107" s="273"/>
      <c r="H107" s="273"/>
      <c r="I107" s="273"/>
      <c r="J107" s="273"/>
      <c r="K107" s="275"/>
      <c r="L107" s="276"/>
      <c r="M107" s="273"/>
      <c r="N107" s="273"/>
      <c r="O107" s="273"/>
      <c r="P107" s="273"/>
      <c r="Q107" s="290"/>
      <c r="R107" s="273"/>
      <c r="S107" s="273"/>
      <c r="T107" s="273"/>
      <c r="U107" s="274"/>
      <c r="X107" s="288">
        <f t="shared" si="42"/>
        <v>0</v>
      </c>
    </row>
    <row r="108" spans="1:24" s="8" customFormat="1" ht="116.25" x14ac:dyDescent="0.35">
      <c r="A108" s="81">
        <v>71</v>
      </c>
      <c r="B108" s="81" t="s">
        <v>8</v>
      </c>
      <c r="C108" s="83" t="s">
        <v>166</v>
      </c>
      <c r="D108" s="84" t="s">
        <v>138</v>
      </c>
      <c r="E108" s="72">
        <v>33769162</v>
      </c>
      <c r="F108" s="108"/>
      <c r="G108" s="72">
        <v>26050171.876714714</v>
      </c>
      <c r="H108" s="72">
        <v>0</v>
      </c>
      <c r="I108" s="85">
        <v>0.85</v>
      </c>
      <c r="J108" s="276">
        <v>31819817.139999997</v>
      </c>
      <c r="K108" s="275">
        <f t="shared" si="34"/>
        <v>1.2214820420606343</v>
      </c>
      <c r="L108" s="276">
        <f t="shared" si="35"/>
        <v>504166.02461102977</v>
      </c>
      <c r="M108" s="271">
        <v>32323983.164611027</v>
      </c>
      <c r="N108" s="86">
        <f t="shared" si="36"/>
        <v>1.2408356965008833</v>
      </c>
      <c r="O108" s="72">
        <f t="shared" si="37"/>
        <v>10181337.069403522</v>
      </c>
      <c r="P108" s="74">
        <f t="shared" si="38"/>
        <v>15391371.444746461</v>
      </c>
      <c r="Q108" s="289">
        <v>32479217.790308144</v>
      </c>
      <c r="R108" s="86">
        <f t="shared" si="39"/>
        <v>1.2467947598971552</v>
      </c>
      <c r="S108" s="72">
        <f t="shared" si="40"/>
        <v>10336571.695100639</v>
      </c>
      <c r="T108" s="88">
        <f t="shared" si="41"/>
        <v>15546606.070443578</v>
      </c>
      <c r="U108" s="116"/>
      <c r="V108" s="36"/>
      <c r="X108" s="288">
        <f t="shared" si="42"/>
        <v>504166.02461102977</v>
      </c>
    </row>
    <row r="109" spans="1:24" s="8" customFormat="1" ht="93" customHeight="1" x14ac:dyDescent="0.2">
      <c r="A109" s="96">
        <v>70</v>
      </c>
      <c r="B109" s="96" t="s">
        <v>8</v>
      </c>
      <c r="C109" s="98" t="s">
        <v>167</v>
      </c>
      <c r="D109" s="99" t="s">
        <v>138</v>
      </c>
      <c r="E109" s="72">
        <v>29371641</v>
      </c>
      <c r="F109" s="108"/>
      <c r="G109" s="72">
        <v>22657840.123285286</v>
      </c>
      <c r="H109" s="72">
        <v>0</v>
      </c>
      <c r="I109" s="100">
        <v>0.85</v>
      </c>
      <c r="J109" s="276">
        <v>21659266.32</v>
      </c>
      <c r="K109" s="275">
        <f t="shared" si="34"/>
        <v>0.95592811151231227</v>
      </c>
      <c r="L109" s="276">
        <f t="shared" si="35"/>
        <v>1061245.3487693854</v>
      </c>
      <c r="M109" s="271">
        <v>22720511.668769386</v>
      </c>
      <c r="N109" s="101">
        <f t="shared" si="36"/>
        <v>1.0027659982215027</v>
      </c>
      <c r="O109" s="72">
        <f t="shared" si="37"/>
        <v>3461347.5639768913</v>
      </c>
      <c r="P109" s="74">
        <f t="shared" si="38"/>
        <v>7992915.5886339489</v>
      </c>
      <c r="Q109" s="289">
        <v>22289904.202238366</v>
      </c>
      <c r="R109" s="101">
        <f t="shared" si="39"/>
        <v>0.98376120940721112</v>
      </c>
      <c r="S109" s="72">
        <f t="shared" si="40"/>
        <v>3030740.0974458717</v>
      </c>
      <c r="T109" s="88">
        <f t="shared" si="41"/>
        <v>7562308.1221029293</v>
      </c>
      <c r="U109" s="118"/>
      <c r="X109" s="288">
        <f t="shared" si="42"/>
        <v>1061245.3487693854</v>
      </c>
    </row>
    <row r="110" spans="1:24" s="8" customFormat="1" ht="28.5" x14ac:dyDescent="0.2">
      <c r="A110" s="272" t="s">
        <v>211</v>
      </c>
      <c r="B110" s="273"/>
      <c r="C110" s="273"/>
      <c r="D110" s="273"/>
      <c r="E110" s="273"/>
      <c r="F110" s="273"/>
      <c r="G110" s="273"/>
      <c r="H110" s="273"/>
      <c r="I110" s="273"/>
      <c r="J110" s="273"/>
      <c r="K110" s="275"/>
      <c r="L110" s="276"/>
      <c r="M110" s="273"/>
      <c r="N110" s="273"/>
      <c r="O110" s="273"/>
      <c r="P110" s="273"/>
      <c r="Q110" s="290"/>
      <c r="R110" s="273"/>
      <c r="S110" s="273"/>
      <c r="T110" s="273"/>
      <c r="U110" s="274"/>
      <c r="X110" s="288">
        <f t="shared" si="42"/>
        <v>0</v>
      </c>
    </row>
    <row r="111" spans="1:24" s="8" customFormat="1" ht="333.75" customHeight="1" x14ac:dyDescent="0.2">
      <c r="A111" s="81">
        <v>73</v>
      </c>
      <c r="B111" s="81" t="s">
        <v>9</v>
      </c>
      <c r="C111" s="83" t="s">
        <v>85</v>
      </c>
      <c r="D111" s="84" t="s">
        <v>126</v>
      </c>
      <c r="E111" s="72">
        <v>44641656</v>
      </c>
      <c r="F111" s="108"/>
      <c r="G111" s="72">
        <v>11160414</v>
      </c>
      <c r="H111" s="72">
        <v>2314490</v>
      </c>
      <c r="I111" s="85">
        <v>0.85</v>
      </c>
      <c r="J111" s="276">
        <v>5272261.4999999981</v>
      </c>
      <c r="K111" s="275">
        <f t="shared" si="34"/>
        <v>0.47240734080294855</v>
      </c>
      <c r="L111" s="276">
        <f t="shared" si="35"/>
        <v>6677007.3148264661</v>
      </c>
      <c r="M111" s="271">
        <v>11949268.814826464</v>
      </c>
      <c r="N111" s="86">
        <f t="shared" si="36"/>
        <v>1.0706832931848642</v>
      </c>
      <c r="O111" s="72">
        <f t="shared" si="37"/>
        <v>2462916.9148264639</v>
      </c>
      <c r="P111" s="74">
        <f t="shared" si="38"/>
        <v>4694999.7148264637</v>
      </c>
      <c r="Q111" s="289">
        <v>14593223.314117646</v>
      </c>
      <c r="R111" s="86">
        <f t="shared" si="39"/>
        <v>1.3075879903843752</v>
      </c>
      <c r="S111" s="72">
        <f t="shared" si="40"/>
        <v>5106871.4141176455</v>
      </c>
      <c r="T111" s="88">
        <f t="shared" si="41"/>
        <v>7338954.2141176453</v>
      </c>
      <c r="U111" s="117" t="s">
        <v>192</v>
      </c>
      <c r="X111" s="288">
        <f t="shared" si="42"/>
        <v>6677007.3148264661</v>
      </c>
    </row>
    <row r="112" spans="1:24" s="8" customFormat="1" ht="409.5" customHeight="1" x14ac:dyDescent="0.2">
      <c r="A112" s="89">
        <v>75</v>
      </c>
      <c r="B112" s="89" t="s">
        <v>9</v>
      </c>
      <c r="C112" s="124" t="s">
        <v>86</v>
      </c>
      <c r="D112" s="91" t="s">
        <v>126</v>
      </c>
      <c r="E112" s="72">
        <v>168136850.14364851</v>
      </c>
      <c r="F112" s="108"/>
      <c r="G112" s="72">
        <v>32373977.000000007</v>
      </c>
      <c r="H112" s="72">
        <v>8470217</v>
      </c>
      <c r="I112" s="92">
        <v>0.85</v>
      </c>
      <c r="J112" s="276">
        <v>10787315.499999998</v>
      </c>
      <c r="K112" s="275">
        <f t="shared" si="34"/>
        <v>0.33320946326736428</v>
      </c>
      <c r="L112" s="276">
        <f t="shared" si="35"/>
        <v>4681340.6103356928</v>
      </c>
      <c r="M112" s="271">
        <v>15468656.110335691</v>
      </c>
      <c r="N112" s="93">
        <f t="shared" si="36"/>
        <v>0.47781142583550013</v>
      </c>
      <c r="O112" s="72">
        <f t="shared" si="37"/>
        <v>-12049224.339664316</v>
      </c>
      <c r="P112" s="74">
        <f t="shared" si="38"/>
        <v>-5574428.9396643136</v>
      </c>
      <c r="Q112" s="289">
        <v>27488648.349642858</v>
      </c>
      <c r="R112" s="73">
        <f t="shared" si="39"/>
        <v>0.84909704944940345</v>
      </c>
      <c r="S112" s="76">
        <f t="shared" si="40"/>
        <v>-29232.100357148796</v>
      </c>
      <c r="T112" s="77">
        <f t="shared" si="41"/>
        <v>6445563.2996428534</v>
      </c>
      <c r="U112" s="117" t="s">
        <v>191</v>
      </c>
      <c r="X112" s="288">
        <f t="shared" si="42"/>
        <v>4681340.6103356928</v>
      </c>
    </row>
    <row r="113" spans="1:24" s="27" customFormat="1" ht="315.75" customHeight="1" x14ac:dyDescent="0.2">
      <c r="A113" s="89">
        <v>72</v>
      </c>
      <c r="B113" s="89" t="s">
        <v>9</v>
      </c>
      <c r="C113" s="121" t="s">
        <v>87</v>
      </c>
      <c r="D113" s="91" t="s">
        <v>126</v>
      </c>
      <c r="E113" s="72">
        <v>104224880</v>
      </c>
      <c r="F113" s="108"/>
      <c r="G113" s="72">
        <v>33454181</v>
      </c>
      <c r="H113" s="72">
        <v>5404059.7000000002</v>
      </c>
      <c r="I113" s="92">
        <v>0.85</v>
      </c>
      <c r="J113" s="276">
        <v>9558104.9899999965</v>
      </c>
      <c r="K113" s="275">
        <f t="shared" si="34"/>
        <v>0.28570733774651358</v>
      </c>
      <c r="L113" s="276">
        <f t="shared" si="35"/>
        <v>12714488.054606559</v>
      </c>
      <c r="M113" s="271">
        <v>22272593.044606555</v>
      </c>
      <c r="N113" s="114">
        <f t="shared" si="36"/>
        <v>0.66576411016029824</v>
      </c>
      <c r="O113" s="72">
        <f t="shared" si="37"/>
        <v>-6163460.8053934425</v>
      </c>
      <c r="P113" s="74">
        <f t="shared" si="38"/>
        <v>527375.39460655302</v>
      </c>
      <c r="Q113" s="289">
        <v>27588048.117647059</v>
      </c>
      <c r="R113" s="73">
        <f t="shared" si="39"/>
        <v>0.82465172642089368</v>
      </c>
      <c r="S113" s="76">
        <f t="shared" si="40"/>
        <v>-848005.7323529385</v>
      </c>
      <c r="T113" s="77">
        <f t="shared" si="41"/>
        <v>5842830.467647057</v>
      </c>
      <c r="U113" s="117" t="s">
        <v>193</v>
      </c>
      <c r="X113" s="288">
        <f t="shared" si="42"/>
        <v>12714488.054606559</v>
      </c>
    </row>
    <row r="114" spans="1:24" s="8" customFormat="1" ht="69.75" x14ac:dyDescent="0.2">
      <c r="A114" s="96">
        <v>74</v>
      </c>
      <c r="B114" s="96" t="s">
        <v>9</v>
      </c>
      <c r="C114" s="98" t="s">
        <v>88</v>
      </c>
      <c r="D114" s="99" t="s">
        <v>126</v>
      </c>
      <c r="E114" s="72">
        <v>14185198</v>
      </c>
      <c r="F114" s="108"/>
      <c r="G114" s="72">
        <v>3546300</v>
      </c>
      <c r="H114" s="72">
        <v>735445</v>
      </c>
      <c r="I114" s="100">
        <v>0.85</v>
      </c>
      <c r="J114" s="276">
        <v>1699679.6700000002</v>
      </c>
      <c r="K114" s="275">
        <f t="shared" si="34"/>
        <v>0.47928253954826161</v>
      </c>
      <c r="L114" s="276">
        <f t="shared" si="35"/>
        <v>1946082.2318864826</v>
      </c>
      <c r="M114" s="271">
        <v>3645761.9018864827</v>
      </c>
      <c r="N114" s="101">
        <f t="shared" si="36"/>
        <v>1.028046668890529</v>
      </c>
      <c r="O114" s="72">
        <f t="shared" si="37"/>
        <v>631406.90188648272</v>
      </c>
      <c r="P114" s="74">
        <f t="shared" si="38"/>
        <v>1340666.9018864827</v>
      </c>
      <c r="Q114" s="289">
        <v>4954110.4423529413</v>
      </c>
      <c r="R114" s="101">
        <f t="shared" si="39"/>
        <v>1.3969800756712465</v>
      </c>
      <c r="S114" s="111">
        <f t="shared" si="40"/>
        <v>1939755.4423529413</v>
      </c>
      <c r="T114" s="112">
        <f t="shared" si="41"/>
        <v>2649015.4423529413</v>
      </c>
      <c r="U114" s="117"/>
      <c r="X114" s="288">
        <f t="shared" si="42"/>
        <v>1946082.2318864826</v>
      </c>
    </row>
    <row r="115" spans="1:24" s="8" customFormat="1" ht="28.5" x14ac:dyDescent="0.35">
      <c r="A115" s="272" t="s">
        <v>212</v>
      </c>
      <c r="B115" s="273"/>
      <c r="C115" s="273"/>
      <c r="D115" s="273"/>
      <c r="E115" s="273"/>
      <c r="F115" s="273"/>
      <c r="G115" s="273"/>
      <c r="H115" s="273"/>
      <c r="I115" s="273"/>
      <c r="J115" s="273"/>
      <c r="K115" s="275"/>
      <c r="L115" s="276"/>
      <c r="M115" s="273"/>
      <c r="N115" s="273"/>
      <c r="O115" s="273"/>
      <c r="P115" s="273"/>
      <c r="Q115" s="290"/>
      <c r="R115" s="273"/>
      <c r="S115" s="273"/>
      <c r="T115" s="273"/>
      <c r="U115" s="274"/>
      <c r="V115" s="26"/>
      <c r="X115" s="288">
        <f t="shared" si="42"/>
        <v>0</v>
      </c>
    </row>
    <row r="116" spans="1:24" s="8" customFormat="1" ht="100.5" customHeight="1" x14ac:dyDescent="0.2">
      <c r="A116" s="81">
        <v>86</v>
      </c>
      <c r="B116" s="82" t="s">
        <v>9</v>
      </c>
      <c r="C116" s="125" t="s">
        <v>89</v>
      </c>
      <c r="D116" s="84" t="s">
        <v>139</v>
      </c>
      <c r="E116" s="72">
        <v>10815000</v>
      </c>
      <c r="F116" s="103"/>
      <c r="G116" s="72">
        <v>306783.08034535614</v>
      </c>
      <c r="H116" s="72">
        <v>571654</v>
      </c>
      <c r="I116" s="85">
        <v>0.75</v>
      </c>
      <c r="J116" s="276">
        <v>0</v>
      </c>
      <c r="K116" s="275">
        <f t="shared" si="34"/>
        <v>0</v>
      </c>
      <c r="L116" s="276">
        <f t="shared" si="35"/>
        <v>0</v>
      </c>
      <c r="M116" s="271">
        <v>0</v>
      </c>
      <c r="N116" s="113">
        <f t="shared" si="36"/>
        <v>0</v>
      </c>
      <c r="O116" s="72">
        <f t="shared" si="37"/>
        <v>-230087.3102590171</v>
      </c>
      <c r="P116" s="74">
        <f t="shared" si="38"/>
        <v>-199409.00222448149</v>
      </c>
      <c r="Q116" s="289">
        <v>0</v>
      </c>
      <c r="R116" s="86">
        <f t="shared" si="39"/>
        <v>0</v>
      </c>
      <c r="S116" s="72">
        <f t="shared" si="40"/>
        <v>-230087.3102590171</v>
      </c>
      <c r="T116" s="88">
        <f t="shared" si="41"/>
        <v>-199409.00222448149</v>
      </c>
      <c r="U116" s="116" t="s">
        <v>175</v>
      </c>
      <c r="V116" s="10"/>
      <c r="X116" s="288">
        <f t="shared" si="42"/>
        <v>0</v>
      </c>
    </row>
    <row r="117" spans="1:24" s="8" customFormat="1" ht="120.75" customHeight="1" x14ac:dyDescent="0.2">
      <c r="A117" s="89">
        <v>84</v>
      </c>
      <c r="B117" s="90" t="s">
        <v>9</v>
      </c>
      <c r="C117" s="124" t="s">
        <v>90</v>
      </c>
      <c r="D117" s="91" t="s">
        <v>139</v>
      </c>
      <c r="E117" s="72">
        <v>34340686</v>
      </c>
      <c r="F117" s="103"/>
      <c r="G117" s="72">
        <v>613566.16069071228</v>
      </c>
      <c r="H117" s="72">
        <v>1815162</v>
      </c>
      <c r="I117" s="92">
        <v>0.75</v>
      </c>
      <c r="J117" s="276">
        <v>0</v>
      </c>
      <c r="K117" s="275">
        <f t="shared" si="34"/>
        <v>0</v>
      </c>
      <c r="L117" s="276">
        <f t="shared" si="35"/>
        <v>0</v>
      </c>
      <c r="M117" s="271">
        <v>0</v>
      </c>
      <c r="N117" s="93">
        <f t="shared" si="36"/>
        <v>0</v>
      </c>
      <c r="O117" s="72">
        <f t="shared" si="37"/>
        <v>-460174.62051803421</v>
      </c>
      <c r="P117" s="74">
        <f t="shared" si="38"/>
        <v>-398818.00444896298</v>
      </c>
      <c r="Q117" s="289">
        <v>0</v>
      </c>
      <c r="R117" s="73">
        <f t="shared" si="39"/>
        <v>0</v>
      </c>
      <c r="S117" s="72">
        <f t="shared" si="40"/>
        <v>-460174.62051803421</v>
      </c>
      <c r="T117" s="88">
        <f t="shared" si="41"/>
        <v>-398818.00444896298</v>
      </c>
      <c r="U117" s="117" t="s">
        <v>175</v>
      </c>
      <c r="V117" s="10"/>
      <c r="X117" s="288">
        <f t="shared" si="42"/>
        <v>0</v>
      </c>
    </row>
    <row r="118" spans="1:24" s="8" customFormat="1" ht="100.5" customHeight="1" x14ac:dyDescent="0.2">
      <c r="A118" s="89">
        <v>81</v>
      </c>
      <c r="B118" s="90" t="s">
        <v>9</v>
      </c>
      <c r="C118" s="124" t="s">
        <v>91</v>
      </c>
      <c r="D118" s="91" t="s">
        <v>139</v>
      </c>
      <c r="E118" s="72">
        <v>20000000</v>
      </c>
      <c r="F118" s="103"/>
      <c r="G118" s="72">
        <v>876523.08670101757</v>
      </c>
      <c r="H118" s="72">
        <v>1136067</v>
      </c>
      <c r="I118" s="92">
        <v>0.75</v>
      </c>
      <c r="J118" s="276">
        <v>0</v>
      </c>
      <c r="K118" s="275">
        <f t="shared" si="34"/>
        <v>0</v>
      </c>
      <c r="L118" s="276">
        <f t="shared" si="35"/>
        <v>0</v>
      </c>
      <c r="M118" s="271">
        <v>0</v>
      </c>
      <c r="N118" s="93">
        <f t="shared" si="36"/>
        <v>0</v>
      </c>
      <c r="O118" s="72">
        <f t="shared" si="37"/>
        <v>-657392.31502576312</v>
      </c>
      <c r="P118" s="74">
        <f t="shared" si="38"/>
        <v>-569740.00635566143</v>
      </c>
      <c r="Q118" s="289">
        <v>0</v>
      </c>
      <c r="R118" s="73">
        <f t="shared" si="39"/>
        <v>0</v>
      </c>
      <c r="S118" s="72">
        <f t="shared" si="40"/>
        <v>-657392.31502576312</v>
      </c>
      <c r="T118" s="88">
        <f t="shared" si="41"/>
        <v>-569740.00635566143</v>
      </c>
      <c r="U118" s="117" t="s">
        <v>175</v>
      </c>
      <c r="V118" s="10"/>
      <c r="X118" s="288">
        <f t="shared" si="42"/>
        <v>0</v>
      </c>
    </row>
    <row r="119" spans="1:24" s="8" customFormat="1" ht="93.75" customHeight="1" x14ac:dyDescent="0.2">
      <c r="A119" s="89">
        <v>85</v>
      </c>
      <c r="B119" s="90" t="s">
        <v>9</v>
      </c>
      <c r="C119" s="71" t="s">
        <v>92</v>
      </c>
      <c r="D119" s="91" t="s">
        <v>139</v>
      </c>
      <c r="E119" s="72">
        <v>1500000</v>
      </c>
      <c r="F119" s="103"/>
      <c r="G119" s="72">
        <v>1051827.7040412212</v>
      </c>
      <c r="H119" s="72">
        <v>0</v>
      </c>
      <c r="I119" s="92">
        <v>0.75</v>
      </c>
      <c r="J119" s="276">
        <v>690186.17999999993</v>
      </c>
      <c r="K119" s="275">
        <f t="shared" si="34"/>
        <v>0.65617798176283015</v>
      </c>
      <c r="L119" s="276">
        <f t="shared" si="35"/>
        <v>267713.59647058824</v>
      </c>
      <c r="M119" s="271">
        <v>957899.77647058817</v>
      </c>
      <c r="N119" s="73">
        <f t="shared" si="36"/>
        <v>0.91070027228817696</v>
      </c>
      <c r="O119" s="72">
        <f t="shared" si="37"/>
        <v>169028.99843967229</v>
      </c>
      <c r="P119" s="74">
        <f t="shared" si="38"/>
        <v>274211.76884379436</v>
      </c>
      <c r="Q119" s="289">
        <v>1061643.4633176471</v>
      </c>
      <c r="R119" s="73">
        <f t="shared" si="39"/>
        <v>1.0093320980600842</v>
      </c>
      <c r="S119" s="72">
        <f t="shared" si="40"/>
        <v>272772.68528673123</v>
      </c>
      <c r="T119" s="88">
        <f t="shared" si="41"/>
        <v>377955.4556908533</v>
      </c>
      <c r="U119" s="117" t="s">
        <v>176</v>
      </c>
      <c r="V119" s="10"/>
      <c r="X119" s="288">
        <f t="shared" si="42"/>
        <v>267713.59647058824</v>
      </c>
    </row>
    <row r="120" spans="1:24" s="8" customFormat="1" ht="93" x14ac:dyDescent="0.2">
      <c r="A120" s="89">
        <v>92</v>
      </c>
      <c r="B120" s="90" t="s">
        <v>9</v>
      </c>
      <c r="C120" s="71" t="s">
        <v>93</v>
      </c>
      <c r="D120" s="91" t="s">
        <v>139</v>
      </c>
      <c r="E120" s="72">
        <v>13960884</v>
      </c>
      <c r="F120" s="103"/>
      <c r="G120" s="72">
        <v>5090334</v>
      </c>
      <c r="H120" s="72">
        <v>0</v>
      </c>
      <c r="I120" s="92">
        <v>0.75</v>
      </c>
      <c r="J120" s="276">
        <v>3527855.5000000005</v>
      </c>
      <c r="K120" s="275">
        <f t="shared" si="34"/>
        <v>0.69304990595901972</v>
      </c>
      <c r="L120" s="276">
        <f t="shared" si="35"/>
        <v>2308850.2026238362</v>
      </c>
      <c r="M120" s="271">
        <v>5836705.7026238367</v>
      </c>
      <c r="N120" s="73">
        <f t="shared" si="36"/>
        <v>1.1466252907223449</v>
      </c>
      <c r="O120" s="72">
        <f t="shared" si="37"/>
        <v>2018955.2026238367</v>
      </c>
      <c r="P120" s="74">
        <f t="shared" si="38"/>
        <v>2527988.6026238366</v>
      </c>
      <c r="Q120" s="289">
        <v>8055854.5764705874</v>
      </c>
      <c r="R120" s="73">
        <f t="shared" si="39"/>
        <v>1.5825787809740162</v>
      </c>
      <c r="S120" s="72">
        <f t="shared" si="40"/>
        <v>4238104.0764705874</v>
      </c>
      <c r="T120" s="88">
        <f t="shared" si="41"/>
        <v>4747137.4764705878</v>
      </c>
      <c r="U120" s="117"/>
      <c r="X120" s="288">
        <f t="shared" si="42"/>
        <v>2308850.2026238362</v>
      </c>
    </row>
    <row r="121" spans="1:24" s="8" customFormat="1" ht="69.75" x14ac:dyDescent="0.2">
      <c r="A121" s="89">
        <v>82</v>
      </c>
      <c r="B121" s="90" t="s">
        <v>9</v>
      </c>
      <c r="C121" s="124" t="s">
        <v>94</v>
      </c>
      <c r="D121" s="91" t="s">
        <v>139</v>
      </c>
      <c r="E121" s="72">
        <v>4221188</v>
      </c>
      <c r="F121" s="103"/>
      <c r="G121" s="72">
        <v>593149.30843218556</v>
      </c>
      <c r="H121" s="72">
        <v>961286</v>
      </c>
      <c r="I121" s="92">
        <v>0.75</v>
      </c>
      <c r="J121" s="276">
        <v>0</v>
      </c>
      <c r="K121" s="275">
        <f t="shared" si="34"/>
        <v>0</v>
      </c>
      <c r="L121" s="276">
        <f t="shared" si="35"/>
        <v>0</v>
      </c>
      <c r="M121" s="271">
        <v>0</v>
      </c>
      <c r="N121" s="93">
        <f t="shared" si="36"/>
        <v>0</v>
      </c>
      <c r="O121" s="72">
        <f t="shared" si="37"/>
        <v>-444861.98132413917</v>
      </c>
      <c r="P121" s="74">
        <f t="shared" si="38"/>
        <v>-385547.05048092065</v>
      </c>
      <c r="Q121" s="289">
        <v>0</v>
      </c>
      <c r="R121" s="73">
        <f t="shared" si="39"/>
        <v>0</v>
      </c>
      <c r="S121" s="72">
        <f t="shared" si="40"/>
        <v>-444861.98132413917</v>
      </c>
      <c r="T121" s="88">
        <f t="shared" si="41"/>
        <v>-385547.05048092065</v>
      </c>
      <c r="U121" s="117" t="s">
        <v>177</v>
      </c>
      <c r="V121" s="10"/>
      <c r="X121" s="288">
        <f t="shared" si="42"/>
        <v>0</v>
      </c>
    </row>
    <row r="122" spans="1:24" s="8" customFormat="1" ht="46.5" x14ac:dyDescent="0.2">
      <c r="A122" s="89">
        <v>88</v>
      </c>
      <c r="B122" s="90" t="s">
        <v>9</v>
      </c>
      <c r="C122" s="71" t="s">
        <v>95</v>
      </c>
      <c r="D122" s="91" t="s">
        <v>139</v>
      </c>
      <c r="E122" s="72">
        <v>3287350</v>
      </c>
      <c r="F122" s="103"/>
      <c r="G122" s="72">
        <v>864430.57419689035</v>
      </c>
      <c r="H122" s="103">
        <v>0</v>
      </c>
      <c r="I122" s="92">
        <v>0.75</v>
      </c>
      <c r="J122" s="276">
        <v>658486.74</v>
      </c>
      <c r="K122" s="275">
        <f t="shared" si="34"/>
        <v>0.76175780873064913</v>
      </c>
      <c r="L122" s="276">
        <f t="shared" si="35"/>
        <v>279200.16896527761</v>
      </c>
      <c r="M122" s="271">
        <v>937686.9089652776</v>
      </c>
      <c r="N122" s="73">
        <f t="shared" si="36"/>
        <v>1.0847451917540596</v>
      </c>
      <c r="O122" s="72">
        <f t="shared" si="37"/>
        <v>289363.97831760987</v>
      </c>
      <c r="P122" s="74">
        <f t="shared" si="38"/>
        <v>375807.03573729889</v>
      </c>
      <c r="Q122" s="289">
        <v>977368.10588235303</v>
      </c>
      <c r="R122" s="73">
        <f t="shared" si="39"/>
        <v>1.1306496265363921</v>
      </c>
      <c r="S122" s="72">
        <f t="shared" si="40"/>
        <v>329045.1752346853</v>
      </c>
      <c r="T122" s="88">
        <f t="shared" si="41"/>
        <v>415488.23265437433</v>
      </c>
      <c r="U122" s="117"/>
      <c r="V122" s="10"/>
      <c r="X122" s="288">
        <f t="shared" si="42"/>
        <v>279200.16896527761</v>
      </c>
    </row>
    <row r="123" spans="1:24" s="8" customFormat="1" ht="69.75" x14ac:dyDescent="0.2">
      <c r="A123" s="89">
        <v>87</v>
      </c>
      <c r="B123" s="90" t="s">
        <v>9</v>
      </c>
      <c r="C123" s="71" t="s">
        <v>96</v>
      </c>
      <c r="D123" s="91" t="s">
        <v>139</v>
      </c>
      <c r="E123" s="72">
        <v>34345390</v>
      </c>
      <c r="F123" s="103"/>
      <c r="G123" s="72">
        <v>3079923.3159576887</v>
      </c>
      <c r="H123" s="72">
        <v>1989172</v>
      </c>
      <c r="I123" s="92">
        <v>0.75</v>
      </c>
      <c r="J123" s="276">
        <v>2719077.7</v>
      </c>
      <c r="K123" s="275">
        <f t="shared" si="34"/>
        <v>0.88283941548541922</v>
      </c>
      <c r="L123" s="276">
        <f t="shared" si="35"/>
        <v>1216248.8379887794</v>
      </c>
      <c r="M123" s="271">
        <v>3935326.5379887796</v>
      </c>
      <c r="N123" s="73">
        <f t="shared" si="36"/>
        <v>1.2777352337310084</v>
      </c>
      <c r="O123" s="72">
        <f t="shared" si="37"/>
        <v>1625384.0510205128</v>
      </c>
      <c r="P123" s="74">
        <f t="shared" si="38"/>
        <v>1933376.382616282</v>
      </c>
      <c r="Q123" s="289">
        <v>5295326.4705882361</v>
      </c>
      <c r="R123" s="73">
        <f t="shared" si="39"/>
        <v>1.7193046473436879</v>
      </c>
      <c r="S123" s="72">
        <f t="shared" si="40"/>
        <v>2985383.9836199693</v>
      </c>
      <c r="T123" s="88">
        <f t="shared" si="41"/>
        <v>3293376.3152157385</v>
      </c>
      <c r="U123" s="117"/>
      <c r="V123" s="10"/>
      <c r="X123" s="288">
        <f t="shared" si="42"/>
        <v>1216248.8379887794</v>
      </c>
    </row>
    <row r="124" spans="1:24" s="8" customFormat="1" ht="105" customHeight="1" x14ac:dyDescent="0.2">
      <c r="A124" s="89">
        <v>77</v>
      </c>
      <c r="B124" s="90" t="s">
        <v>9</v>
      </c>
      <c r="C124" s="71" t="s">
        <v>97</v>
      </c>
      <c r="D124" s="91" t="s">
        <v>139</v>
      </c>
      <c r="E124" s="72">
        <v>9000000</v>
      </c>
      <c r="F124" s="103"/>
      <c r="G124" s="72">
        <v>0</v>
      </c>
      <c r="H124" s="72">
        <v>0</v>
      </c>
      <c r="I124" s="92">
        <v>0.75</v>
      </c>
      <c r="J124" s="287">
        <v>1722569.67</v>
      </c>
      <c r="K124" s="275" t="str">
        <f t="shared" si="34"/>
        <v>n/a</v>
      </c>
      <c r="L124" s="276">
        <f t="shared" si="35"/>
        <v>-693391.29352941155</v>
      </c>
      <c r="M124" s="287">
        <v>1029178.3764705884</v>
      </c>
      <c r="N124" s="73" t="str">
        <f t="shared" si="36"/>
        <v>n/a</v>
      </c>
      <c r="O124" s="72">
        <f t="shared" si="37"/>
        <v>1029178.3764705884</v>
      </c>
      <c r="P124" s="74">
        <f t="shared" si="38"/>
        <v>1029178.3764705884</v>
      </c>
      <c r="Q124" s="289">
        <v>1806624.5529411766</v>
      </c>
      <c r="R124" s="73" t="str">
        <f t="shared" si="39"/>
        <v>n/a</v>
      </c>
      <c r="S124" s="72">
        <f t="shared" si="40"/>
        <v>1806624.5529411766</v>
      </c>
      <c r="T124" s="88">
        <f t="shared" si="41"/>
        <v>1806624.5529411766</v>
      </c>
      <c r="U124" s="117"/>
      <c r="V124" s="10"/>
      <c r="X124" s="288">
        <f t="shared" si="42"/>
        <v>-693391.29352941155</v>
      </c>
    </row>
    <row r="125" spans="1:24" s="8" customFormat="1" ht="291.75" customHeight="1" x14ac:dyDescent="0.2">
      <c r="A125" s="89">
        <v>79</v>
      </c>
      <c r="B125" s="90" t="s">
        <v>9</v>
      </c>
      <c r="C125" s="124" t="s">
        <v>98</v>
      </c>
      <c r="D125" s="91" t="s">
        <v>139</v>
      </c>
      <c r="E125" s="72">
        <v>39812376</v>
      </c>
      <c r="F125" s="103"/>
      <c r="G125" s="72">
        <v>5234469.6544539919</v>
      </c>
      <c r="H125" s="72">
        <v>2580099</v>
      </c>
      <c r="I125" s="92">
        <v>0.75</v>
      </c>
      <c r="J125" s="276">
        <v>855494.89</v>
      </c>
      <c r="K125" s="275">
        <f t="shared" si="34"/>
        <v>0.16343487429945502</v>
      </c>
      <c r="L125" s="276">
        <f t="shared" si="35"/>
        <v>497509.67516554508</v>
      </c>
      <c r="M125" s="271">
        <v>1353004.5651655451</v>
      </c>
      <c r="N125" s="93">
        <f t="shared" si="36"/>
        <v>0.25847978008894906</v>
      </c>
      <c r="O125" s="72">
        <f t="shared" si="37"/>
        <v>-2572847.6756749488</v>
      </c>
      <c r="P125" s="74">
        <f t="shared" si="38"/>
        <v>-2049400.7102295498</v>
      </c>
      <c r="Q125" s="289">
        <v>2554283.8705882356</v>
      </c>
      <c r="R125" s="73">
        <f t="shared" si="39"/>
        <v>0.48797376605570814</v>
      </c>
      <c r="S125" s="72">
        <f t="shared" si="40"/>
        <v>-1371568.3702522581</v>
      </c>
      <c r="T125" s="88">
        <f t="shared" si="41"/>
        <v>-848121.40480685933</v>
      </c>
      <c r="U125" s="117" t="s">
        <v>181</v>
      </c>
      <c r="V125" s="10"/>
      <c r="X125" s="288">
        <f t="shared" si="42"/>
        <v>497509.67516554508</v>
      </c>
    </row>
    <row r="126" spans="1:24" s="8" customFormat="1" ht="46.5" x14ac:dyDescent="0.2">
      <c r="A126" s="89">
        <v>83</v>
      </c>
      <c r="B126" s="90" t="s">
        <v>9</v>
      </c>
      <c r="C126" s="71" t="s">
        <v>99</v>
      </c>
      <c r="D126" s="91" t="s">
        <v>139</v>
      </c>
      <c r="E126" s="72">
        <v>23080688</v>
      </c>
      <c r="F126" s="103"/>
      <c r="G126" s="72">
        <v>6069226.416073706</v>
      </c>
      <c r="H126" s="72">
        <v>1219986</v>
      </c>
      <c r="I126" s="92">
        <v>0.75</v>
      </c>
      <c r="J126" s="276">
        <v>3031112.75</v>
      </c>
      <c r="K126" s="275">
        <f t="shared" si="34"/>
        <v>0.4994232447767013</v>
      </c>
      <c r="L126" s="276">
        <f t="shared" si="35"/>
        <v>3361401.4165541288</v>
      </c>
      <c r="M126" s="271">
        <v>6392514.1665541288</v>
      </c>
      <c r="N126" s="73">
        <f t="shared" si="36"/>
        <v>1.0532667144570895</v>
      </c>
      <c r="O126" s="72">
        <f t="shared" si="37"/>
        <v>1840594.3544988493</v>
      </c>
      <c r="P126" s="74">
        <f t="shared" si="38"/>
        <v>2447516.9961062199</v>
      </c>
      <c r="Q126" s="289">
        <v>7522093.4117647065</v>
      </c>
      <c r="R126" s="73">
        <f t="shared" si="39"/>
        <v>1.2393825664244846</v>
      </c>
      <c r="S126" s="72">
        <f t="shared" si="40"/>
        <v>2970173.599709427</v>
      </c>
      <c r="T126" s="88">
        <f t="shared" si="41"/>
        <v>3577096.2413167977</v>
      </c>
      <c r="U126" s="117"/>
      <c r="V126" s="10"/>
      <c r="X126" s="288">
        <f t="shared" si="42"/>
        <v>3361401.4165541288</v>
      </c>
    </row>
    <row r="127" spans="1:24" s="8" customFormat="1" ht="69.75" customHeight="1" x14ac:dyDescent="0.2">
      <c r="A127" s="89">
        <v>91</v>
      </c>
      <c r="B127" s="90" t="s">
        <v>9</v>
      </c>
      <c r="C127" s="71" t="s">
        <v>100</v>
      </c>
      <c r="D127" s="91" t="s">
        <v>139</v>
      </c>
      <c r="E127" s="72">
        <v>6250000</v>
      </c>
      <c r="F127" s="103"/>
      <c r="G127" s="72">
        <v>1227132.3213814246</v>
      </c>
      <c r="H127" s="72">
        <v>0</v>
      </c>
      <c r="I127" s="92">
        <v>0.75</v>
      </c>
      <c r="J127" s="276">
        <v>1271671.9899999998</v>
      </c>
      <c r="K127" s="275">
        <f t="shared" si="34"/>
        <v>1.0362957342435861</v>
      </c>
      <c r="L127" s="276">
        <f t="shared" si="35"/>
        <v>336436.24529411783</v>
      </c>
      <c r="M127" s="271">
        <v>1608108.2352941176</v>
      </c>
      <c r="N127" s="73">
        <f t="shared" si="36"/>
        <v>1.310460336896526</v>
      </c>
      <c r="O127" s="72">
        <f t="shared" si="37"/>
        <v>687758.99425804918</v>
      </c>
      <c r="P127" s="74">
        <f t="shared" si="38"/>
        <v>810472.22639619163</v>
      </c>
      <c r="Q127" s="289">
        <v>1765485.5529411763</v>
      </c>
      <c r="R127" s="73">
        <f t="shared" si="39"/>
        <v>1.4387083790228175</v>
      </c>
      <c r="S127" s="72">
        <f t="shared" si="40"/>
        <v>845136.31190510793</v>
      </c>
      <c r="T127" s="88">
        <f t="shared" si="41"/>
        <v>967849.54404325038</v>
      </c>
      <c r="U127" s="117"/>
      <c r="V127" s="10"/>
      <c r="X127" s="288">
        <f t="shared" si="42"/>
        <v>336436.24529411783</v>
      </c>
    </row>
    <row r="128" spans="1:24" s="8" customFormat="1" ht="93" x14ac:dyDescent="0.2">
      <c r="A128" s="89">
        <v>89</v>
      </c>
      <c r="B128" s="90" t="s">
        <v>9</v>
      </c>
      <c r="C128" s="71" t="s">
        <v>101</v>
      </c>
      <c r="D128" s="91" t="s">
        <v>139</v>
      </c>
      <c r="E128" s="72">
        <v>4814359</v>
      </c>
      <c r="F128" s="103"/>
      <c r="G128" s="72">
        <v>148312.08888524567</v>
      </c>
      <c r="H128" s="72">
        <v>584973</v>
      </c>
      <c r="I128" s="92">
        <v>0.75</v>
      </c>
      <c r="J128" s="276">
        <v>0</v>
      </c>
      <c r="K128" s="275">
        <f t="shared" si="34"/>
        <v>0</v>
      </c>
      <c r="L128" s="276">
        <f t="shared" si="35"/>
        <v>239421.77348190034</v>
      </c>
      <c r="M128" s="271">
        <v>239421.77348190034</v>
      </c>
      <c r="N128" s="73">
        <f t="shared" si="36"/>
        <v>1.6143105749602749</v>
      </c>
      <c r="O128" s="72">
        <f t="shared" si="37"/>
        <v>128187.70681796609</v>
      </c>
      <c r="P128" s="74">
        <f t="shared" si="38"/>
        <v>143018.91570649063</v>
      </c>
      <c r="Q128" s="289">
        <v>239421.76470588235</v>
      </c>
      <c r="R128" s="73">
        <f t="shared" si="39"/>
        <v>1.6143105157876338</v>
      </c>
      <c r="S128" s="72">
        <f t="shared" si="40"/>
        <v>128187.6980419481</v>
      </c>
      <c r="T128" s="88">
        <f t="shared" si="41"/>
        <v>143018.90693047264</v>
      </c>
      <c r="U128" s="117"/>
      <c r="V128" s="10"/>
      <c r="X128" s="288">
        <f t="shared" si="42"/>
        <v>239421.77348190034</v>
      </c>
    </row>
    <row r="129" spans="1:24" s="8" customFormat="1" ht="237" customHeight="1" x14ac:dyDescent="0.2">
      <c r="A129" s="89">
        <v>76</v>
      </c>
      <c r="B129" s="90" t="s">
        <v>9</v>
      </c>
      <c r="C129" s="127" t="s">
        <v>102</v>
      </c>
      <c r="D129" s="91" t="s">
        <v>139</v>
      </c>
      <c r="E129" s="72">
        <v>27034565</v>
      </c>
      <c r="F129" s="103"/>
      <c r="G129" s="72">
        <v>2644848</v>
      </c>
      <c r="H129" s="72">
        <v>1428978.6074669461</v>
      </c>
      <c r="I129" s="92">
        <v>0.75</v>
      </c>
      <c r="J129" s="276">
        <v>715235.29</v>
      </c>
      <c r="K129" s="275">
        <f t="shared" si="34"/>
        <v>0.27042585812114722</v>
      </c>
      <c r="L129" s="276">
        <f t="shared" si="35"/>
        <v>1290112.5200521119</v>
      </c>
      <c r="M129" s="271">
        <v>2005347.810052112</v>
      </c>
      <c r="N129" s="114">
        <f t="shared" si="36"/>
        <v>0.75820909558965655</v>
      </c>
      <c r="O129" s="72">
        <f t="shared" si="37"/>
        <v>21711.810052111978</v>
      </c>
      <c r="P129" s="74">
        <f t="shared" si="38"/>
        <v>286196.61005211202</v>
      </c>
      <c r="Q129" s="289">
        <v>3010460.2941176472</v>
      </c>
      <c r="R129" s="73">
        <f t="shared" si="39"/>
        <v>1.1382356544185706</v>
      </c>
      <c r="S129" s="72">
        <f t="shared" si="40"/>
        <v>1026824.2941176472</v>
      </c>
      <c r="T129" s="88">
        <f t="shared" si="41"/>
        <v>1291309.0941176473</v>
      </c>
      <c r="U129" s="117" t="s">
        <v>178</v>
      </c>
      <c r="X129" s="288">
        <f t="shared" si="42"/>
        <v>1290112.5200521119</v>
      </c>
    </row>
    <row r="130" spans="1:24" s="8" customFormat="1" ht="225.75" customHeight="1" x14ac:dyDescent="0.2">
      <c r="A130" s="89">
        <v>78</v>
      </c>
      <c r="B130" s="90" t="s">
        <v>9</v>
      </c>
      <c r="C130" s="124" t="s">
        <v>103</v>
      </c>
      <c r="D130" s="91" t="s">
        <v>139</v>
      </c>
      <c r="E130" s="72">
        <v>21937153</v>
      </c>
      <c r="F130" s="103"/>
      <c r="G130" s="72">
        <v>3109508</v>
      </c>
      <c r="H130" s="72">
        <v>1159542.3341456992</v>
      </c>
      <c r="I130" s="92">
        <v>0.75</v>
      </c>
      <c r="J130" s="276">
        <v>508119.32999999996</v>
      </c>
      <c r="K130" s="275">
        <f t="shared" si="34"/>
        <v>0.16340827230545796</v>
      </c>
      <c r="L130" s="276">
        <f t="shared" si="35"/>
        <v>555219.68461600377</v>
      </c>
      <c r="M130" s="271">
        <v>1063339.0146160037</v>
      </c>
      <c r="N130" s="93">
        <f t="shared" si="36"/>
        <v>0.34196374944718061</v>
      </c>
      <c r="O130" s="72">
        <f t="shared" si="37"/>
        <v>-1268791.9853839963</v>
      </c>
      <c r="P130" s="74">
        <f t="shared" si="38"/>
        <v>-957841.18538399623</v>
      </c>
      <c r="Q130" s="289">
        <v>1106963.6352941177</v>
      </c>
      <c r="R130" s="73">
        <f t="shared" si="39"/>
        <v>0.35599317811503228</v>
      </c>
      <c r="S130" s="72">
        <f t="shared" si="40"/>
        <v>-1225167.3647058823</v>
      </c>
      <c r="T130" s="88">
        <f t="shared" si="41"/>
        <v>-914216.56470588222</v>
      </c>
      <c r="U130" s="117" t="s">
        <v>182</v>
      </c>
      <c r="X130" s="288">
        <f t="shared" si="42"/>
        <v>555219.68461600377</v>
      </c>
    </row>
    <row r="131" spans="1:24" s="8" customFormat="1" ht="185.25" customHeight="1" x14ac:dyDescent="0.2">
      <c r="A131" s="89">
        <v>80</v>
      </c>
      <c r="B131" s="90" t="s">
        <v>9</v>
      </c>
      <c r="C131" s="127" t="s">
        <v>104</v>
      </c>
      <c r="D131" s="91" t="s">
        <v>139</v>
      </c>
      <c r="E131" s="72">
        <v>12936510</v>
      </c>
      <c r="F131" s="103"/>
      <c r="G131" s="72">
        <v>5102617.7926139049</v>
      </c>
      <c r="H131" s="72">
        <v>683791.11725384148</v>
      </c>
      <c r="I131" s="92">
        <v>0.75</v>
      </c>
      <c r="J131" s="276">
        <v>1450963.67</v>
      </c>
      <c r="K131" s="275">
        <f t="shared" si="34"/>
        <v>0.28435672217117375</v>
      </c>
      <c r="L131" s="276">
        <f t="shared" si="35"/>
        <v>2385328.2573809838</v>
      </c>
      <c r="M131" s="271">
        <v>3836291.9273809837</v>
      </c>
      <c r="N131" s="114">
        <f t="shared" si="36"/>
        <v>0.75182819550663937</v>
      </c>
      <c r="O131" s="72">
        <f t="shared" si="37"/>
        <v>9328.5829205550253</v>
      </c>
      <c r="P131" s="74">
        <f t="shared" si="38"/>
        <v>519590.36218194524</v>
      </c>
      <c r="Q131" s="289">
        <v>4388746.9411764704</v>
      </c>
      <c r="R131" s="73">
        <f t="shared" si="39"/>
        <v>0.86009713436292046</v>
      </c>
      <c r="S131" s="72">
        <f t="shared" si="40"/>
        <v>561783.59671604168</v>
      </c>
      <c r="T131" s="88">
        <f t="shared" si="41"/>
        <v>1072045.3759774319</v>
      </c>
      <c r="U131" s="117" t="s">
        <v>179</v>
      </c>
      <c r="V131" s="10"/>
      <c r="X131" s="288">
        <f t="shared" si="42"/>
        <v>2385328.2573809838</v>
      </c>
    </row>
    <row r="132" spans="1:24" s="8" customFormat="1" ht="69.75" customHeight="1" x14ac:dyDescent="0.2">
      <c r="A132" s="96">
        <v>90</v>
      </c>
      <c r="B132" s="115" t="s">
        <v>9</v>
      </c>
      <c r="C132" s="98" t="s">
        <v>105</v>
      </c>
      <c r="D132" s="99" t="s">
        <v>139</v>
      </c>
      <c r="E132" s="72">
        <v>6490095</v>
      </c>
      <c r="F132" s="103"/>
      <c r="G132" s="72">
        <v>853307.49622665439</v>
      </c>
      <c r="H132" s="72">
        <v>343049.93461007229</v>
      </c>
      <c r="I132" s="100">
        <v>0.75</v>
      </c>
      <c r="J132" s="276">
        <v>1014094.8099999999</v>
      </c>
      <c r="K132" s="275">
        <f t="shared" si="34"/>
        <v>1.1884283385348784</v>
      </c>
      <c r="L132" s="276">
        <f t="shared" si="35"/>
        <v>533685.16513241909</v>
      </c>
      <c r="M132" s="271">
        <v>1547779.975132419</v>
      </c>
      <c r="N132" s="101">
        <f t="shared" si="36"/>
        <v>1.8138595781435627</v>
      </c>
      <c r="O132" s="72">
        <f t="shared" si="37"/>
        <v>907799.35296242824</v>
      </c>
      <c r="P132" s="74">
        <f t="shared" si="38"/>
        <v>993130.1025850937</v>
      </c>
      <c r="Q132" s="289">
        <v>1771633.2117647058</v>
      </c>
      <c r="R132" s="101">
        <f t="shared" si="39"/>
        <v>2.0761955327931716</v>
      </c>
      <c r="S132" s="72">
        <f t="shared" si="40"/>
        <v>1131652.589594715</v>
      </c>
      <c r="T132" s="88">
        <f t="shared" si="41"/>
        <v>1216983.3392173806</v>
      </c>
      <c r="U132" s="118"/>
      <c r="V132" s="10"/>
      <c r="X132" s="288">
        <f t="shared" si="42"/>
        <v>533685.16513241909</v>
      </c>
    </row>
    <row r="133" spans="1:24" s="8" customFormat="1" ht="28.5" x14ac:dyDescent="0.2">
      <c r="A133" s="272" t="s">
        <v>213</v>
      </c>
      <c r="B133" s="273"/>
      <c r="C133" s="273"/>
      <c r="D133" s="273"/>
      <c r="E133" s="273"/>
      <c r="F133" s="273"/>
      <c r="G133" s="273"/>
      <c r="H133" s="273"/>
      <c r="I133" s="273"/>
      <c r="J133" s="273"/>
      <c r="K133" s="275"/>
      <c r="L133" s="276"/>
      <c r="M133" s="273"/>
      <c r="N133" s="273"/>
      <c r="O133" s="273"/>
      <c r="P133" s="273"/>
      <c r="Q133" s="290"/>
      <c r="R133" s="273"/>
      <c r="S133" s="273"/>
      <c r="T133" s="273"/>
      <c r="U133" s="274"/>
      <c r="X133" s="288">
        <f t="shared" si="42"/>
        <v>0</v>
      </c>
    </row>
    <row r="134" spans="1:24" s="8" customFormat="1" ht="93" x14ac:dyDescent="0.2">
      <c r="A134" s="81">
        <v>94</v>
      </c>
      <c r="B134" s="81" t="s">
        <v>6</v>
      </c>
      <c r="C134" s="83" t="s">
        <v>196</v>
      </c>
      <c r="D134" s="84" t="s">
        <v>141</v>
      </c>
      <c r="E134" s="72">
        <v>44441978</v>
      </c>
      <c r="F134" s="103"/>
      <c r="G134" s="72">
        <v>0</v>
      </c>
      <c r="H134" s="72">
        <v>2515517.0000000009</v>
      </c>
      <c r="I134" s="85">
        <v>0.75</v>
      </c>
      <c r="J134" s="276">
        <v>0</v>
      </c>
      <c r="K134" s="275" t="str">
        <f t="shared" si="34"/>
        <v>n/a</v>
      </c>
      <c r="L134" s="276">
        <f t="shared" si="35"/>
        <v>0</v>
      </c>
      <c r="M134" s="271">
        <v>0</v>
      </c>
      <c r="N134" s="86" t="str">
        <f t="shared" si="36"/>
        <v>n/a</v>
      </c>
      <c r="O134" s="72">
        <f t="shared" si="37"/>
        <v>0</v>
      </c>
      <c r="P134" s="74">
        <f t="shared" si="38"/>
        <v>0</v>
      </c>
      <c r="Q134" s="289">
        <v>0</v>
      </c>
      <c r="R134" s="86" t="str">
        <f t="shared" si="39"/>
        <v>n/a</v>
      </c>
      <c r="S134" s="72">
        <f t="shared" si="40"/>
        <v>0</v>
      </c>
      <c r="T134" s="88">
        <f t="shared" si="41"/>
        <v>0</v>
      </c>
      <c r="U134" s="116" t="s">
        <v>241</v>
      </c>
      <c r="X134" s="288">
        <f t="shared" si="42"/>
        <v>0</v>
      </c>
    </row>
    <row r="135" spans="1:24" s="8" customFormat="1" ht="186" x14ac:dyDescent="0.2">
      <c r="A135" s="89">
        <v>95</v>
      </c>
      <c r="B135" s="89" t="s">
        <v>6</v>
      </c>
      <c r="C135" s="71" t="s">
        <v>124</v>
      </c>
      <c r="D135" s="91" t="s">
        <v>141</v>
      </c>
      <c r="E135" s="72">
        <v>4077075</v>
      </c>
      <c r="F135" s="103"/>
      <c r="G135" s="72">
        <v>0</v>
      </c>
      <c r="H135" s="72">
        <v>0</v>
      </c>
      <c r="I135" s="92">
        <v>0.75</v>
      </c>
      <c r="J135" s="276">
        <v>9394.15</v>
      </c>
      <c r="K135" s="275" t="str">
        <f t="shared" si="34"/>
        <v>n/a</v>
      </c>
      <c r="L135" s="276">
        <f t="shared" si="35"/>
        <v>3284.8056851323308</v>
      </c>
      <c r="M135" s="271">
        <v>12678.95568513233</v>
      </c>
      <c r="N135" s="73" t="str">
        <f t="shared" si="36"/>
        <v>n/a</v>
      </c>
      <c r="O135" s="72">
        <f t="shared" si="37"/>
        <v>12678.95568513233</v>
      </c>
      <c r="P135" s="74">
        <f t="shared" si="38"/>
        <v>12678.95568513233</v>
      </c>
      <c r="Q135" s="289">
        <v>18867.75294117647</v>
      </c>
      <c r="R135" s="73" t="str">
        <f t="shared" si="39"/>
        <v>n/a</v>
      </c>
      <c r="S135" s="72">
        <f t="shared" si="40"/>
        <v>18867.75294117647</v>
      </c>
      <c r="T135" s="88">
        <f t="shared" si="41"/>
        <v>18867.75294117647</v>
      </c>
      <c r="U135" s="117" t="s">
        <v>242</v>
      </c>
      <c r="X135" s="288">
        <f t="shared" si="42"/>
        <v>3284.8056851323308</v>
      </c>
    </row>
    <row r="136" spans="1:24" s="8" customFormat="1" ht="93" x14ac:dyDescent="0.2">
      <c r="A136" s="96">
        <v>93</v>
      </c>
      <c r="B136" s="96" t="s">
        <v>6</v>
      </c>
      <c r="C136" s="98" t="s">
        <v>125</v>
      </c>
      <c r="D136" s="99" t="s">
        <v>142</v>
      </c>
      <c r="E136" s="72">
        <v>194364718</v>
      </c>
      <c r="F136" s="103"/>
      <c r="G136" s="72">
        <v>7796118</v>
      </c>
      <c r="H136" s="72">
        <v>9279588</v>
      </c>
      <c r="I136" s="100">
        <v>0.75</v>
      </c>
      <c r="J136" s="276">
        <v>8113584.3099999996</v>
      </c>
      <c r="K136" s="275">
        <f t="shared" si="34"/>
        <v>1.0407210755404164</v>
      </c>
      <c r="L136" s="276">
        <f t="shared" si="35"/>
        <v>4785389.4509388944</v>
      </c>
      <c r="M136" s="271">
        <v>12898973.760938894</v>
      </c>
      <c r="N136" s="101">
        <f t="shared" si="36"/>
        <v>1.6545380355888526</v>
      </c>
      <c r="O136" s="72">
        <f t="shared" si="37"/>
        <v>7051885.260938894</v>
      </c>
      <c r="P136" s="74">
        <f t="shared" si="38"/>
        <v>7831497.0609388938</v>
      </c>
      <c r="Q136" s="289">
        <v>22056311.681176469</v>
      </c>
      <c r="R136" s="101">
        <f t="shared" si="39"/>
        <v>2.8291403081862625</v>
      </c>
      <c r="S136" s="72">
        <f t="shared" si="40"/>
        <v>16209223.181176469</v>
      </c>
      <c r="T136" s="88">
        <f t="shared" si="41"/>
        <v>16988834.981176469</v>
      </c>
      <c r="U136" s="118" t="s">
        <v>255</v>
      </c>
      <c r="X136" s="288">
        <f t="shared" si="42"/>
        <v>4785389.4509388944</v>
      </c>
    </row>
    <row r="137" spans="1:24" s="8" customFormat="1" ht="28.5" x14ac:dyDescent="0.2">
      <c r="A137" s="272" t="s">
        <v>214</v>
      </c>
      <c r="B137" s="273"/>
      <c r="C137" s="273"/>
      <c r="D137" s="273"/>
      <c r="E137" s="273"/>
      <c r="F137" s="273"/>
      <c r="G137" s="273"/>
      <c r="H137" s="273"/>
      <c r="I137" s="273"/>
      <c r="J137" s="273"/>
      <c r="K137" s="275"/>
      <c r="L137" s="276"/>
      <c r="M137" s="273"/>
      <c r="N137" s="273"/>
      <c r="O137" s="273"/>
      <c r="P137" s="273"/>
      <c r="Q137" s="290"/>
      <c r="R137" s="273"/>
      <c r="S137" s="273"/>
      <c r="T137" s="273"/>
      <c r="U137" s="274"/>
      <c r="X137" s="288">
        <f t="shared" si="42"/>
        <v>0</v>
      </c>
    </row>
    <row r="138" spans="1:24" s="8" customFormat="1" ht="69.75" x14ac:dyDescent="0.2">
      <c r="A138" s="81">
        <v>114</v>
      </c>
      <c r="B138" s="81" t="s">
        <v>6</v>
      </c>
      <c r="C138" s="83" t="s">
        <v>106</v>
      </c>
      <c r="D138" s="84" t="s">
        <v>137</v>
      </c>
      <c r="E138" s="72">
        <v>37218825</v>
      </c>
      <c r="F138" s="103"/>
      <c r="G138" s="72">
        <v>9364450</v>
      </c>
      <c r="H138" s="72">
        <v>1186027.0906275464</v>
      </c>
      <c r="I138" s="85">
        <v>0.75</v>
      </c>
      <c r="J138" s="287">
        <v>17956701.140000001</v>
      </c>
      <c r="K138" s="275">
        <f t="shared" si="34"/>
        <v>1.9175393258546951</v>
      </c>
      <c r="L138" s="276">
        <f t="shared" si="35"/>
        <v>1429931.1178430133</v>
      </c>
      <c r="M138" s="287">
        <v>19386632.257843014</v>
      </c>
      <c r="N138" s="86">
        <f t="shared" si="36"/>
        <v>2.0702371477068073</v>
      </c>
      <c r="O138" s="72">
        <f t="shared" si="37"/>
        <v>12363294.757843014</v>
      </c>
      <c r="P138" s="74">
        <f t="shared" si="38"/>
        <v>13299739.757843014</v>
      </c>
      <c r="Q138" s="289">
        <v>21404887.252002299</v>
      </c>
      <c r="R138" s="86">
        <f t="shared" si="39"/>
        <v>2.285760215709657</v>
      </c>
      <c r="S138" s="72">
        <f t="shared" si="40"/>
        <v>14381549.752002299</v>
      </c>
      <c r="T138" s="88">
        <f t="shared" si="41"/>
        <v>15317994.752002299</v>
      </c>
      <c r="U138" s="116"/>
      <c r="X138" s="288">
        <f t="shared" si="42"/>
        <v>1429931.1178430133</v>
      </c>
    </row>
    <row r="139" spans="1:24" s="8" customFormat="1" ht="69.75" x14ac:dyDescent="0.2">
      <c r="A139" s="89">
        <v>100</v>
      </c>
      <c r="B139" s="89" t="s">
        <v>6</v>
      </c>
      <c r="C139" s="71" t="s">
        <v>107</v>
      </c>
      <c r="D139" s="91" t="s">
        <v>137</v>
      </c>
      <c r="E139" s="72">
        <v>32030112</v>
      </c>
      <c r="F139" s="103"/>
      <c r="G139" s="72">
        <v>11896693</v>
      </c>
      <c r="H139" s="72">
        <v>0</v>
      </c>
      <c r="I139" s="92">
        <v>0.75</v>
      </c>
      <c r="J139" s="276">
        <v>6651176.3300000001</v>
      </c>
      <c r="K139" s="275">
        <f t="shared" si="34"/>
        <v>0.55907774790859943</v>
      </c>
      <c r="L139" s="276">
        <f t="shared" si="35"/>
        <v>3239499.3661865965</v>
      </c>
      <c r="M139" s="271">
        <v>9890675.6961865965</v>
      </c>
      <c r="N139" s="73">
        <f t="shared" si="36"/>
        <v>0.83138025804201188</v>
      </c>
      <c r="O139" s="72">
        <f t="shared" si="37"/>
        <v>968155.94618659653</v>
      </c>
      <c r="P139" s="74">
        <f t="shared" si="38"/>
        <v>2157825.2461865963</v>
      </c>
      <c r="Q139" s="289">
        <v>11595936.45882353</v>
      </c>
      <c r="R139" s="73">
        <f t="shared" si="39"/>
        <v>0.97471931559665614</v>
      </c>
      <c r="S139" s="72">
        <f t="shared" si="40"/>
        <v>2673416.70882353</v>
      </c>
      <c r="T139" s="88">
        <f t="shared" si="41"/>
        <v>3863086.0088235298</v>
      </c>
      <c r="U139" s="117"/>
      <c r="X139" s="288">
        <f t="shared" si="42"/>
        <v>3239499.3661865965</v>
      </c>
    </row>
    <row r="140" spans="1:24" s="8" customFormat="1" ht="93" x14ac:dyDescent="0.2">
      <c r="A140" s="89">
        <v>97</v>
      </c>
      <c r="B140" s="89" t="s">
        <v>6</v>
      </c>
      <c r="C140" s="71" t="s">
        <v>108</v>
      </c>
      <c r="D140" s="91" t="s">
        <v>137</v>
      </c>
      <c r="E140" s="72">
        <v>19920206</v>
      </c>
      <c r="F140" s="103"/>
      <c r="G140" s="72">
        <v>1114247</v>
      </c>
      <c r="H140" s="72">
        <v>4250000.0000000037</v>
      </c>
      <c r="I140" s="92">
        <v>0.75</v>
      </c>
      <c r="J140" s="276">
        <v>678537.82</v>
      </c>
      <c r="K140" s="275">
        <f t="shared" si="34"/>
        <v>0.60896535507836225</v>
      </c>
      <c r="L140" s="276">
        <f t="shared" si="35"/>
        <v>466241.13970214443</v>
      </c>
      <c r="M140" s="271">
        <v>1144778.9597021444</v>
      </c>
      <c r="N140" s="73">
        <f t="shared" si="36"/>
        <v>1.027401428679767</v>
      </c>
      <c r="O140" s="72">
        <f t="shared" si="37"/>
        <v>309093.70970214438</v>
      </c>
      <c r="P140" s="74">
        <f t="shared" si="38"/>
        <v>420518.40970214433</v>
      </c>
      <c r="Q140" s="289">
        <v>1407399.3529411764</v>
      </c>
      <c r="R140" s="73">
        <f t="shared" si="39"/>
        <v>1.2630945857975624</v>
      </c>
      <c r="S140" s="72">
        <f t="shared" si="40"/>
        <v>571714.10294117639</v>
      </c>
      <c r="T140" s="88">
        <f t="shared" si="41"/>
        <v>683138.80294117634</v>
      </c>
      <c r="U140" s="117" t="s">
        <v>237</v>
      </c>
      <c r="X140" s="288">
        <f t="shared" si="42"/>
        <v>466241.13970214443</v>
      </c>
    </row>
    <row r="141" spans="1:24" s="8" customFormat="1" ht="93" x14ac:dyDescent="0.2">
      <c r="A141" s="89">
        <v>112</v>
      </c>
      <c r="B141" s="89" t="s">
        <v>6</v>
      </c>
      <c r="C141" s="71" t="s">
        <v>109</v>
      </c>
      <c r="D141" s="91" t="s">
        <v>130</v>
      </c>
      <c r="E141" s="72">
        <v>5175000</v>
      </c>
      <c r="F141" s="103"/>
      <c r="G141" s="72">
        <v>469779</v>
      </c>
      <c r="H141" s="72">
        <v>273537</v>
      </c>
      <c r="I141" s="92">
        <v>0.75</v>
      </c>
      <c r="J141" s="276">
        <v>340501.33999999997</v>
      </c>
      <c r="K141" s="275">
        <f t="shared" si="34"/>
        <v>0.72481175190887626</v>
      </c>
      <c r="L141" s="276">
        <f t="shared" si="35"/>
        <v>401044.9070588235</v>
      </c>
      <c r="M141" s="271">
        <v>741546.24705882347</v>
      </c>
      <c r="N141" s="73">
        <f t="shared" si="36"/>
        <v>1.5785002034122928</v>
      </c>
      <c r="O141" s="72">
        <f t="shared" si="37"/>
        <v>389211.99705882347</v>
      </c>
      <c r="P141" s="74">
        <f t="shared" si="38"/>
        <v>436189.89705882344</v>
      </c>
      <c r="Q141" s="289">
        <v>841546.24705882347</v>
      </c>
      <c r="R141" s="73">
        <f t="shared" si="39"/>
        <v>1.7913662531931471</v>
      </c>
      <c r="S141" s="72">
        <f t="shared" si="40"/>
        <v>489211.99705882347</v>
      </c>
      <c r="T141" s="88">
        <f t="shared" si="41"/>
        <v>536189.89705882338</v>
      </c>
      <c r="U141" s="117"/>
      <c r="X141" s="288">
        <f t="shared" si="42"/>
        <v>401044.9070588235</v>
      </c>
    </row>
    <row r="142" spans="1:24" s="8" customFormat="1" ht="116.25" x14ac:dyDescent="0.2">
      <c r="A142" s="89">
        <v>106</v>
      </c>
      <c r="B142" s="89" t="s">
        <v>6</v>
      </c>
      <c r="C142" s="124" t="s">
        <v>110</v>
      </c>
      <c r="D142" s="91" t="s">
        <v>130</v>
      </c>
      <c r="E142" s="72">
        <v>4232693</v>
      </c>
      <c r="F142" s="103"/>
      <c r="G142" s="72">
        <v>1411759</v>
      </c>
      <c r="H142" s="72">
        <v>223729</v>
      </c>
      <c r="I142" s="92">
        <v>0.75</v>
      </c>
      <c r="J142" s="276">
        <v>495723.88</v>
      </c>
      <c r="K142" s="275">
        <f t="shared" si="34"/>
        <v>0.35113916752080204</v>
      </c>
      <c r="L142" s="276">
        <f t="shared" si="35"/>
        <v>207010.03564854409</v>
      </c>
      <c r="M142" s="271">
        <v>702733.91564854409</v>
      </c>
      <c r="N142" s="93">
        <f t="shared" si="36"/>
        <v>0.49777186874568824</v>
      </c>
      <c r="O142" s="72">
        <f t="shared" si="37"/>
        <v>-356085.33435145591</v>
      </c>
      <c r="P142" s="74">
        <f t="shared" si="38"/>
        <v>-214909.43435145589</v>
      </c>
      <c r="Q142" s="289">
        <v>843720.55294117634</v>
      </c>
      <c r="R142" s="73">
        <f t="shared" si="39"/>
        <v>0.59763780711947034</v>
      </c>
      <c r="S142" s="72">
        <f t="shared" si="40"/>
        <v>-215098.69705882366</v>
      </c>
      <c r="T142" s="88">
        <f t="shared" si="41"/>
        <v>-73922.797058823635</v>
      </c>
      <c r="U142" s="117" t="s">
        <v>250</v>
      </c>
      <c r="X142" s="288">
        <f t="shared" si="42"/>
        <v>207010.03564854409</v>
      </c>
    </row>
    <row r="143" spans="1:24" s="8" customFormat="1" ht="69.75" x14ac:dyDescent="0.2">
      <c r="A143" s="89">
        <v>110</v>
      </c>
      <c r="B143" s="89" t="s">
        <v>6</v>
      </c>
      <c r="C143" s="71" t="s">
        <v>111</v>
      </c>
      <c r="D143" s="91" t="s">
        <v>137</v>
      </c>
      <c r="E143" s="72">
        <v>1252128</v>
      </c>
      <c r="F143" s="103"/>
      <c r="G143" s="72">
        <v>545837</v>
      </c>
      <c r="H143" s="72">
        <v>0</v>
      </c>
      <c r="I143" s="92">
        <v>0.75</v>
      </c>
      <c r="J143" s="276">
        <v>449255.45</v>
      </c>
      <c r="K143" s="275">
        <f t="shared" si="34"/>
        <v>0.82305789090882442</v>
      </c>
      <c r="L143" s="276">
        <f t="shared" si="35"/>
        <v>189683.38320692879</v>
      </c>
      <c r="M143" s="271">
        <v>638938.8332069288</v>
      </c>
      <c r="N143" s="73">
        <f t="shared" si="36"/>
        <v>1.1705670982489806</v>
      </c>
      <c r="O143" s="72">
        <f t="shared" si="37"/>
        <v>229561.0832069288</v>
      </c>
      <c r="P143" s="74">
        <f t="shared" si="38"/>
        <v>284144.78320692881</v>
      </c>
      <c r="Q143" s="289">
        <v>719216.011764706</v>
      </c>
      <c r="R143" s="73">
        <f t="shared" si="39"/>
        <v>1.3176388038273441</v>
      </c>
      <c r="S143" s="72">
        <f t="shared" si="40"/>
        <v>309838.261764706</v>
      </c>
      <c r="T143" s="88">
        <f t="shared" si="41"/>
        <v>364421.96176470601</v>
      </c>
      <c r="U143" s="117"/>
      <c r="X143" s="288">
        <f t="shared" si="42"/>
        <v>189683.38320692879</v>
      </c>
    </row>
    <row r="144" spans="1:24" s="8" customFormat="1" ht="168" customHeight="1" x14ac:dyDescent="0.2">
      <c r="A144" s="89">
        <v>107</v>
      </c>
      <c r="B144" s="89" t="s">
        <v>6</v>
      </c>
      <c r="C144" s="124" t="s">
        <v>112</v>
      </c>
      <c r="D144" s="91" t="s">
        <v>137</v>
      </c>
      <c r="E144" s="72">
        <v>1323271</v>
      </c>
      <c r="F144" s="103"/>
      <c r="G144" s="72">
        <v>436679</v>
      </c>
      <c r="H144" s="72">
        <v>0</v>
      </c>
      <c r="I144" s="92">
        <v>0.75</v>
      </c>
      <c r="J144" s="276">
        <v>116025.58000000002</v>
      </c>
      <c r="K144" s="275">
        <f t="shared" si="34"/>
        <v>0.26569993061264685</v>
      </c>
      <c r="L144" s="276">
        <f t="shared" si="35"/>
        <v>32636.842730151635</v>
      </c>
      <c r="M144" s="271">
        <v>148662.42273015165</v>
      </c>
      <c r="N144" s="93">
        <f t="shared" si="36"/>
        <v>0.34043868088493301</v>
      </c>
      <c r="O144" s="72">
        <f t="shared" si="37"/>
        <v>-178846.82726984835</v>
      </c>
      <c r="P144" s="74">
        <f t="shared" si="38"/>
        <v>-135178.92726984838</v>
      </c>
      <c r="Q144" s="289">
        <v>302319.85764705885</v>
      </c>
      <c r="R144" s="73">
        <f t="shared" si="39"/>
        <v>0.69231599790019405</v>
      </c>
      <c r="S144" s="72">
        <f t="shared" si="40"/>
        <v>-25189.392352941155</v>
      </c>
      <c r="T144" s="88">
        <f t="shared" si="41"/>
        <v>18478.50764705881</v>
      </c>
      <c r="U144" s="117" t="s">
        <v>238</v>
      </c>
      <c r="X144" s="288">
        <f t="shared" si="42"/>
        <v>32636.842730151635</v>
      </c>
    </row>
    <row r="145" spans="1:24" s="8" customFormat="1" ht="93" x14ac:dyDescent="0.2">
      <c r="A145" s="89">
        <v>109</v>
      </c>
      <c r="B145" s="89" t="s">
        <v>6</v>
      </c>
      <c r="C145" s="71" t="s">
        <v>113</v>
      </c>
      <c r="D145" s="91" t="s">
        <v>137</v>
      </c>
      <c r="E145" s="72">
        <v>318055</v>
      </c>
      <c r="F145" s="103"/>
      <c r="G145" s="72">
        <v>95417</v>
      </c>
      <c r="H145" s="72">
        <v>0</v>
      </c>
      <c r="I145" s="92">
        <v>0.75</v>
      </c>
      <c r="J145" s="276">
        <v>133513.73000000001</v>
      </c>
      <c r="K145" s="275">
        <f t="shared" si="34"/>
        <v>1.3992656444868317</v>
      </c>
      <c r="L145" s="276">
        <f t="shared" si="35"/>
        <v>24139.825011910638</v>
      </c>
      <c r="M145" s="271">
        <v>157653.55501191065</v>
      </c>
      <c r="N145" s="73">
        <f t="shared" si="36"/>
        <v>1.6522585599202517</v>
      </c>
      <c r="O145" s="72">
        <f t="shared" si="37"/>
        <v>86090.805011910648</v>
      </c>
      <c r="P145" s="74">
        <f t="shared" si="38"/>
        <v>95632.505011910645</v>
      </c>
      <c r="Q145" s="289">
        <v>202425.84705882354</v>
      </c>
      <c r="R145" s="73">
        <f t="shared" si="39"/>
        <v>2.1214861823241513</v>
      </c>
      <c r="S145" s="72">
        <f t="shared" si="40"/>
        <v>130863.09705882354</v>
      </c>
      <c r="T145" s="88">
        <f t="shared" si="41"/>
        <v>140404.79705882352</v>
      </c>
      <c r="U145" s="117"/>
      <c r="X145" s="288">
        <f t="shared" si="42"/>
        <v>24139.825011910638</v>
      </c>
    </row>
    <row r="146" spans="1:24" s="8" customFormat="1" ht="93" x14ac:dyDescent="0.2">
      <c r="A146" s="89">
        <v>103</v>
      </c>
      <c r="B146" s="89" t="s">
        <v>6</v>
      </c>
      <c r="C146" s="121" t="s">
        <v>114</v>
      </c>
      <c r="D146" s="91" t="s">
        <v>137</v>
      </c>
      <c r="E146" s="72">
        <v>6813045</v>
      </c>
      <c r="F146" s="103"/>
      <c r="G146" s="72">
        <v>1433396</v>
      </c>
      <c r="H146" s="72">
        <v>0</v>
      </c>
      <c r="I146" s="92">
        <v>0.75</v>
      </c>
      <c r="J146" s="276">
        <v>766918.64000000013</v>
      </c>
      <c r="K146" s="275">
        <f t="shared" si="34"/>
        <v>0.5350361240020205</v>
      </c>
      <c r="L146" s="276">
        <f t="shared" si="35"/>
        <v>239648.32110033196</v>
      </c>
      <c r="M146" s="271">
        <v>1006566.9611003321</v>
      </c>
      <c r="N146" s="114">
        <f t="shared" si="36"/>
        <v>0.70222531742821392</v>
      </c>
      <c r="O146" s="72">
        <f t="shared" si="37"/>
        <v>-68480.03889966791</v>
      </c>
      <c r="P146" s="74">
        <f t="shared" si="38"/>
        <v>74859.561100332066</v>
      </c>
      <c r="Q146" s="289">
        <v>1168398.3882352943</v>
      </c>
      <c r="R146" s="73">
        <f t="shared" si="39"/>
        <v>0.81512602814246327</v>
      </c>
      <c r="S146" s="72">
        <f t="shared" si="40"/>
        <v>93351.38823529426</v>
      </c>
      <c r="T146" s="88">
        <f t="shared" si="41"/>
        <v>236690.98823529424</v>
      </c>
      <c r="U146" s="117" t="s">
        <v>239</v>
      </c>
      <c r="X146" s="288">
        <f t="shared" si="42"/>
        <v>239648.32110033196</v>
      </c>
    </row>
    <row r="147" spans="1:24" s="8" customFormat="1" ht="186" x14ac:dyDescent="0.2">
      <c r="A147" s="89">
        <v>104</v>
      </c>
      <c r="B147" s="89" t="s">
        <v>6</v>
      </c>
      <c r="C147" s="124" t="s">
        <v>115</v>
      </c>
      <c r="D147" s="91" t="s">
        <v>137</v>
      </c>
      <c r="E147" s="72">
        <v>8526615</v>
      </c>
      <c r="F147" s="103"/>
      <c r="G147" s="72">
        <v>2038176</v>
      </c>
      <c r="H147" s="72">
        <v>0</v>
      </c>
      <c r="I147" s="92">
        <v>0.75</v>
      </c>
      <c r="J147" s="276">
        <v>990006.30999999982</v>
      </c>
      <c r="K147" s="275">
        <f t="shared" si="34"/>
        <v>0.48573151190083674</v>
      </c>
      <c r="L147" s="276">
        <f t="shared" si="35"/>
        <v>52068.444895019406</v>
      </c>
      <c r="M147" s="271">
        <v>1042074.7548950192</v>
      </c>
      <c r="N147" s="93">
        <f t="shared" si="36"/>
        <v>0.51127810105457983</v>
      </c>
      <c r="O147" s="72">
        <f t="shared" si="37"/>
        <v>-486557.24510498077</v>
      </c>
      <c r="P147" s="74">
        <f t="shared" si="38"/>
        <v>-282739.64510498091</v>
      </c>
      <c r="Q147" s="289">
        <v>1103991.0352941176</v>
      </c>
      <c r="R147" s="73">
        <f t="shared" si="39"/>
        <v>0.54165638065315147</v>
      </c>
      <c r="S147" s="72">
        <f t="shared" si="40"/>
        <v>-424640.96470588236</v>
      </c>
      <c r="T147" s="88">
        <f t="shared" si="41"/>
        <v>-220823.3647058825</v>
      </c>
      <c r="U147" s="117" t="s">
        <v>240</v>
      </c>
      <c r="X147" s="288">
        <f t="shared" si="42"/>
        <v>52068.444895019406</v>
      </c>
    </row>
    <row r="148" spans="1:24" s="8" customFormat="1" ht="93" x14ac:dyDescent="0.2">
      <c r="A148" s="89">
        <v>111</v>
      </c>
      <c r="B148" s="89" t="s">
        <v>6</v>
      </c>
      <c r="C148" s="71" t="s">
        <v>116</v>
      </c>
      <c r="D148" s="91" t="s">
        <v>137</v>
      </c>
      <c r="E148" s="72">
        <v>1079960</v>
      </c>
      <c r="F148" s="103"/>
      <c r="G148" s="72">
        <v>269990</v>
      </c>
      <c r="H148" s="72">
        <v>0</v>
      </c>
      <c r="I148" s="92">
        <v>0.75</v>
      </c>
      <c r="J148" s="276">
        <v>366915.57</v>
      </c>
      <c r="K148" s="275">
        <f t="shared" si="34"/>
        <v>1.3589968887736583</v>
      </c>
      <c r="L148" s="276">
        <f t="shared" si="35"/>
        <v>48874.994705882331</v>
      </c>
      <c r="M148" s="271">
        <v>415790.56470588234</v>
      </c>
      <c r="N148" s="73">
        <f t="shared" si="36"/>
        <v>1.540022092321502</v>
      </c>
      <c r="O148" s="72">
        <f t="shared" si="37"/>
        <v>213298.06470588234</v>
      </c>
      <c r="P148" s="74">
        <f t="shared" si="38"/>
        <v>240297.06470588234</v>
      </c>
      <c r="Q148" s="289">
        <v>422165.56470588234</v>
      </c>
      <c r="R148" s="73">
        <f t="shared" si="39"/>
        <v>1.5636340779505995</v>
      </c>
      <c r="S148" s="72">
        <f t="shared" si="40"/>
        <v>219673.06470588234</v>
      </c>
      <c r="T148" s="88">
        <f t="shared" si="41"/>
        <v>246672.06470588234</v>
      </c>
      <c r="U148" s="117"/>
      <c r="X148" s="288">
        <f t="shared" si="42"/>
        <v>48874.994705882331</v>
      </c>
    </row>
    <row r="149" spans="1:24" s="8" customFormat="1" ht="126" customHeight="1" x14ac:dyDescent="0.2">
      <c r="A149" s="89">
        <v>113</v>
      </c>
      <c r="B149" s="89" t="s">
        <v>6</v>
      </c>
      <c r="C149" s="71" t="s">
        <v>117</v>
      </c>
      <c r="D149" s="91" t="s">
        <v>137</v>
      </c>
      <c r="E149" s="72">
        <v>2347738</v>
      </c>
      <c r="F149" s="103"/>
      <c r="G149" s="72">
        <v>586934</v>
      </c>
      <c r="H149" s="72">
        <v>0</v>
      </c>
      <c r="I149" s="92">
        <v>0.75</v>
      </c>
      <c r="J149" s="276">
        <v>786584.85999999987</v>
      </c>
      <c r="K149" s="275">
        <f t="shared" si="34"/>
        <v>1.3401589616549729</v>
      </c>
      <c r="L149" s="276">
        <f t="shared" si="35"/>
        <v>265049.90470588254</v>
      </c>
      <c r="M149" s="271">
        <v>1051634.7647058824</v>
      </c>
      <c r="N149" s="73">
        <f t="shared" si="36"/>
        <v>1.7917427934075763</v>
      </c>
      <c r="O149" s="72">
        <f t="shared" si="37"/>
        <v>611434.26470588241</v>
      </c>
      <c r="P149" s="74">
        <f t="shared" si="38"/>
        <v>670127.66470588231</v>
      </c>
      <c r="Q149" s="289">
        <v>1051634.7647058824</v>
      </c>
      <c r="R149" s="73">
        <f t="shared" si="39"/>
        <v>1.7917427934075763</v>
      </c>
      <c r="S149" s="72">
        <f t="shared" si="40"/>
        <v>611434.26470588241</v>
      </c>
      <c r="T149" s="88">
        <f t="shared" si="41"/>
        <v>670127.66470588231</v>
      </c>
      <c r="U149" s="117"/>
      <c r="X149" s="288">
        <f t="shared" si="42"/>
        <v>265049.90470588254</v>
      </c>
    </row>
    <row r="150" spans="1:24" s="11" customFormat="1" ht="176.25" customHeight="1" x14ac:dyDescent="0.2">
      <c r="A150" s="89">
        <v>96</v>
      </c>
      <c r="B150" s="89" t="s">
        <v>6</v>
      </c>
      <c r="C150" s="124" t="s">
        <v>197</v>
      </c>
      <c r="D150" s="91" t="s">
        <v>137</v>
      </c>
      <c r="E150" s="72">
        <v>47209260</v>
      </c>
      <c r="F150" s="103"/>
      <c r="G150" s="72">
        <v>6592644</v>
      </c>
      <c r="H150" s="72">
        <v>3167386.9999999981</v>
      </c>
      <c r="I150" s="92">
        <v>0.75</v>
      </c>
      <c r="J150" s="276">
        <v>3046830.4500000007</v>
      </c>
      <c r="K150" s="275">
        <f t="shared" si="34"/>
        <v>0.46215607122119756</v>
      </c>
      <c r="L150" s="276">
        <f t="shared" si="35"/>
        <v>818705.50294117536</v>
      </c>
      <c r="M150" s="271">
        <v>3865535.952941176</v>
      </c>
      <c r="N150" s="93">
        <f t="shared" si="36"/>
        <v>0.58634076903609178</v>
      </c>
      <c r="O150" s="72">
        <f t="shared" si="37"/>
        <v>-1078947.047058824</v>
      </c>
      <c r="P150" s="74">
        <f t="shared" si="38"/>
        <v>-419682.64705882454</v>
      </c>
      <c r="Q150" s="289">
        <v>4045078.3294117646</v>
      </c>
      <c r="R150" s="73">
        <f t="shared" si="39"/>
        <v>0.61357451265558471</v>
      </c>
      <c r="S150" s="72">
        <f t="shared" si="40"/>
        <v>-899404.67058823537</v>
      </c>
      <c r="T150" s="88">
        <f t="shared" si="41"/>
        <v>-240140.27058823593</v>
      </c>
      <c r="U150" s="117" t="s">
        <v>234</v>
      </c>
      <c r="X150" s="288">
        <f t="shared" si="42"/>
        <v>818705.50294117536</v>
      </c>
    </row>
    <row r="151" spans="1:24" s="11" customFormat="1" ht="69.75" x14ac:dyDescent="0.2">
      <c r="A151" s="89">
        <v>108</v>
      </c>
      <c r="B151" s="89" t="s">
        <v>6</v>
      </c>
      <c r="C151" s="71" t="s">
        <v>118</v>
      </c>
      <c r="D151" s="91" t="s">
        <v>137</v>
      </c>
      <c r="E151" s="72">
        <v>4727073</v>
      </c>
      <c r="F151" s="103"/>
      <c r="G151" s="72">
        <v>350658</v>
      </c>
      <c r="H151" s="72">
        <v>0</v>
      </c>
      <c r="I151" s="92">
        <v>0.75</v>
      </c>
      <c r="J151" s="276">
        <v>431482.83999999997</v>
      </c>
      <c r="K151" s="275">
        <f t="shared" si="34"/>
        <v>1.2304947840916221</v>
      </c>
      <c r="L151" s="276">
        <f t="shared" si="35"/>
        <v>214330.41509530088</v>
      </c>
      <c r="M151" s="271">
        <v>645813.25509530085</v>
      </c>
      <c r="N151" s="73">
        <f t="shared" si="36"/>
        <v>1.8417182984426446</v>
      </c>
      <c r="O151" s="72">
        <f t="shared" si="37"/>
        <v>382819.75509530085</v>
      </c>
      <c r="P151" s="74">
        <f t="shared" si="38"/>
        <v>417885.55509530084</v>
      </c>
      <c r="Q151" s="289">
        <v>841731.71764705889</v>
      </c>
      <c r="R151" s="73">
        <f t="shared" si="39"/>
        <v>2.400434947005512</v>
      </c>
      <c r="S151" s="72">
        <f t="shared" si="40"/>
        <v>578738.21764705889</v>
      </c>
      <c r="T151" s="88">
        <f t="shared" si="41"/>
        <v>613804.01764705894</v>
      </c>
      <c r="U151" s="117"/>
      <c r="X151" s="288">
        <f t="shared" si="42"/>
        <v>214330.41509530088</v>
      </c>
    </row>
    <row r="152" spans="1:24" s="8" customFormat="1" ht="93" x14ac:dyDescent="0.2">
      <c r="A152" s="89">
        <v>102</v>
      </c>
      <c r="B152" s="89" t="s">
        <v>6</v>
      </c>
      <c r="C152" s="71" t="s">
        <v>119</v>
      </c>
      <c r="D152" s="91" t="s">
        <v>140</v>
      </c>
      <c r="E152" s="72">
        <v>4609777</v>
      </c>
      <c r="F152" s="103"/>
      <c r="G152" s="72">
        <v>1324950</v>
      </c>
      <c r="H152" s="72">
        <v>0</v>
      </c>
      <c r="I152" s="92">
        <v>0.75</v>
      </c>
      <c r="J152" s="276">
        <v>1725191.17</v>
      </c>
      <c r="K152" s="275">
        <f t="shared" si="34"/>
        <v>1.3020802068002566</v>
      </c>
      <c r="L152" s="276">
        <f t="shared" si="35"/>
        <v>199591.21823529457</v>
      </c>
      <c r="M152" s="271">
        <v>1924782.3882352945</v>
      </c>
      <c r="N152" s="73">
        <f t="shared" si="36"/>
        <v>1.4527207730369407</v>
      </c>
      <c r="O152" s="72">
        <f t="shared" si="37"/>
        <v>931069.88823529449</v>
      </c>
      <c r="P152" s="74">
        <f t="shared" si="38"/>
        <v>1063564.8882352945</v>
      </c>
      <c r="Q152" s="289">
        <v>1924782.3882352945</v>
      </c>
      <c r="R152" s="73">
        <f t="shared" si="39"/>
        <v>1.4527207730369407</v>
      </c>
      <c r="S152" s="72">
        <f t="shared" si="40"/>
        <v>931069.88823529449</v>
      </c>
      <c r="T152" s="88">
        <f t="shared" si="41"/>
        <v>1063564.8882352945</v>
      </c>
      <c r="U152" s="117"/>
      <c r="X152" s="288">
        <f t="shared" si="42"/>
        <v>199591.21823529457</v>
      </c>
    </row>
    <row r="153" spans="1:24" s="8" customFormat="1" ht="116.25" x14ac:dyDescent="0.2">
      <c r="A153" s="89">
        <v>101</v>
      </c>
      <c r="B153" s="89" t="s">
        <v>6</v>
      </c>
      <c r="C153" s="124" t="s">
        <v>120</v>
      </c>
      <c r="D153" s="91" t="s">
        <v>140</v>
      </c>
      <c r="E153" s="72">
        <v>16692798</v>
      </c>
      <c r="F153" s="103"/>
      <c r="G153" s="72">
        <v>2851654</v>
      </c>
      <c r="H153" s="72">
        <v>0</v>
      </c>
      <c r="I153" s="92">
        <v>0.75</v>
      </c>
      <c r="J153" s="276">
        <v>207565.54</v>
      </c>
      <c r="K153" s="275">
        <f t="shared" si="34"/>
        <v>7.2787771587997707E-2</v>
      </c>
      <c r="L153" s="276">
        <f t="shared" si="35"/>
        <v>415248.73199189105</v>
      </c>
      <c r="M153" s="271">
        <v>622814.27199189109</v>
      </c>
      <c r="N153" s="93">
        <f t="shared" si="36"/>
        <v>0.21840457222085535</v>
      </c>
      <c r="O153" s="72">
        <f t="shared" si="37"/>
        <v>-1515926.2280081089</v>
      </c>
      <c r="P153" s="74">
        <f t="shared" si="38"/>
        <v>-1230760.828008109</v>
      </c>
      <c r="Q153" s="289">
        <v>1448638.1058823531</v>
      </c>
      <c r="R153" s="73">
        <f t="shared" si="39"/>
        <v>0.5079992544265024</v>
      </c>
      <c r="S153" s="72">
        <f t="shared" si="40"/>
        <v>-690102.39411764685</v>
      </c>
      <c r="T153" s="88">
        <f t="shared" si="41"/>
        <v>-404936.99411764694</v>
      </c>
      <c r="U153" s="117" t="s">
        <v>251</v>
      </c>
      <c r="X153" s="288">
        <f t="shared" si="42"/>
        <v>415248.73199189105</v>
      </c>
    </row>
    <row r="154" spans="1:24" s="8" customFormat="1" ht="96.75" customHeight="1" x14ac:dyDescent="0.2">
      <c r="A154" s="89">
        <v>99</v>
      </c>
      <c r="B154" s="89" t="s">
        <v>6</v>
      </c>
      <c r="C154" s="71" t="s">
        <v>121</v>
      </c>
      <c r="D154" s="91" t="s">
        <v>140</v>
      </c>
      <c r="E154" s="72">
        <v>38692398</v>
      </c>
      <c r="F154" s="103"/>
      <c r="G154" s="72">
        <v>3882114</v>
      </c>
      <c r="H154" s="72">
        <v>4900999</v>
      </c>
      <c r="I154" s="92">
        <v>0.75</v>
      </c>
      <c r="J154" s="276">
        <v>3614354.6400000039</v>
      </c>
      <c r="K154" s="275">
        <f t="shared" si="34"/>
        <v>0.93102743505214014</v>
      </c>
      <c r="L154" s="276">
        <f t="shared" si="35"/>
        <v>2517418.525932306</v>
      </c>
      <c r="M154" s="271">
        <v>6131773.1659323098</v>
      </c>
      <c r="N154" s="73">
        <f t="shared" si="36"/>
        <v>1.5794933291326092</v>
      </c>
      <c r="O154" s="72">
        <f t="shared" si="37"/>
        <v>3220187.6659323098</v>
      </c>
      <c r="P154" s="74">
        <f t="shared" si="38"/>
        <v>3608399.0659323097</v>
      </c>
      <c r="Q154" s="289">
        <v>7605841.599411766</v>
      </c>
      <c r="R154" s="73">
        <f t="shared" si="39"/>
        <v>1.9592009918852888</v>
      </c>
      <c r="S154" s="72">
        <f t="shared" si="40"/>
        <v>4694256.099411766</v>
      </c>
      <c r="T154" s="88">
        <f t="shared" si="41"/>
        <v>5082467.4994117655</v>
      </c>
      <c r="U154" s="117" t="s">
        <v>252</v>
      </c>
      <c r="X154" s="288">
        <f t="shared" si="42"/>
        <v>2517418.525932306</v>
      </c>
    </row>
    <row r="155" spans="1:24" s="8" customFormat="1" ht="123" customHeight="1" x14ac:dyDescent="0.2">
      <c r="A155" s="89">
        <v>105</v>
      </c>
      <c r="B155" s="89" t="s">
        <v>6</v>
      </c>
      <c r="C155" s="124" t="s">
        <v>122</v>
      </c>
      <c r="D155" s="91" t="s">
        <v>140</v>
      </c>
      <c r="E155" s="72">
        <v>9960103</v>
      </c>
      <c r="F155" s="103"/>
      <c r="G155" s="72">
        <v>1124950</v>
      </c>
      <c r="H155" s="72">
        <v>0</v>
      </c>
      <c r="I155" s="92">
        <v>0.75</v>
      </c>
      <c r="J155" s="276">
        <v>11637.5</v>
      </c>
      <c r="K155" s="275">
        <f t="shared" si="34"/>
        <v>1.0344904217965243E-2</v>
      </c>
      <c r="L155" s="276">
        <f t="shared" si="35"/>
        <v>335000.01663697878</v>
      </c>
      <c r="M155" s="271">
        <v>346637.51663697878</v>
      </c>
      <c r="N155" s="93">
        <f t="shared" si="36"/>
        <v>0.30813593194095629</v>
      </c>
      <c r="O155" s="72">
        <f t="shared" si="37"/>
        <v>-497074.98336302122</v>
      </c>
      <c r="P155" s="74">
        <f t="shared" si="38"/>
        <v>-384579.98336302122</v>
      </c>
      <c r="Q155" s="289">
        <v>1795794.0235294118</v>
      </c>
      <c r="R155" s="73">
        <f t="shared" si="39"/>
        <v>1.5963323023506928</v>
      </c>
      <c r="S155" s="72">
        <f t="shared" si="40"/>
        <v>952081.52352941176</v>
      </c>
      <c r="T155" s="88">
        <f t="shared" si="41"/>
        <v>1064576.5235294118</v>
      </c>
      <c r="U155" s="117" t="s">
        <v>253</v>
      </c>
      <c r="X155" s="288">
        <f t="shared" si="42"/>
        <v>335000.01663697878</v>
      </c>
    </row>
    <row r="156" spans="1:24" s="8" customFormat="1" ht="116.25" x14ac:dyDescent="0.2">
      <c r="A156" s="96">
        <v>98</v>
      </c>
      <c r="B156" s="96" t="s">
        <v>6</v>
      </c>
      <c r="C156" s="126" t="s">
        <v>123</v>
      </c>
      <c r="D156" s="99" t="s">
        <v>140</v>
      </c>
      <c r="E156" s="72">
        <v>22765950</v>
      </c>
      <c r="F156" s="103"/>
      <c r="G156" s="72">
        <v>2124950</v>
      </c>
      <c r="H156" s="72">
        <v>0</v>
      </c>
      <c r="I156" s="100">
        <v>0.75</v>
      </c>
      <c r="J156" s="276">
        <v>89593.010000000009</v>
      </c>
      <c r="K156" s="275">
        <f t="shared" si="34"/>
        <v>4.2162408527259471E-2</v>
      </c>
      <c r="L156" s="276">
        <f t="shared" si="35"/>
        <v>951931.53455836687</v>
      </c>
      <c r="M156" s="271">
        <v>1041524.5445583669</v>
      </c>
      <c r="N156" s="123">
        <f t="shared" si="36"/>
        <v>0.49014073016229409</v>
      </c>
      <c r="O156" s="72">
        <f t="shared" si="37"/>
        <v>-552187.95544163312</v>
      </c>
      <c r="P156" s="74">
        <f t="shared" si="38"/>
        <v>-339692.95544163312</v>
      </c>
      <c r="Q156" s="289">
        <v>1718084.8235294118</v>
      </c>
      <c r="R156" s="101">
        <f t="shared" si="39"/>
        <v>0.80852952941453293</v>
      </c>
      <c r="S156" s="72">
        <f t="shared" si="40"/>
        <v>124372.32352941181</v>
      </c>
      <c r="T156" s="88">
        <f t="shared" si="41"/>
        <v>336867.32352941181</v>
      </c>
      <c r="U156" s="118" t="s">
        <v>254</v>
      </c>
      <c r="X156" s="288">
        <f t="shared" si="42"/>
        <v>951931.53455836687</v>
      </c>
    </row>
    <row r="157" spans="1:24" s="8" customFormat="1" ht="28.5" outlineLevel="1" x14ac:dyDescent="0.2">
      <c r="A157" s="272" t="s">
        <v>19</v>
      </c>
      <c r="B157" s="273"/>
      <c r="C157" s="273"/>
      <c r="D157" s="273"/>
      <c r="E157" s="273"/>
      <c r="F157" s="273"/>
      <c r="G157" s="273"/>
      <c r="H157" s="273"/>
      <c r="I157" s="273"/>
      <c r="J157" s="273"/>
      <c r="K157" s="273"/>
      <c r="L157" s="273"/>
      <c r="M157" s="273"/>
      <c r="N157" s="273"/>
      <c r="O157" s="273"/>
      <c r="P157" s="273"/>
      <c r="Q157" s="273"/>
      <c r="R157" s="273"/>
      <c r="S157" s="273"/>
      <c r="T157" s="273"/>
      <c r="U157" s="274"/>
    </row>
    <row r="158" spans="1:24" s="8" customFormat="1" ht="39.75" outlineLevel="1" thickBot="1" x14ac:dyDescent="0.25">
      <c r="A158" s="61">
        <v>115</v>
      </c>
      <c r="B158" s="61" t="s">
        <v>160</v>
      </c>
      <c r="C158" s="62" t="s">
        <v>19</v>
      </c>
      <c r="D158" s="63" t="s">
        <v>159</v>
      </c>
      <c r="E158" s="72">
        <v>119195650.58823529</v>
      </c>
      <c r="F158" s="38"/>
      <c r="G158" s="56"/>
      <c r="H158" s="56"/>
      <c r="I158" s="64"/>
      <c r="J158" s="64"/>
      <c r="K158" s="64"/>
      <c r="L158" s="64"/>
      <c r="M158" s="56" t="s">
        <v>163</v>
      </c>
      <c r="N158" s="56"/>
      <c r="O158" s="58"/>
      <c r="P158" s="57"/>
      <c r="Q158" s="65"/>
      <c r="R158" s="66"/>
      <c r="S158" s="66"/>
      <c r="T158" s="67"/>
      <c r="U158" s="44"/>
    </row>
    <row r="159" spans="1:24" s="8" customFormat="1" ht="24.75" customHeight="1" x14ac:dyDescent="0.2">
      <c r="A159" s="21"/>
      <c r="B159" s="21"/>
      <c r="C159" s="22"/>
      <c r="D159" s="23"/>
      <c r="E159" s="19"/>
      <c r="F159" s="19"/>
      <c r="G159" s="19"/>
      <c r="H159" s="19"/>
      <c r="I159" s="19"/>
      <c r="J159" s="19"/>
      <c r="K159" s="19"/>
      <c r="L159" s="19"/>
      <c r="M159" s="24"/>
      <c r="N159" s="24"/>
      <c r="O159" s="24"/>
      <c r="P159" s="24"/>
      <c r="Q159" s="24"/>
      <c r="R159" s="24"/>
      <c r="S159" s="24"/>
      <c r="T159" s="24"/>
      <c r="U159" s="45"/>
    </row>
    <row r="160" spans="1:24" s="8" customFormat="1" ht="44.25" customHeight="1" x14ac:dyDescent="0.2">
      <c r="A160" s="374" t="s">
        <v>15</v>
      </c>
      <c r="B160" s="374"/>
      <c r="C160" s="374"/>
      <c r="D160" s="374"/>
      <c r="E160" s="374"/>
      <c r="F160" s="374"/>
      <c r="G160" s="374"/>
      <c r="H160" s="374"/>
      <c r="I160" s="374"/>
      <c r="J160" s="374"/>
      <c r="K160" s="374"/>
      <c r="L160" s="374"/>
      <c r="M160" s="374"/>
      <c r="N160" s="374"/>
      <c r="O160" s="374"/>
      <c r="P160" s="374"/>
      <c r="Q160" s="374"/>
      <c r="R160" s="374"/>
      <c r="S160" s="374"/>
      <c r="T160" s="374"/>
      <c r="U160" s="374"/>
    </row>
    <row r="161" spans="1:21" s="8" customFormat="1" ht="17.25" customHeight="1" x14ac:dyDescent="0.2">
      <c r="A161" s="16" t="s">
        <v>16</v>
      </c>
      <c r="D161" s="11"/>
      <c r="U161" s="46"/>
    </row>
    <row r="162" spans="1:21" s="8" customFormat="1" ht="32.25" customHeight="1" x14ac:dyDescent="0.2">
      <c r="A162" s="16"/>
      <c r="D162" s="11"/>
      <c r="U162" s="46"/>
    </row>
    <row r="163" spans="1:21" s="8" customFormat="1" ht="15.75" x14ac:dyDescent="0.2">
      <c r="A163" s="16"/>
      <c r="B163" s="16"/>
      <c r="D163" s="11"/>
      <c r="U163" s="46"/>
    </row>
    <row r="164" spans="1:21" s="8" customFormat="1" ht="10.5" customHeight="1" x14ac:dyDescent="0.2">
      <c r="D164" s="11"/>
      <c r="U164" s="46"/>
    </row>
    <row r="165" spans="1:21" s="8" customFormat="1" x14ac:dyDescent="0.2">
      <c r="D165" s="11"/>
      <c r="U165" s="46"/>
    </row>
    <row r="166" spans="1:21" s="8" customFormat="1" x14ac:dyDescent="0.2">
      <c r="D166" s="11"/>
      <c r="U166" s="46"/>
    </row>
    <row r="167" spans="1:21" s="8" customFormat="1" ht="16.5" x14ac:dyDescent="0.25">
      <c r="B167" s="37"/>
      <c r="D167" s="11"/>
      <c r="U167" s="46"/>
    </row>
    <row r="168" spans="1:21" s="8" customFormat="1" ht="16.5" x14ac:dyDescent="0.25">
      <c r="A168" s="17"/>
      <c r="B168" s="17"/>
      <c r="D168" s="11"/>
      <c r="U168" s="46"/>
    </row>
    <row r="169" spans="1:21" s="8" customFormat="1" ht="16.5" x14ac:dyDescent="0.25">
      <c r="A169" s="18"/>
      <c r="B169" s="18"/>
      <c r="C169" s="37"/>
      <c r="D169" s="11"/>
      <c r="U169" s="46"/>
    </row>
    <row r="170" spans="1:21" s="8" customFormat="1" x14ac:dyDescent="0.2">
      <c r="D170" s="11"/>
      <c r="U170" s="46"/>
    </row>
    <row r="171" spans="1:21" s="8" customFormat="1" x14ac:dyDescent="0.2">
      <c r="D171" s="11"/>
      <c r="U171" s="46"/>
    </row>
    <row r="172" spans="1:21" s="8" customFormat="1" x14ac:dyDescent="0.2">
      <c r="D172" s="11"/>
      <c r="U172" s="46"/>
    </row>
    <row r="173" spans="1:21" s="8" customFormat="1" x14ac:dyDescent="0.2">
      <c r="D173" s="11"/>
      <c r="U173" s="46"/>
    </row>
    <row r="174" spans="1:21" s="8" customFormat="1" x14ac:dyDescent="0.2">
      <c r="U174" s="46"/>
    </row>
    <row r="175" spans="1:21" s="8" customFormat="1" x14ac:dyDescent="0.2">
      <c r="U175" s="46"/>
    </row>
    <row r="176" spans="1:21" s="8" customFormat="1" x14ac:dyDescent="0.2">
      <c r="U176" s="46"/>
    </row>
    <row r="177" spans="4:21" s="8" customFormat="1" x14ac:dyDescent="0.2">
      <c r="U177" s="46"/>
    </row>
    <row r="178" spans="4:21" s="12" customFormat="1" ht="18.75" x14ac:dyDescent="0.3">
      <c r="D178" s="8"/>
      <c r="U178" s="47"/>
    </row>
    <row r="179" spans="4:21" s="12" customFormat="1" ht="18.75" x14ac:dyDescent="0.3">
      <c r="D179" s="8"/>
      <c r="F179" s="14"/>
      <c r="G179" s="14"/>
      <c r="H179" s="14"/>
      <c r="I179" s="14"/>
      <c r="J179" s="14"/>
      <c r="K179" s="14"/>
      <c r="L179" s="14"/>
      <c r="M179" s="14"/>
      <c r="N179" s="14"/>
      <c r="O179" s="14"/>
      <c r="P179" s="14"/>
      <c r="Q179" s="14"/>
      <c r="R179" s="14"/>
      <c r="S179" s="14"/>
      <c r="T179" s="14"/>
      <c r="U179" s="48"/>
    </row>
    <row r="180" spans="4:21" s="12" customFormat="1" ht="18.75" x14ac:dyDescent="0.3">
      <c r="D180" s="8"/>
      <c r="F180" s="13"/>
      <c r="G180" s="13"/>
      <c r="H180" s="13"/>
      <c r="I180" s="13"/>
      <c r="J180" s="13"/>
      <c r="K180" s="13"/>
      <c r="L180" s="13"/>
      <c r="M180" s="13"/>
      <c r="N180" s="13"/>
      <c r="O180" s="13"/>
      <c r="P180" s="13"/>
      <c r="Q180" s="13"/>
      <c r="R180" s="13"/>
      <c r="S180" s="13"/>
      <c r="T180" s="13"/>
      <c r="U180" s="49"/>
    </row>
    <row r="181" spans="4:21" s="12" customFormat="1" ht="18.75" x14ac:dyDescent="0.3">
      <c r="D181" s="8"/>
      <c r="F181" s="15"/>
      <c r="G181" s="15"/>
      <c r="H181" s="15"/>
      <c r="I181" s="15"/>
      <c r="J181" s="15"/>
      <c r="K181" s="15"/>
      <c r="L181" s="15"/>
      <c r="M181" s="15"/>
      <c r="N181" s="15"/>
      <c r="O181" s="15"/>
      <c r="P181" s="15"/>
      <c r="Q181" s="15"/>
      <c r="R181" s="15"/>
      <c r="S181" s="15"/>
      <c r="T181" s="15"/>
      <c r="U181" s="50"/>
    </row>
    <row r="182" spans="4:21" s="12" customFormat="1" ht="18.75" x14ac:dyDescent="0.3">
      <c r="D182" s="8"/>
      <c r="U182" s="47"/>
    </row>
    <row r="183" spans="4:21" s="12" customFormat="1" ht="18.75" x14ac:dyDescent="0.3">
      <c r="D183" s="8"/>
      <c r="U183" s="47"/>
    </row>
    <row r="184" spans="4:21" s="12" customFormat="1" ht="18.75" x14ac:dyDescent="0.3">
      <c r="D184" s="8"/>
      <c r="U184" s="47"/>
    </row>
    <row r="185" spans="4:21" s="12" customFormat="1" ht="18.75" x14ac:dyDescent="0.3">
      <c r="D185" s="8"/>
      <c r="U185" s="47"/>
    </row>
    <row r="186" spans="4:21" s="8" customFormat="1" x14ac:dyDescent="0.2">
      <c r="U186" s="46"/>
    </row>
    <row r="187" spans="4:21" s="8" customFormat="1" x14ac:dyDescent="0.2">
      <c r="U187" s="46"/>
    </row>
    <row r="188" spans="4:21" s="8" customFormat="1" x14ac:dyDescent="0.2">
      <c r="U188" s="46"/>
    </row>
    <row r="189" spans="4:21" s="8" customFormat="1" x14ac:dyDescent="0.2">
      <c r="U189" s="46"/>
    </row>
    <row r="190" spans="4:21" s="8" customFormat="1" x14ac:dyDescent="0.2">
      <c r="U190" s="46"/>
    </row>
    <row r="191" spans="4:21" s="8" customFormat="1" x14ac:dyDescent="0.2">
      <c r="U191" s="46"/>
    </row>
    <row r="192" spans="4:21" s="8" customFormat="1" x14ac:dyDescent="0.2">
      <c r="U192" s="46"/>
    </row>
    <row r="193" spans="21:21" s="8" customFormat="1" x14ac:dyDescent="0.2">
      <c r="U193" s="46"/>
    </row>
    <row r="194" spans="21:21" s="8" customFormat="1" x14ac:dyDescent="0.2">
      <c r="U194" s="46"/>
    </row>
    <row r="195" spans="21:21" s="8" customFormat="1" x14ac:dyDescent="0.2">
      <c r="U195" s="46"/>
    </row>
    <row r="196" spans="21:21" s="8" customFormat="1" x14ac:dyDescent="0.2">
      <c r="U196" s="46"/>
    </row>
    <row r="197" spans="21:21" s="8" customFormat="1" x14ac:dyDescent="0.2">
      <c r="U197" s="46"/>
    </row>
    <row r="198" spans="21:21" s="8" customFormat="1" x14ac:dyDescent="0.2">
      <c r="U198" s="46"/>
    </row>
    <row r="199" spans="21:21" s="8" customFormat="1" x14ac:dyDescent="0.2">
      <c r="U199" s="46"/>
    </row>
    <row r="200" spans="21:21" s="8" customFormat="1" x14ac:dyDescent="0.2">
      <c r="U200" s="46"/>
    </row>
    <row r="201" spans="21:21" s="8" customFormat="1" x14ac:dyDescent="0.2">
      <c r="U201" s="46"/>
    </row>
    <row r="202" spans="21:21" s="8" customFormat="1" x14ac:dyDescent="0.2">
      <c r="U202" s="46"/>
    </row>
    <row r="203" spans="21:21" s="8" customFormat="1" x14ac:dyDescent="0.2">
      <c r="U203" s="46"/>
    </row>
    <row r="204" spans="21:21" s="8" customFormat="1" x14ac:dyDescent="0.2">
      <c r="U204" s="46"/>
    </row>
    <row r="205" spans="21:21" s="8" customFormat="1" x14ac:dyDescent="0.2">
      <c r="U205" s="46"/>
    </row>
    <row r="206" spans="21:21" s="8" customFormat="1" x14ac:dyDescent="0.2">
      <c r="U206" s="46"/>
    </row>
    <row r="207" spans="21:21" s="8" customFormat="1" x14ac:dyDescent="0.2">
      <c r="U207" s="46"/>
    </row>
    <row r="208" spans="21:21" s="8" customFormat="1" x14ac:dyDescent="0.2">
      <c r="U208" s="46"/>
    </row>
    <row r="209" spans="21:21" s="8" customFormat="1" x14ac:dyDescent="0.2">
      <c r="U209" s="46"/>
    </row>
    <row r="210" spans="21:21" s="8" customFormat="1" x14ac:dyDescent="0.2">
      <c r="U210" s="46"/>
    </row>
    <row r="211" spans="21:21" s="8" customFormat="1" x14ac:dyDescent="0.2">
      <c r="U211" s="46"/>
    </row>
    <row r="212" spans="21:21" s="8" customFormat="1" x14ac:dyDescent="0.2">
      <c r="U212" s="46"/>
    </row>
    <row r="213" spans="21:21" s="8" customFormat="1" x14ac:dyDescent="0.2">
      <c r="U213" s="46"/>
    </row>
    <row r="214" spans="21:21" s="8" customFormat="1" x14ac:dyDescent="0.2">
      <c r="U214" s="46"/>
    </row>
    <row r="215" spans="21:21" s="8" customFormat="1" x14ac:dyDescent="0.2">
      <c r="U215" s="46"/>
    </row>
    <row r="216" spans="21:21" s="8" customFormat="1" x14ac:dyDescent="0.2">
      <c r="U216" s="46"/>
    </row>
    <row r="217" spans="21:21" s="8" customFormat="1" x14ac:dyDescent="0.2">
      <c r="U217" s="46"/>
    </row>
    <row r="218" spans="21:21" s="8" customFormat="1" x14ac:dyDescent="0.2">
      <c r="U218" s="46"/>
    </row>
    <row r="219" spans="21:21" s="8" customFormat="1" x14ac:dyDescent="0.2">
      <c r="U219" s="46"/>
    </row>
    <row r="220" spans="21:21" s="8" customFormat="1" x14ac:dyDescent="0.2">
      <c r="U220" s="46"/>
    </row>
    <row r="221" spans="21:21" s="8" customFormat="1" x14ac:dyDescent="0.2">
      <c r="U221" s="46"/>
    </row>
    <row r="222" spans="21:21" s="8" customFormat="1" x14ac:dyDescent="0.2">
      <c r="U222" s="46"/>
    </row>
    <row r="223" spans="21:21" s="8" customFormat="1" x14ac:dyDescent="0.2">
      <c r="U223" s="46"/>
    </row>
    <row r="224" spans="21:21" s="8" customFormat="1" x14ac:dyDescent="0.2">
      <c r="U224" s="46"/>
    </row>
    <row r="225" spans="21:21" s="8" customFormat="1" x14ac:dyDescent="0.2">
      <c r="U225" s="46"/>
    </row>
    <row r="226" spans="21:21" s="8" customFormat="1" x14ac:dyDescent="0.2">
      <c r="U226" s="46"/>
    </row>
    <row r="227" spans="21:21" s="8" customFormat="1" x14ac:dyDescent="0.2">
      <c r="U227" s="46"/>
    </row>
    <row r="228" spans="21:21" s="8" customFormat="1" x14ac:dyDescent="0.2">
      <c r="U228" s="46"/>
    </row>
    <row r="229" spans="21:21" s="8" customFormat="1" x14ac:dyDescent="0.2">
      <c r="U229" s="46"/>
    </row>
    <row r="230" spans="21:21" s="8" customFormat="1" x14ac:dyDescent="0.2">
      <c r="U230" s="46"/>
    </row>
    <row r="231" spans="21:21" s="8" customFormat="1" x14ac:dyDescent="0.2">
      <c r="U231" s="46"/>
    </row>
    <row r="232" spans="21:21" s="8" customFormat="1" x14ac:dyDescent="0.2">
      <c r="U232" s="46"/>
    </row>
    <row r="233" spans="21:21" s="8" customFormat="1" x14ac:dyDescent="0.2">
      <c r="U233" s="46"/>
    </row>
    <row r="234" spans="21:21" s="8" customFormat="1" x14ac:dyDescent="0.2">
      <c r="U234" s="46"/>
    </row>
    <row r="235" spans="21:21" s="8" customFormat="1" x14ac:dyDescent="0.2">
      <c r="U235" s="46"/>
    </row>
    <row r="236" spans="21:21" s="8" customFormat="1" x14ac:dyDescent="0.2">
      <c r="U236" s="46"/>
    </row>
    <row r="237" spans="21:21" s="8" customFormat="1" x14ac:dyDescent="0.2">
      <c r="U237" s="46"/>
    </row>
    <row r="238" spans="21:21" s="8" customFormat="1" x14ac:dyDescent="0.2">
      <c r="U238" s="46"/>
    </row>
    <row r="239" spans="21:21" s="8" customFormat="1" x14ac:dyDescent="0.2">
      <c r="U239" s="46"/>
    </row>
    <row r="240" spans="21:21" s="8" customFormat="1" x14ac:dyDescent="0.2">
      <c r="U240" s="46"/>
    </row>
    <row r="241" spans="21:21" s="8" customFormat="1" x14ac:dyDescent="0.2">
      <c r="U241" s="46"/>
    </row>
    <row r="242" spans="21:21" s="8" customFormat="1" x14ac:dyDescent="0.2">
      <c r="U242" s="46"/>
    </row>
    <row r="243" spans="21:21" s="8" customFormat="1" x14ac:dyDescent="0.2">
      <c r="U243" s="46"/>
    </row>
    <row r="244" spans="21:21" s="8" customFormat="1" x14ac:dyDescent="0.2">
      <c r="U244" s="46"/>
    </row>
    <row r="245" spans="21:21" s="8" customFormat="1" x14ac:dyDescent="0.2">
      <c r="U245" s="46"/>
    </row>
    <row r="246" spans="21:21" s="8" customFormat="1" x14ac:dyDescent="0.2">
      <c r="U246" s="46"/>
    </row>
    <row r="247" spans="21:21" s="8" customFormat="1" x14ac:dyDescent="0.2">
      <c r="U247" s="46"/>
    </row>
    <row r="248" spans="21:21" s="8" customFormat="1" x14ac:dyDescent="0.2">
      <c r="U248" s="46"/>
    </row>
    <row r="249" spans="21:21" s="8" customFormat="1" x14ac:dyDescent="0.2">
      <c r="U249" s="46"/>
    </row>
    <row r="250" spans="21:21" s="8" customFormat="1" x14ac:dyDescent="0.2">
      <c r="U250" s="46"/>
    </row>
    <row r="251" spans="21:21" s="8" customFormat="1" x14ac:dyDescent="0.2">
      <c r="U251" s="46"/>
    </row>
    <row r="252" spans="21:21" s="8" customFormat="1" x14ac:dyDescent="0.2">
      <c r="U252" s="46"/>
    </row>
    <row r="253" spans="21:21" s="8" customFormat="1" x14ac:dyDescent="0.2">
      <c r="U253" s="46"/>
    </row>
    <row r="254" spans="21:21" s="8" customFormat="1" x14ac:dyDescent="0.2">
      <c r="U254" s="46"/>
    </row>
    <row r="255" spans="21:21" s="8" customFormat="1" x14ac:dyDescent="0.2">
      <c r="U255" s="46"/>
    </row>
    <row r="256" spans="21:21" s="8" customFormat="1" x14ac:dyDescent="0.2">
      <c r="U256" s="46"/>
    </row>
    <row r="257" spans="21:21" s="8" customFormat="1" x14ac:dyDescent="0.2">
      <c r="U257" s="46"/>
    </row>
    <row r="258" spans="21:21" s="8" customFormat="1" x14ac:dyDescent="0.2">
      <c r="U258" s="46"/>
    </row>
    <row r="259" spans="21:21" s="8" customFormat="1" x14ac:dyDescent="0.2">
      <c r="U259" s="46"/>
    </row>
    <row r="260" spans="21:21" s="8" customFormat="1" x14ac:dyDescent="0.2">
      <c r="U260" s="46"/>
    </row>
    <row r="261" spans="21:21" s="8" customFormat="1" x14ac:dyDescent="0.2">
      <c r="U261" s="46"/>
    </row>
    <row r="262" spans="21:21" s="8" customFormat="1" x14ac:dyDescent="0.2">
      <c r="U262" s="46"/>
    </row>
    <row r="263" spans="21:21" s="8" customFormat="1" x14ac:dyDescent="0.2">
      <c r="U263" s="46"/>
    </row>
    <row r="264" spans="21:21" s="8" customFormat="1" x14ac:dyDescent="0.2">
      <c r="U264" s="46"/>
    </row>
    <row r="265" spans="21:21" s="8" customFormat="1" x14ac:dyDescent="0.2">
      <c r="U265" s="46"/>
    </row>
    <row r="266" spans="21:21" s="8" customFormat="1" x14ac:dyDescent="0.2">
      <c r="U266" s="46"/>
    </row>
    <row r="267" spans="21:21" s="8" customFormat="1" x14ac:dyDescent="0.2">
      <c r="U267" s="46"/>
    </row>
    <row r="268" spans="21:21" s="8" customFormat="1" x14ac:dyDescent="0.2">
      <c r="U268" s="46"/>
    </row>
    <row r="269" spans="21:21" s="8" customFormat="1" x14ac:dyDescent="0.2">
      <c r="U269" s="46"/>
    </row>
    <row r="270" spans="21:21" s="8" customFormat="1" x14ac:dyDescent="0.2">
      <c r="U270" s="46"/>
    </row>
    <row r="271" spans="21:21" s="8" customFormat="1" x14ac:dyDescent="0.2">
      <c r="U271" s="46"/>
    </row>
    <row r="272" spans="21:21" s="8" customFormat="1" x14ac:dyDescent="0.2">
      <c r="U272" s="46"/>
    </row>
    <row r="273" spans="21:21" s="8" customFormat="1" x14ac:dyDescent="0.2">
      <c r="U273" s="46"/>
    </row>
    <row r="274" spans="21:21" s="8" customFormat="1" x14ac:dyDescent="0.2">
      <c r="U274" s="46"/>
    </row>
    <row r="275" spans="21:21" s="8" customFormat="1" x14ac:dyDescent="0.2">
      <c r="U275" s="46"/>
    </row>
    <row r="276" spans="21:21" s="8" customFormat="1" x14ac:dyDescent="0.2">
      <c r="U276" s="46"/>
    </row>
    <row r="277" spans="21:21" s="8" customFormat="1" x14ac:dyDescent="0.2">
      <c r="U277" s="46"/>
    </row>
    <row r="278" spans="21:21" s="8" customFormat="1" x14ac:dyDescent="0.2">
      <c r="U278" s="46"/>
    </row>
    <row r="279" spans="21:21" s="8" customFormat="1" x14ac:dyDescent="0.2">
      <c r="U279" s="46"/>
    </row>
    <row r="280" spans="21:21" s="8" customFormat="1" x14ac:dyDescent="0.2">
      <c r="U280" s="46"/>
    </row>
    <row r="281" spans="21:21" s="8" customFormat="1" x14ac:dyDescent="0.2">
      <c r="U281" s="46"/>
    </row>
    <row r="282" spans="21:21" s="8" customFormat="1" x14ac:dyDescent="0.2">
      <c r="U282" s="46"/>
    </row>
  </sheetData>
  <sheetProtection formatCells="0" formatColumns="0" formatRows="0" autoFilter="0"/>
  <autoFilter ref="A26:X158"/>
  <sortState ref="A136:K154">
    <sortCondition ref="C136:C154"/>
  </sortState>
  <dataConsolidate/>
  <mergeCells count="45">
    <mergeCell ref="U9:U25"/>
    <mergeCell ref="U50:U51"/>
    <mergeCell ref="U44:U47"/>
    <mergeCell ref="S50:S51"/>
    <mergeCell ref="T50:T51"/>
    <mergeCell ref="R44:R47"/>
    <mergeCell ref="S44:S47"/>
    <mergeCell ref="T44:T47"/>
    <mergeCell ref="L6:L8"/>
    <mergeCell ref="P44:P47"/>
    <mergeCell ref="U6:U8"/>
    <mergeCell ref="J6:J8"/>
    <mergeCell ref="K6:K8"/>
    <mergeCell ref="E6:E8"/>
    <mergeCell ref="A4:U4"/>
    <mergeCell ref="A160:U160"/>
    <mergeCell ref="F6:F8"/>
    <mergeCell ref="G6:G8"/>
    <mergeCell ref="H6:H8"/>
    <mergeCell ref="I6:I8"/>
    <mergeCell ref="M7:P7"/>
    <mergeCell ref="M6:T6"/>
    <mergeCell ref="A6:A25"/>
    <mergeCell ref="B6:B25"/>
    <mergeCell ref="C6:C25"/>
    <mergeCell ref="D6:D25"/>
    <mergeCell ref="Q7:T7"/>
    <mergeCell ref="G44:G47"/>
    <mergeCell ref="H44:H47"/>
    <mergeCell ref="R50:R51"/>
    <mergeCell ref="P50:P51"/>
    <mergeCell ref="O50:O51"/>
    <mergeCell ref="I50:I51"/>
    <mergeCell ref="N50:N51"/>
    <mergeCell ref="F44:F47"/>
    <mergeCell ref="M44:M47"/>
    <mergeCell ref="N44:N47"/>
    <mergeCell ref="O44:O47"/>
    <mergeCell ref="J50:J51"/>
    <mergeCell ref="I44:I47"/>
    <mergeCell ref="F50:F51"/>
    <mergeCell ref="G50:G51"/>
    <mergeCell ref="H50:H51"/>
    <mergeCell ref="M50:M51"/>
    <mergeCell ref="J44:J47"/>
  </mergeCells>
  <dataValidations disablePrompts="1" count="1">
    <dataValidation type="list" errorStyle="warning" allowBlank="1" showInputMessage="1" showErrorMessage="1" errorTitle="Izvēle tikai no saraksta!" error="Lūdzu izvēlēties vienu no vērtībām sarakstā." sqref="F168:L1048576 M161:U1048576">
      <formula1>#REF!</formula1>
    </dataValidation>
  </dataValidations>
  <pageMargins left="0.23622047244094491" right="3.937007874015748E-2" top="0.74803149606299213" bottom="0.74803149606299213" header="0.31496062992125984" footer="0.31496062992125984"/>
  <pageSetup paperSize="9" scale="40" fitToHeight="0" orientation="portrait" r:id="rId1"/>
  <headerFooter>
    <oddFooter>&amp;L&amp;16&amp;F&amp;C&amp;16&amp;P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AF282"/>
  <sheetViews>
    <sheetView tabSelected="1" view="pageBreakPreview" topLeftCell="C8" zoomScale="55" zoomScaleNormal="55" zoomScaleSheetLayoutView="55" zoomScalePageLayoutView="50" workbookViewId="0">
      <pane xSplit="2" ySplit="3" topLeftCell="E11" activePane="bottomRight" state="frozen"/>
      <selection activeCell="C8" sqref="C8"/>
      <selection pane="topRight" activeCell="E8" sqref="E8"/>
      <selection pane="bottomLeft" activeCell="C11" sqref="C11"/>
      <selection pane="bottomRight" activeCell="E11" sqref="A11:XFD11"/>
    </sheetView>
  </sheetViews>
  <sheetFormatPr defaultColWidth="9" defaultRowHeight="12.75" outlineLevelRow="1" outlineLevelCol="1" x14ac:dyDescent="0.2"/>
  <cols>
    <col min="1" max="1" width="14.75" style="1" hidden="1" customWidth="1" collapsed="1"/>
    <col min="2" max="2" width="16.625" style="1" hidden="1" customWidth="1" outlineLevel="1"/>
    <col min="3" max="3" width="33.25" style="1" customWidth="1"/>
    <col min="4" max="4" width="10.375" style="1" customWidth="1"/>
    <col min="5" max="5" width="17.125" style="1" customWidth="1" collapsed="1"/>
    <col min="6" max="6" width="13.75" style="1" hidden="1" customWidth="1" outlineLevel="1"/>
    <col min="7" max="7" width="18" style="1" customWidth="1"/>
    <col min="8" max="8" width="14.125" style="1" customWidth="1" outlineLevel="1"/>
    <col min="9" max="11" width="15.875" style="1" customWidth="1"/>
    <col min="12" max="12" width="18.25" style="1" customWidth="1"/>
    <col min="13" max="14" width="17.75" style="1" customWidth="1"/>
    <col min="15" max="15" width="17.5" style="1" customWidth="1"/>
    <col min="16" max="16" width="16" style="1" customWidth="1"/>
    <col min="17" max="17" width="14.75" style="1" customWidth="1"/>
    <col min="18" max="18" width="15.5" style="1" customWidth="1"/>
    <col min="19" max="19" width="18.125" style="1" customWidth="1"/>
    <col min="20" max="20" width="20.375" style="1" customWidth="1" collapsed="1"/>
    <col min="21" max="21" width="19.625" style="1" hidden="1" customWidth="1" outlineLevel="1"/>
    <col min="22" max="22" width="9" style="1" hidden="1" customWidth="1" outlineLevel="1"/>
    <col min="23" max="23" width="15.625" style="1" hidden="1" customWidth="1" outlineLevel="1"/>
    <col min="24" max="25" width="9" style="1" hidden="1" customWidth="1" outlineLevel="1"/>
    <col min="26" max="26" width="9" style="1"/>
    <col min="27" max="27" width="21.125" style="1" bestFit="1" customWidth="1"/>
    <col min="28" max="28" width="19.5" style="1" bestFit="1" customWidth="1"/>
    <col min="29" max="29" width="10.625" style="1" bestFit="1" customWidth="1"/>
    <col min="30" max="16384" width="9" style="1"/>
  </cols>
  <sheetData>
    <row r="1" spans="1:28" ht="26.25" hidden="1" customHeight="1" x14ac:dyDescent="0.2"/>
    <row r="2" spans="1:28" ht="27.75" customHeight="1" x14ac:dyDescent="0.2">
      <c r="O2" s="419" t="s">
        <v>354</v>
      </c>
      <c r="P2" s="419"/>
      <c r="Q2" s="419"/>
      <c r="R2" s="419"/>
      <c r="S2" s="419"/>
      <c r="T2" s="419"/>
      <c r="U2" s="419"/>
    </row>
    <row r="3" spans="1:28" ht="83.25" customHeight="1" x14ac:dyDescent="0.2">
      <c r="O3" s="419"/>
      <c r="P3" s="419"/>
      <c r="Q3" s="419"/>
      <c r="R3" s="419"/>
      <c r="S3" s="419"/>
      <c r="T3" s="419"/>
      <c r="U3" s="419"/>
    </row>
    <row r="4" spans="1:28" ht="66.75" customHeight="1" x14ac:dyDescent="0.2">
      <c r="A4" s="420" t="s">
        <v>364</v>
      </c>
      <c r="B4" s="420"/>
      <c r="C4" s="420"/>
      <c r="D4" s="420"/>
      <c r="E4" s="420"/>
      <c r="F4" s="420"/>
      <c r="G4" s="420"/>
      <c r="H4" s="420"/>
      <c r="I4" s="420"/>
      <c r="J4" s="420"/>
      <c r="K4" s="420"/>
      <c r="L4" s="420"/>
      <c r="M4" s="420"/>
      <c r="N4" s="420"/>
      <c r="O4" s="420"/>
      <c r="P4" s="420"/>
      <c r="Q4" s="420"/>
      <c r="R4" s="420"/>
      <c r="S4" s="420"/>
      <c r="T4" s="420"/>
      <c r="U4" s="32"/>
    </row>
    <row r="5" spans="1:28" ht="141.75" customHeight="1" x14ac:dyDescent="0.2">
      <c r="A5" s="306"/>
      <c r="B5" s="306"/>
      <c r="C5" s="422" t="s">
        <v>367</v>
      </c>
      <c r="D5" s="422"/>
      <c r="E5" s="422"/>
      <c r="F5" s="422"/>
      <c r="G5" s="422"/>
      <c r="H5" s="422"/>
      <c r="I5" s="422"/>
      <c r="J5" s="422"/>
      <c r="K5" s="422"/>
      <c r="L5" s="422"/>
      <c r="M5" s="422"/>
      <c r="N5" s="422"/>
      <c r="O5" s="422"/>
      <c r="P5" s="422"/>
      <c r="Q5" s="422"/>
      <c r="R5" s="422"/>
      <c r="S5" s="422"/>
      <c r="T5" s="422"/>
      <c r="U5" s="32"/>
    </row>
    <row r="6" spans="1:28" ht="32.25" customHeight="1" x14ac:dyDescent="0.2">
      <c r="A6" s="306"/>
      <c r="B6" s="306"/>
      <c r="C6" s="307"/>
      <c r="D6" s="317"/>
      <c r="E6" s="318"/>
      <c r="F6" s="318"/>
      <c r="G6" s="318"/>
      <c r="H6" s="318"/>
      <c r="I6" s="318"/>
      <c r="J6" s="318"/>
      <c r="K6" s="318"/>
      <c r="L6" s="319"/>
      <c r="M6" s="319"/>
      <c r="N6" s="319"/>
      <c r="O6" s="319"/>
      <c r="P6" s="316"/>
      <c r="Q6" s="423"/>
      <c r="R6" s="423"/>
      <c r="S6" s="423"/>
      <c r="T6" s="423"/>
      <c r="U6" s="32"/>
    </row>
    <row r="7" spans="1:28" s="3" customFormat="1" ht="27.75" customHeight="1" x14ac:dyDescent="0.3">
      <c r="A7" s="25"/>
      <c r="B7" s="25"/>
      <c r="C7" s="28" t="s">
        <v>368</v>
      </c>
      <c r="D7" s="2"/>
      <c r="E7" s="20"/>
      <c r="F7" s="29"/>
      <c r="G7" s="29"/>
      <c r="H7" s="29"/>
      <c r="I7" s="29"/>
      <c r="J7" s="29"/>
      <c r="K7" s="29"/>
      <c r="L7" s="29"/>
      <c r="M7" s="29"/>
      <c r="N7" s="29"/>
      <c r="O7" s="29"/>
      <c r="P7" s="29"/>
      <c r="Q7" s="31"/>
      <c r="R7" s="31"/>
      <c r="S7" s="31"/>
      <c r="T7" s="31"/>
    </row>
    <row r="8" spans="1:28" s="4" customFormat="1" ht="69" customHeight="1" x14ac:dyDescent="0.2">
      <c r="A8" s="415" t="s">
        <v>18</v>
      </c>
      <c r="B8" s="415" t="s">
        <v>0</v>
      </c>
      <c r="C8" s="415" t="s">
        <v>17</v>
      </c>
      <c r="D8" s="421" t="s">
        <v>169</v>
      </c>
      <c r="E8" s="415" t="s">
        <v>345</v>
      </c>
      <c r="F8" s="415" t="s">
        <v>161</v>
      </c>
      <c r="G8" s="415" t="s">
        <v>329</v>
      </c>
      <c r="H8" s="415" t="s">
        <v>355</v>
      </c>
      <c r="I8" s="415" t="s">
        <v>336</v>
      </c>
      <c r="J8" s="415" t="s">
        <v>361</v>
      </c>
      <c r="K8" s="415"/>
      <c r="L8" s="415" t="s">
        <v>358</v>
      </c>
      <c r="M8" s="415"/>
      <c r="N8" s="416" t="s">
        <v>360</v>
      </c>
      <c r="O8" s="375" t="s">
        <v>362</v>
      </c>
      <c r="P8" s="415" t="s">
        <v>363</v>
      </c>
      <c r="Q8" s="381" t="s">
        <v>365</v>
      </c>
      <c r="R8" s="381"/>
      <c r="S8" s="381"/>
      <c r="T8" s="381"/>
    </row>
    <row r="9" spans="1:28" s="4" customFormat="1" ht="66.75" customHeight="1" x14ac:dyDescent="0.2">
      <c r="A9" s="415"/>
      <c r="B9" s="415"/>
      <c r="C9" s="415"/>
      <c r="D9" s="421"/>
      <c r="E9" s="415"/>
      <c r="F9" s="415"/>
      <c r="G9" s="415"/>
      <c r="H9" s="415"/>
      <c r="I9" s="415"/>
      <c r="J9" s="415"/>
      <c r="K9" s="415"/>
      <c r="L9" s="415"/>
      <c r="M9" s="415"/>
      <c r="N9" s="417"/>
      <c r="O9" s="376"/>
      <c r="P9" s="415"/>
      <c r="Q9" s="424" t="s">
        <v>369</v>
      </c>
      <c r="R9" s="424"/>
      <c r="S9" s="424"/>
      <c r="T9" s="424"/>
    </row>
    <row r="10" spans="1:28" s="4" customFormat="1" ht="92.25" customHeight="1" x14ac:dyDescent="0.2">
      <c r="A10" s="415"/>
      <c r="B10" s="415"/>
      <c r="C10" s="415"/>
      <c r="D10" s="421"/>
      <c r="E10" s="415"/>
      <c r="F10" s="415"/>
      <c r="G10" s="415"/>
      <c r="H10" s="415"/>
      <c r="I10" s="415"/>
      <c r="J10" s="343" t="s">
        <v>347</v>
      </c>
      <c r="K10" s="343" t="s">
        <v>346</v>
      </c>
      <c r="L10" s="343" t="s">
        <v>349</v>
      </c>
      <c r="M10" s="343" t="s">
        <v>346</v>
      </c>
      <c r="N10" s="418"/>
      <c r="O10" s="377"/>
      <c r="P10" s="415"/>
      <c r="Q10" s="339" t="s">
        <v>186</v>
      </c>
      <c r="R10" s="338" t="s">
        <v>171</v>
      </c>
      <c r="S10" s="41" t="s">
        <v>356</v>
      </c>
      <c r="T10" s="41" t="s">
        <v>357</v>
      </c>
    </row>
    <row r="11" spans="1:28" s="4" customFormat="1" ht="29.25" customHeight="1" x14ac:dyDescent="0.35">
      <c r="A11" s="415"/>
      <c r="B11" s="415"/>
      <c r="C11" s="415"/>
      <c r="D11" s="421"/>
      <c r="E11" s="279" t="s">
        <v>317</v>
      </c>
      <c r="F11" s="310"/>
      <c r="G11" s="285">
        <f>SUM(G12:G27)</f>
        <v>1076947736</v>
      </c>
      <c r="H11" s="285">
        <f>SUM(H12:H27)</f>
        <v>267352980.13840479</v>
      </c>
      <c r="I11" s="284">
        <v>0.75</v>
      </c>
      <c r="J11" s="285">
        <f t="shared" ref="J11:K11" si="0">SUM(J12:J27)</f>
        <v>979633767.97000015</v>
      </c>
      <c r="K11" s="285">
        <f t="shared" si="0"/>
        <v>15.349461173503819</v>
      </c>
      <c r="L11" s="285">
        <f t="shared" ref="L11" si="1">SUM(L12:L27)</f>
        <v>1228514131.6788235</v>
      </c>
      <c r="M11" s="284"/>
      <c r="N11" s="285">
        <f t="shared" ref="N11" si="2">SUM(N12:N27)</f>
        <v>72731859.13000004</v>
      </c>
      <c r="O11" s="285">
        <f>O16+O18+O19</f>
        <v>-11844020.48</v>
      </c>
      <c r="P11" s="285">
        <f>SUM(P12:P27)</f>
        <v>-193736319.85399991</v>
      </c>
      <c r="Q11" s="285">
        <f>SUM(Q12:Q27)</f>
        <v>1422250451.5328236</v>
      </c>
      <c r="R11" s="309"/>
      <c r="S11" s="285">
        <v>0</v>
      </c>
      <c r="T11" s="285">
        <v>0</v>
      </c>
      <c r="AB11" s="355"/>
    </row>
    <row r="12" spans="1:28" s="4" customFormat="1" ht="21.95" customHeight="1" outlineLevel="1" x14ac:dyDescent="0.35">
      <c r="A12" s="415"/>
      <c r="B12" s="415"/>
      <c r="C12" s="415"/>
      <c r="D12" s="421"/>
      <c r="E12" s="78" t="s">
        <v>143</v>
      </c>
      <c r="F12" s="71" t="s">
        <v>143</v>
      </c>
      <c r="G12" s="312">
        <f>G30+G31+G33+G32+G34+G35+G36+G37+G38+G39+G40</f>
        <v>83094259</v>
      </c>
      <c r="H12" s="312">
        <f>H30+H31+H33+H32+H34+H35+H36+H37+H38+H39+H40</f>
        <v>34255264.871961921</v>
      </c>
      <c r="I12" s="311">
        <v>0.75</v>
      </c>
      <c r="J12" s="345">
        <f t="shared" ref="J12:L12" si="3">J30+J31+J33+J32+J34+J35+J36+J37+J38+J39+J40</f>
        <v>89910227.769999996</v>
      </c>
      <c r="K12" s="334">
        <f>J12/G12</f>
        <v>1.0820269517055323</v>
      </c>
      <c r="L12" s="333">
        <f t="shared" si="3"/>
        <v>125374838.60000001</v>
      </c>
      <c r="M12" s="334">
        <f t="shared" ref="M12:M27" si="4">L12/G12</f>
        <v>1.508826724118209</v>
      </c>
      <c r="N12" s="354">
        <f t="shared" ref="N12" si="5">N30+N31+N33+N32+N34+N35+N36+N37+N38+N39+N40</f>
        <v>14740515.23</v>
      </c>
      <c r="O12" s="337">
        <f>IF(L12&gt;(G12*I12),0,(G12*I12)-L12)</f>
        <v>0</v>
      </c>
      <c r="P12" s="332">
        <f>IF(L12-Q12&gt;0,0,L12-Q12)</f>
        <v>-18869207.819999978</v>
      </c>
      <c r="Q12" s="337">
        <f>Q30+Q31+Q33+Q32+Q34+Q35+Q36+Q37+Q38+Q39+Q40</f>
        <v>144244046.41999999</v>
      </c>
      <c r="R12" s="342">
        <f>Q12/G12</f>
        <v>1.7359086915980559</v>
      </c>
      <c r="S12" s="337">
        <f>IF(Q12&gt;(G12*I12),0,Q12-(G12*I12))</f>
        <v>0</v>
      </c>
      <c r="T12" s="337">
        <f>IF(Q12&gt;(G12*0.65),0,Q12-(G12*0.65))</f>
        <v>0</v>
      </c>
      <c r="U12" s="35"/>
      <c r="AA12" s="308"/>
    </row>
    <row r="13" spans="1:28" s="4" customFormat="1" ht="21.95" customHeight="1" outlineLevel="1" x14ac:dyDescent="0.35">
      <c r="A13" s="415"/>
      <c r="B13" s="415"/>
      <c r="C13" s="415"/>
      <c r="D13" s="421"/>
      <c r="E13" s="78" t="s">
        <v>144</v>
      </c>
      <c r="F13" s="78" t="s">
        <v>144</v>
      </c>
      <c r="G13" s="312">
        <f>G42+G43+G44</f>
        <v>23975988</v>
      </c>
      <c r="H13" s="312">
        <f>H42+H43+H44</f>
        <v>10538992.077308554</v>
      </c>
      <c r="I13" s="311">
        <v>0.75</v>
      </c>
      <c r="J13" s="345">
        <f t="shared" ref="J13:L13" si="6">J42+J43+J44</f>
        <v>16040145.029999997</v>
      </c>
      <c r="K13" s="335">
        <f t="shared" ref="K13:K27" si="7">J13/G13</f>
        <v>0.66900871947383345</v>
      </c>
      <c r="L13" s="333">
        <f t="shared" si="6"/>
        <v>22138426.199999999</v>
      </c>
      <c r="M13" s="334">
        <f t="shared" si="4"/>
        <v>0.9233582449240465</v>
      </c>
      <c r="N13" s="354">
        <f t="shared" ref="N13" si="8">N42+N43+N44</f>
        <v>1522899.9699999988</v>
      </c>
      <c r="O13" s="337">
        <f t="shared" ref="O13:O27" si="9">IF(L13&gt;(G13*I13),0,(G13*I13)-L13)</f>
        <v>0</v>
      </c>
      <c r="P13" s="357">
        <f t="shared" ref="P13:P27" si="10">IF(L13-Q13&gt;0,0,L13-Q13)</f>
        <v>-17138088.249999996</v>
      </c>
      <c r="Q13" s="337">
        <f>Q42+Q43+Q44</f>
        <v>39276514.449999996</v>
      </c>
      <c r="R13" s="342">
        <f t="shared" ref="R13:R27" si="11">Q13/G13</f>
        <v>1.6381604149117857</v>
      </c>
      <c r="S13" s="337">
        <f t="shared" ref="S13:S27" si="12">IF(Q13&gt;(G13*I13),0,Q13-(G13*I13))</f>
        <v>0</v>
      </c>
      <c r="T13" s="337">
        <f t="shared" ref="T13:T27" si="13">IF(Q13&gt;(G13*0.65),0,Q13-(G13*0.65))</f>
        <v>0</v>
      </c>
      <c r="U13" s="35"/>
      <c r="AA13" s="308"/>
    </row>
    <row r="14" spans="1:28" s="4" customFormat="1" ht="21.95" customHeight="1" outlineLevel="1" x14ac:dyDescent="0.35">
      <c r="A14" s="415"/>
      <c r="B14" s="415"/>
      <c r="C14" s="415"/>
      <c r="D14" s="421"/>
      <c r="E14" s="78" t="s">
        <v>145</v>
      </c>
      <c r="F14" s="71" t="s">
        <v>145</v>
      </c>
      <c r="G14" s="312">
        <f>G46+G47+G48+G49+G50+G51+G52+G53+G54+G55+G56</f>
        <v>79669032</v>
      </c>
      <c r="H14" s="312">
        <f>H46+H47+H48+H49+H50+H51+H52+H53+H54+H55+H56</f>
        <v>18066350.144028135</v>
      </c>
      <c r="I14" s="311">
        <v>0.85</v>
      </c>
      <c r="J14" s="345">
        <f t="shared" ref="J14:L14" si="14">J46+J47+J48+J49+J50+J51+J52+J53+J54+J55+J56</f>
        <v>106132747.99000004</v>
      </c>
      <c r="K14" s="334">
        <f t="shared" si="7"/>
        <v>1.3321706731669596</v>
      </c>
      <c r="L14" s="333">
        <f t="shared" si="14"/>
        <v>140901653.47882351</v>
      </c>
      <c r="M14" s="334">
        <f t="shared" si="4"/>
        <v>1.7685874917976099</v>
      </c>
      <c r="N14" s="354">
        <f t="shared" ref="N14" si="15">N46+N47+N48+N49+N50+N51+N52+N53+N54+N55+N56</f>
        <v>2855257.9800000056</v>
      </c>
      <c r="O14" s="337">
        <f t="shared" si="9"/>
        <v>0</v>
      </c>
      <c r="P14" s="357">
        <f t="shared" si="10"/>
        <v>-15243892.439999968</v>
      </c>
      <c r="Q14" s="337">
        <f>Q46+Q47+Q48+Q49+Q50+Q51+Q52+Q53+Q54+Q55+Q56</f>
        <v>156145545.91882348</v>
      </c>
      <c r="R14" s="342">
        <f t="shared" si="11"/>
        <v>1.9599277410427616</v>
      </c>
      <c r="S14" s="337">
        <f t="shared" si="12"/>
        <v>0</v>
      </c>
      <c r="T14" s="337">
        <f t="shared" si="13"/>
        <v>0</v>
      </c>
      <c r="U14" s="35"/>
      <c r="AA14" s="308"/>
    </row>
    <row r="15" spans="1:28" s="4" customFormat="1" ht="21.95" customHeight="1" outlineLevel="1" x14ac:dyDescent="0.35">
      <c r="A15" s="415"/>
      <c r="B15" s="415"/>
      <c r="C15" s="415"/>
      <c r="D15" s="421"/>
      <c r="E15" s="78" t="s">
        <v>146</v>
      </c>
      <c r="F15" s="78" t="s">
        <v>146</v>
      </c>
      <c r="G15" s="312">
        <f>G58+G59+G60+G61</f>
        <v>7012838</v>
      </c>
      <c r="H15" s="312">
        <f>H58+H59+H60+H61</f>
        <v>1123273.1675711775</v>
      </c>
      <c r="I15" s="311">
        <v>0.85</v>
      </c>
      <c r="J15" s="345">
        <f t="shared" ref="J15:L15" si="16">J58+J59+J60+J61</f>
        <v>6800945.9000000004</v>
      </c>
      <c r="K15" s="334">
        <f t="shared" si="7"/>
        <v>0.96978511410073931</v>
      </c>
      <c r="L15" s="333">
        <f t="shared" si="16"/>
        <v>8071506.6700000018</v>
      </c>
      <c r="M15" s="334">
        <f t="shared" si="4"/>
        <v>1.1509615180045514</v>
      </c>
      <c r="N15" s="354">
        <f t="shared" ref="N15" si="17">N58+N59+N60+N61</f>
        <v>105948.39999999979</v>
      </c>
      <c r="O15" s="337">
        <f t="shared" si="9"/>
        <v>0</v>
      </c>
      <c r="P15" s="357">
        <f t="shared" si="10"/>
        <v>-952994.76999999955</v>
      </c>
      <c r="Q15" s="337">
        <f>Q58+Q59+Q60+Q61</f>
        <v>9024501.4400000013</v>
      </c>
      <c r="R15" s="342">
        <f t="shared" si="11"/>
        <v>1.2868544004581315</v>
      </c>
      <c r="S15" s="337">
        <f t="shared" si="12"/>
        <v>0</v>
      </c>
      <c r="T15" s="337">
        <f t="shared" si="13"/>
        <v>0</v>
      </c>
      <c r="U15" s="35"/>
      <c r="AA15" s="308"/>
    </row>
    <row r="16" spans="1:28" s="4" customFormat="1" ht="21.95" customHeight="1" outlineLevel="1" x14ac:dyDescent="0.35">
      <c r="A16" s="415"/>
      <c r="B16" s="415"/>
      <c r="C16" s="415"/>
      <c r="D16" s="421"/>
      <c r="E16" s="320" t="s">
        <v>147</v>
      </c>
      <c r="F16" s="71" t="s">
        <v>147</v>
      </c>
      <c r="G16" s="312">
        <f>G63+G64+G65+G66</f>
        <v>56161288</v>
      </c>
      <c r="H16" s="312">
        <f>H63+H64+H65+H66</f>
        <v>17465636.620791242</v>
      </c>
      <c r="I16" s="311">
        <v>0.75</v>
      </c>
      <c r="J16" s="345">
        <f t="shared" ref="J16:L16" si="18">J63+J64+J65+J66</f>
        <v>23851022.419999998</v>
      </c>
      <c r="K16" s="335">
        <f t="shared" si="7"/>
        <v>0.42468795266946152</v>
      </c>
      <c r="L16" s="333">
        <f t="shared" si="18"/>
        <v>30276945.52</v>
      </c>
      <c r="M16" s="335">
        <f t="shared" si="4"/>
        <v>0.53910703614917088</v>
      </c>
      <c r="N16" s="354">
        <f t="shared" ref="N16" si="19">N63+N64+N65+N66</f>
        <v>3098906.2300000014</v>
      </c>
      <c r="O16" s="336">
        <f>-IF(L16&gt;(G16*I16),0,(G16*I16)-L16)</f>
        <v>-11844020.48</v>
      </c>
      <c r="P16" s="357">
        <f t="shared" si="10"/>
        <v>-23339930.440000001</v>
      </c>
      <c r="Q16" s="337">
        <f>Q63+Q64+Q65+Q66</f>
        <v>53616875.960000001</v>
      </c>
      <c r="R16" s="342">
        <f t="shared" si="11"/>
        <v>0.95469455686272719</v>
      </c>
      <c r="S16" s="337">
        <f t="shared" si="12"/>
        <v>0</v>
      </c>
      <c r="T16" s="337">
        <f t="shared" si="13"/>
        <v>0</v>
      </c>
      <c r="U16" s="35"/>
      <c r="AA16" s="308"/>
    </row>
    <row r="17" spans="1:28" s="4" customFormat="1" ht="21.95" customHeight="1" outlineLevel="1" x14ac:dyDescent="0.35">
      <c r="A17" s="415"/>
      <c r="B17" s="415"/>
      <c r="C17" s="415"/>
      <c r="D17" s="421"/>
      <c r="E17" s="71" t="s">
        <v>148</v>
      </c>
      <c r="F17" s="78" t="s">
        <v>148</v>
      </c>
      <c r="G17" s="312">
        <f>G68+G69+G70+G71</f>
        <v>31678051</v>
      </c>
      <c r="H17" s="312">
        <f>H68+H69+H70+H71</f>
        <v>12019571.103321806</v>
      </c>
      <c r="I17" s="311">
        <v>0.75</v>
      </c>
      <c r="J17" s="345">
        <f t="shared" ref="J17:L17" si="20">J68+J69+J70+J71</f>
        <v>27017691.93</v>
      </c>
      <c r="K17" s="334">
        <f t="shared" si="7"/>
        <v>0.85288365531073862</v>
      </c>
      <c r="L17" s="333">
        <f t="shared" si="20"/>
        <v>34997765.340000004</v>
      </c>
      <c r="M17" s="334">
        <f t="shared" si="4"/>
        <v>1.1047954099196318</v>
      </c>
      <c r="N17" s="354">
        <f t="shared" ref="N17" si="21">N68+N69+N70+N71</f>
        <v>4020696.200000002</v>
      </c>
      <c r="O17" s="337">
        <f t="shared" si="9"/>
        <v>0</v>
      </c>
      <c r="P17" s="357">
        <f t="shared" si="10"/>
        <v>-1836120.7499999925</v>
      </c>
      <c r="Q17" s="337">
        <f>Q68+Q69+Q70+Q71</f>
        <v>36833886.089999996</v>
      </c>
      <c r="R17" s="342">
        <f t="shared" si="11"/>
        <v>1.1627573328295986</v>
      </c>
      <c r="S17" s="337">
        <f t="shared" si="12"/>
        <v>0</v>
      </c>
      <c r="T17" s="337">
        <f t="shared" si="13"/>
        <v>0</v>
      </c>
      <c r="U17" s="35"/>
      <c r="AA17" s="308"/>
    </row>
    <row r="18" spans="1:28" s="4" customFormat="1" ht="21.95" customHeight="1" outlineLevel="1" x14ac:dyDescent="0.35">
      <c r="A18" s="415"/>
      <c r="B18" s="415"/>
      <c r="C18" s="415"/>
      <c r="D18" s="421"/>
      <c r="E18" s="298" t="s">
        <v>149</v>
      </c>
      <c r="F18" s="71" t="s">
        <v>149</v>
      </c>
      <c r="G18" s="312">
        <f>G73+G74+G75+G76+G77+G78+G79</f>
        <v>109957466</v>
      </c>
      <c r="H18" s="312">
        <f>H73+H74+H75+H76+H77+H78+H79</f>
        <v>26405879.946061909</v>
      </c>
      <c r="I18" s="311">
        <v>0.75</v>
      </c>
      <c r="J18" s="345">
        <f t="shared" ref="J18:L18" si="22">J73+J74+J75+J76+J77+J78+J79</f>
        <v>65148677.960000008</v>
      </c>
      <c r="K18" s="335">
        <f t="shared" si="7"/>
        <v>0.59248980837735932</v>
      </c>
      <c r="L18" s="333">
        <f t="shared" si="22"/>
        <v>91903792.540000007</v>
      </c>
      <c r="M18" s="334">
        <f t="shared" si="4"/>
        <v>0.83581220887720353</v>
      </c>
      <c r="N18" s="354">
        <f t="shared" ref="N18" si="23">N73+N74+N75+N76+N77+N78+N79</f>
        <v>9197533.5300000086</v>
      </c>
      <c r="O18" s="337">
        <f>IF(L18&gt;(G18*I18),0,(G18*I18)-L18)</f>
        <v>0</v>
      </c>
      <c r="P18" s="357">
        <f t="shared" si="10"/>
        <v>-19590338.100000009</v>
      </c>
      <c r="Q18" s="337">
        <f>Q73+Q74+Q75+Q76+Q77+Q78+Q79</f>
        <v>111494130.64000002</v>
      </c>
      <c r="R18" s="342">
        <f t="shared" si="11"/>
        <v>1.0139750823286526</v>
      </c>
      <c r="S18" s="337">
        <f t="shared" si="12"/>
        <v>0</v>
      </c>
      <c r="T18" s="337">
        <f t="shared" si="13"/>
        <v>0</v>
      </c>
      <c r="U18" s="35"/>
      <c r="AA18" s="308"/>
    </row>
    <row r="19" spans="1:28" s="4" customFormat="1" ht="21.95" customHeight="1" outlineLevel="1" x14ac:dyDescent="0.35">
      <c r="A19" s="415"/>
      <c r="B19" s="415"/>
      <c r="C19" s="415"/>
      <c r="D19" s="421"/>
      <c r="E19" s="320" t="s">
        <v>150</v>
      </c>
      <c r="F19" s="78" t="s">
        <v>150</v>
      </c>
      <c r="G19" s="312">
        <f>G81+G82+G83+G84+G85+G86+G87</f>
        <v>35200539</v>
      </c>
      <c r="H19" s="312">
        <f>H81+H82+H83+H84+H85+H86+H87</f>
        <v>11763234</v>
      </c>
      <c r="I19" s="311">
        <v>0.85</v>
      </c>
      <c r="J19" s="345">
        <f t="shared" ref="J19:L19" si="24">J81+J82+J83+J84+J85+J86+J87</f>
        <v>21855813.539999999</v>
      </c>
      <c r="K19" s="335">
        <f t="shared" si="7"/>
        <v>0.62089428630624088</v>
      </c>
      <c r="L19" s="333">
        <f t="shared" si="24"/>
        <v>36701663.810000002</v>
      </c>
      <c r="M19" s="334">
        <f t="shared" si="4"/>
        <v>1.0426449381925658</v>
      </c>
      <c r="N19" s="354">
        <f t="shared" ref="N19" si="25">N81+N82+N83+N84+N85+N86+N87</f>
        <v>9611277.0199999996</v>
      </c>
      <c r="O19" s="337">
        <f>-IF(L19&gt;(G19*I19),0,(G19*I19)-L19)</f>
        <v>0</v>
      </c>
      <c r="P19" s="357">
        <f t="shared" si="10"/>
        <v>-8885925.5039999858</v>
      </c>
      <c r="Q19" s="337">
        <f>Q81+Q82+Q83+Q84+Q85+Q86+Q87</f>
        <v>45587589.313999988</v>
      </c>
      <c r="R19" s="342">
        <f t="shared" si="11"/>
        <v>1.2950821382024857</v>
      </c>
      <c r="S19" s="337">
        <f t="shared" si="12"/>
        <v>0</v>
      </c>
      <c r="T19" s="337">
        <f t="shared" si="13"/>
        <v>0</v>
      </c>
      <c r="U19" s="35"/>
      <c r="AA19" s="308"/>
    </row>
    <row r="20" spans="1:28" s="4" customFormat="1" ht="21.95" customHeight="1" outlineLevel="1" x14ac:dyDescent="0.35">
      <c r="A20" s="415"/>
      <c r="B20" s="415"/>
      <c r="C20" s="415"/>
      <c r="D20" s="421"/>
      <c r="E20" s="78" t="s">
        <v>151</v>
      </c>
      <c r="F20" s="78" t="s">
        <v>151</v>
      </c>
      <c r="G20" s="312">
        <f>G89</f>
        <v>72852630</v>
      </c>
      <c r="H20" s="312">
        <f>H89</f>
        <v>14363011</v>
      </c>
      <c r="I20" s="311">
        <v>0.75</v>
      </c>
      <c r="J20" s="345">
        <f t="shared" ref="J20:L20" si="26">J89</f>
        <v>150561288.15000001</v>
      </c>
      <c r="K20" s="334">
        <f t="shared" si="7"/>
        <v>2.0666554954845147</v>
      </c>
      <c r="L20" s="340">
        <f t="shared" si="26"/>
        <v>179827487.44</v>
      </c>
      <c r="M20" s="334">
        <f t="shared" si="4"/>
        <v>2.4683733097899143</v>
      </c>
      <c r="N20" s="354">
        <f t="shared" ref="N20" si="27">N89</f>
        <v>10651526.360000014</v>
      </c>
      <c r="O20" s="337">
        <f t="shared" si="9"/>
        <v>0</v>
      </c>
      <c r="P20" s="357">
        <f t="shared" si="10"/>
        <v>-14875754.50999999</v>
      </c>
      <c r="Q20" s="337">
        <f>Q89</f>
        <v>194703241.94999999</v>
      </c>
      <c r="R20" s="342">
        <f t="shared" si="11"/>
        <v>2.6725629802245985</v>
      </c>
      <c r="S20" s="337">
        <f t="shared" si="12"/>
        <v>0</v>
      </c>
      <c r="T20" s="337">
        <f t="shared" si="13"/>
        <v>0</v>
      </c>
      <c r="U20" s="35"/>
      <c r="V20" s="4">
        <v>194703241.94999999</v>
      </c>
      <c r="W20" s="341">
        <v>965095.97000008798</v>
      </c>
      <c r="AA20" s="308"/>
    </row>
    <row r="21" spans="1:28" s="4" customFormat="1" ht="21.95" customHeight="1" outlineLevel="1" x14ac:dyDescent="0.35">
      <c r="A21" s="415"/>
      <c r="B21" s="415"/>
      <c r="C21" s="415"/>
      <c r="D21" s="421"/>
      <c r="E21" s="78" t="s">
        <v>152</v>
      </c>
      <c r="F21" s="78" t="s">
        <v>152</v>
      </c>
      <c r="G21" s="312">
        <f>G91+G92+G93+G94+G95+G96+G97+G98+G99</f>
        <v>306148623</v>
      </c>
      <c r="H21" s="312">
        <f>H91+H92+H93+H94+H95+H96+H97+H98+H99</f>
        <v>57183034.513883464</v>
      </c>
      <c r="I21" s="311">
        <v>0.75</v>
      </c>
      <c r="J21" s="345">
        <f t="shared" ref="J21:L21" si="28">J91+J92+J93+J94+J95+J96+J97+J98+J99</f>
        <v>226110802.44999993</v>
      </c>
      <c r="K21" s="335">
        <f t="shared" si="7"/>
        <v>0.73856547265933625</v>
      </c>
      <c r="L21" s="333">
        <f t="shared" si="28"/>
        <v>258405118.28</v>
      </c>
      <c r="M21" s="334">
        <f t="shared" si="4"/>
        <v>0.84405121848286091</v>
      </c>
      <c r="N21" s="354">
        <f t="shared" ref="N21" si="29">N91+N92+N93+N94+N95+N96+N97+N98+N99</f>
        <v>4815906.0300000068</v>
      </c>
      <c r="O21" s="337">
        <f t="shared" si="9"/>
        <v>0</v>
      </c>
      <c r="P21" s="357">
        <f t="shared" si="10"/>
        <v>-24383309.269999951</v>
      </c>
      <c r="Q21" s="337">
        <f>Q91+Q92+Q93+Q94+Q95+Q96+Q97+Q98+Q99</f>
        <v>282788427.54999995</v>
      </c>
      <c r="R21" s="342">
        <f t="shared" si="11"/>
        <v>0.92369655227879288</v>
      </c>
      <c r="S21" s="337">
        <f t="shared" si="12"/>
        <v>0</v>
      </c>
      <c r="T21" s="337">
        <f t="shared" si="13"/>
        <v>0</v>
      </c>
      <c r="U21" s="35"/>
      <c r="AA21" s="308"/>
    </row>
    <row r="22" spans="1:28" s="4" customFormat="1" ht="21.95" customHeight="1" outlineLevel="1" x14ac:dyDescent="0.35">
      <c r="A22" s="415"/>
      <c r="B22" s="415"/>
      <c r="C22" s="415"/>
      <c r="D22" s="421"/>
      <c r="E22" s="78" t="s">
        <v>153</v>
      </c>
      <c r="F22" s="78" t="s">
        <v>153</v>
      </c>
      <c r="G22" s="312">
        <f>G101+G102+G103+G104+G105+G106+G107+G108</f>
        <v>49376694</v>
      </c>
      <c r="H22" s="312">
        <f>H101+H102+H103+H104+H105+H106+H107+H108</f>
        <v>6973974</v>
      </c>
      <c r="I22" s="311">
        <v>0.85</v>
      </c>
      <c r="J22" s="345">
        <f t="shared" ref="J22:L22" si="30">J101+J102+J103+J104+J105+J106+J107+J108</f>
        <v>55549736.600000001</v>
      </c>
      <c r="K22" s="334">
        <f t="shared" si="7"/>
        <v>1.1250193583231798</v>
      </c>
      <c r="L22" s="333">
        <f t="shared" si="30"/>
        <v>59461923.769999988</v>
      </c>
      <c r="M22" s="334">
        <f t="shared" si="4"/>
        <v>1.2042508105139642</v>
      </c>
      <c r="N22" s="354">
        <f t="shared" ref="N22" si="31">N101+N102+N103+N104+N105+N106+N107+N108</f>
        <v>188180.36000000004</v>
      </c>
      <c r="O22" s="337">
        <f t="shared" si="9"/>
        <v>0</v>
      </c>
      <c r="P22" s="357">
        <f t="shared" si="10"/>
        <v>-412683</v>
      </c>
      <c r="Q22" s="337">
        <f>Q101+Q102+Q103+Q104+Q105+Q106+Q107+Q108</f>
        <v>59874606.769999988</v>
      </c>
      <c r="R22" s="342">
        <f t="shared" si="11"/>
        <v>1.2126086604745143</v>
      </c>
      <c r="S22" s="337">
        <f t="shared" si="12"/>
        <v>0</v>
      </c>
      <c r="T22" s="337">
        <f t="shared" si="13"/>
        <v>0</v>
      </c>
      <c r="U22" s="35"/>
      <c r="AA22" s="308"/>
    </row>
    <row r="23" spans="1:28" s="4" customFormat="1" ht="21.95" customHeight="1" outlineLevel="1" x14ac:dyDescent="0.35">
      <c r="A23" s="415"/>
      <c r="B23" s="415"/>
      <c r="C23" s="415"/>
      <c r="D23" s="421"/>
      <c r="E23" s="78" t="s">
        <v>154</v>
      </c>
      <c r="F23" s="78" t="s">
        <v>154</v>
      </c>
      <c r="G23" s="312">
        <f>G110+G111</f>
        <v>48708012</v>
      </c>
      <c r="H23" s="312">
        <f>H110+H111</f>
        <v>0</v>
      </c>
      <c r="I23" s="311">
        <v>0.85</v>
      </c>
      <c r="J23" s="345">
        <f t="shared" ref="J23:L23" si="32">J110+J111</f>
        <v>55678164.5</v>
      </c>
      <c r="K23" s="334">
        <f t="shared" si="7"/>
        <v>1.1431007387449934</v>
      </c>
      <c r="L23" s="333">
        <f t="shared" si="32"/>
        <v>59362289.380000003</v>
      </c>
      <c r="M23" s="334">
        <f t="shared" si="4"/>
        <v>1.2187376766680604</v>
      </c>
      <c r="N23" s="354">
        <f t="shared" ref="N23" si="33">N110+N111</f>
        <v>18480.000000007451</v>
      </c>
      <c r="O23" s="337">
        <f t="shared" si="9"/>
        <v>0</v>
      </c>
      <c r="P23" s="357">
        <f t="shared" si="10"/>
        <v>-1129538.4599999934</v>
      </c>
      <c r="Q23" s="337">
        <f>Q110+Q111</f>
        <v>60491827.839999996</v>
      </c>
      <c r="R23" s="342">
        <f t="shared" si="11"/>
        <v>1.2419276697230015</v>
      </c>
      <c r="S23" s="337">
        <f t="shared" si="12"/>
        <v>0</v>
      </c>
      <c r="T23" s="337">
        <f t="shared" si="13"/>
        <v>0</v>
      </c>
      <c r="U23" s="35"/>
      <c r="AA23" s="308"/>
    </row>
    <row r="24" spans="1:28" s="4" customFormat="1" ht="21.95" customHeight="1" outlineLevel="1" x14ac:dyDescent="0.35">
      <c r="A24" s="415"/>
      <c r="B24" s="415"/>
      <c r="C24" s="415"/>
      <c r="D24" s="421"/>
      <c r="E24" s="294" t="s">
        <v>155</v>
      </c>
      <c r="F24" s="78" t="s">
        <v>155</v>
      </c>
      <c r="G24" s="312">
        <f>G113+G114+G115+G116</f>
        <v>80534872</v>
      </c>
      <c r="H24" s="312">
        <f>H113+H114+H115+H116</f>
        <v>16924212.699999999</v>
      </c>
      <c r="I24" s="311">
        <v>0.85</v>
      </c>
      <c r="J24" s="345">
        <f t="shared" ref="J24:L24" si="34">J113+J114+J115+J116</f>
        <v>50676752.859999985</v>
      </c>
      <c r="K24" s="335">
        <f t="shared" si="7"/>
        <v>0.62925229284526563</v>
      </c>
      <c r="L24" s="333">
        <f t="shared" si="34"/>
        <v>77885508.229999974</v>
      </c>
      <c r="M24" s="334">
        <f t="shared" si="4"/>
        <v>0.96710289959857354</v>
      </c>
      <c r="N24" s="354">
        <f t="shared" ref="N24" si="35">N113+N114+N115+N116</f>
        <v>8672934.8300000038</v>
      </c>
      <c r="O24" s="337">
        <f t="shared" si="9"/>
        <v>0</v>
      </c>
      <c r="P24" s="357">
        <f t="shared" si="10"/>
        <v>-25624125.190000013</v>
      </c>
      <c r="Q24" s="337">
        <f>Q113+Q114+Q115+Q116</f>
        <v>103509633.41999999</v>
      </c>
      <c r="R24" s="342">
        <f t="shared" si="11"/>
        <v>1.2852771830319665</v>
      </c>
      <c r="S24" s="337">
        <f t="shared" si="12"/>
        <v>0</v>
      </c>
      <c r="T24" s="337">
        <f t="shared" si="13"/>
        <v>0</v>
      </c>
      <c r="U24" s="35"/>
      <c r="AA24" s="308"/>
    </row>
    <row r="25" spans="1:28" s="4" customFormat="1" ht="21.95" customHeight="1" outlineLevel="1" x14ac:dyDescent="0.35">
      <c r="A25" s="415"/>
      <c r="B25" s="415"/>
      <c r="C25" s="415"/>
      <c r="D25" s="421"/>
      <c r="E25" s="78" t="s">
        <v>156</v>
      </c>
      <c r="F25" s="78" t="s">
        <v>156</v>
      </c>
      <c r="G25" s="312">
        <f>G118+G119+G120+G121+G122+G123+G124+G125+G126+G127+G128+G129+G130+G131+G132+G133+G134</f>
        <v>36865959</v>
      </c>
      <c r="H25" s="312">
        <f>H118+H119+H120+H121+H122+H123+H124+H125+H126+H127+H128+H129+H130+H131+H132+H133+H134</f>
        <v>14473761.993476558</v>
      </c>
      <c r="I25" s="311">
        <v>0.75</v>
      </c>
      <c r="J25" s="345">
        <f t="shared" ref="J25:L25" si="36">J118+J119+J120+J121+J122+J123+J124+J125+J126+J127+J128+J129+J130+J131+J132+J133+J134</f>
        <v>27425084.350000001</v>
      </c>
      <c r="K25" s="335">
        <f t="shared" si="7"/>
        <v>0.74391349347510538</v>
      </c>
      <c r="L25" s="333">
        <f t="shared" si="36"/>
        <v>34370239.43</v>
      </c>
      <c r="M25" s="334">
        <f t="shared" si="4"/>
        <v>0.93230287132907619</v>
      </c>
      <c r="N25" s="354">
        <f t="shared" ref="N25" si="37">N118+N119+N120+N121+N122+N123+N124+N125+N126+N127+N128+N129+N130+N131+N132+N133+N134</f>
        <v>825312.33</v>
      </c>
      <c r="O25" s="337">
        <f t="shared" si="9"/>
        <v>0</v>
      </c>
      <c r="P25" s="357">
        <f t="shared" si="10"/>
        <v>-8285614.4900000095</v>
      </c>
      <c r="Q25" s="337">
        <f>Q118+Q119+Q120+Q121+Q122+Q123+Q124+Q125+Q126+Q127+Q128+Q129+Q130+Q131+Q132+Q133+Q134</f>
        <v>42655853.920000009</v>
      </c>
      <c r="R25" s="342">
        <f t="shared" si="11"/>
        <v>1.1570526056300341</v>
      </c>
      <c r="S25" s="337">
        <f t="shared" si="12"/>
        <v>0</v>
      </c>
      <c r="T25" s="337">
        <f t="shared" si="13"/>
        <v>0</v>
      </c>
      <c r="U25" s="35"/>
      <c r="AA25" s="308"/>
    </row>
    <row r="26" spans="1:28" s="4" customFormat="1" ht="21.95" customHeight="1" outlineLevel="1" x14ac:dyDescent="0.35">
      <c r="A26" s="415"/>
      <c r="B26" s="415"/>
      <c r="C26" s="415"/>
      <c r="D26" s="421"/>
      <c r="E26" s="78" t="s">
        <v>157</v>
      </c>
      <c r="F26" s="78" t="s">
        <v>157</v>
      </c>
      <c r="G26" s="312">
        <f>G136+G137+G138</f>
        <v>7796118</v>
      </c>
      <c r="H26" s="312">
        <f>H136+H137+H138</f>
        <v>11795105</v>
      </c>
      <c r="I26" s="311">
        <v>0.75</v>
      </c>
      <c r="J26" s="345">
        <f t="shared" ref="J26:L26" si="38">J136+J137+J138</f>
        <v>10912831.589999998</v>
      </c>
      <c r="K26" s="334">
        <f t="shared" si="7"/>
        <v>1.3997776316366681</v>
      </c>
      <c r="L26" s="333">
        <f t="shared" si="38"/>
        <v>13492969.41</v>
      </c>
      <c r="M26" s="334">
        <f t="shared" si="4"/>
        <v>1.7307292437082149</v>
      </c>
      <c r="N26" s="354">
        <f t="shared" ref="N26" si="39">N136+N137+N138</f>
        <v>1262927.5999999996</v>
      </c>
      <c r="O26" s="337">
        <f t="shared" si="9"/>
        <v>0</v>
      </c>
      <c r="P26" s="357">
        <f t="shared" si="10"/>
        <v>-5476975.9999999963</v>
      </c>
      <c r="Q26" s="337">
        <f>Q136+Q137+Q138</f>
        <v>18969945.409999996</v>
      </c>
      <c r="R26" s="342">
        <f t="shared" si="11"/>
        <v>2.4332552957766924</v>
      </c>
      <c r="S26" s="337">
        <f t="shared" si="12"/>
        <v>0</v>
      </c>
      <c r="T26" s="337">
        <f t="shared" si="13"/>
        <v>0</v>
      </c>
      <c r="U26" s="35"/>
      <c r="AA26" s="308"/>
    </row>
    <row r="27" spans="1:28" s="4" customFormat="1" ht="21.95" customHeight="1" outlineLevel="1" x14ac:dyDescent="0.35">
      <c r="A27" s="415"/>
      <c r="B27" s="415"/>
      <c r="C27" s="415"/>
      <c r="D27" s="421"/>
      <c r="E27" s="78" t="s">
        <v>158</v>
      </c>
      <c r="F27" s="78" t="s">
        <v>158</v>
      </c>
      <c r="G27" s="312">
        <f>G140+G141+G142+G143+G144+G145+G146+G147+G148+G149+G150+G151+G152+G153+G154+G155+G156+G157+G158</f>
        <v>47915367</v>
      </c>
      <c r="H27" s="312">
        <f>H140+H141+H142+H143+H144+H145+H146+H147+H148+H149+H150+H151+H152+H153+H154+H155+H156+H157+H158</f>
        <v>14001679.000000004</v>
      </c>
      <c r="I27" s="311">
        <v>0.75</v>
      </c>
      <c r="J27" s="345">
        <f t="shared" ref="J27:L27" si="40">J140+J141+J142+J143+J144+J145+J146+J147+J148+J149+J150+J151+J152+J153+J154+J155+J156+J157+J158</f>
        <v>45961834.930000015</v>
      </c>
      <c r="K27" s="334">
        <f t="shared" si="7"/>
        <v>0.95922952922389204</v>
      </c>
      <c r="L27" s="333">
        <f t="shared" si="40"/>
        <v>55342003.580000013</v>
      </c>
      <c r="M27" s="334">
        <f t="shared" si="4"/>
        <v>1.1549948804524446</v>
      </c>
      <c r="N27" s="354">
        <f t="shared" ref="N27" si="41">N140+N141+N142+N143+N144+N145+N146+N147+N148+N149+N150+N151+N152+N153+N154+N155+N156+N157+N158</f>
        <v>1143557.0600000042</v>
      </c>
      <c r="O27" s="337">
        <f t="shared" si="9"/>
        <v>0</v>
      </c>
      <c r="P27" s="357">
        <f t="shared" si="10"/>
        <v>-7691820.8599999994</v>
      </c>
      <c r="Q27" s="337">
        <f>Q140+Q141+Q142+Q143+Q144+Q145+Q146+Q147+Q148+Q149+Q150+Q151+Q152+Q153+Q154+Q155+Q156+Q157+Q158</f>
        <v>63033824.440000013</v>
      </c>
      <c r="R27" s="342">
        <f t="shared" si="11"/>
        <v>1.3155241916439879</v>
      </c>
      <c r="S27" s="337">
        <f t="shared" si="12"/>
        <v>0</v>
      </c>
      <c r="T27" s="337">
        <f t="shared" si="13"/>
        <v>0</v>
      </c>
      <c r="U27" s="35"/>
      <c r="AA27" s="308"/>
    </row>
    <row r="28" spans="1:28" s="6" customFormat="1" ht="15" customHeight="1" x14ac:dyDescent="0.2">
      <c r="A28" s="297" t="s">
        <v>1</v>
      </c>
      <c r="B28" s="297" t="s">
        <v>1</v>
      </c>
      <c r="C28" s="297" t="s">
        <v>1</v>
      </c>
      <c r="D28" s="297" t="s">
        <v>2</v>
      </c>
      <c r="E28" s="297" t="s">
        <v>3</v>
      </c>
      <c r="F28" s="297" t="s">
        <v>4</v>
      </c>
      <c r="G28" s="297" t="s">
        <v>4</v>
      </c>
      <c r="H28" s="297" t="s">
        <v>5</v>
      </c>
      <c r="I28" s="297" t="s">
        <v>7</v>
      </c>
      <c r="J28" s="297" t="s">
        <v>8</v>
      </c>
      <c r="K28" s="297" t="s">
        <v>9</v>
      </c>
      <c r="L28" s="297" t="s">
        <v>6</v>
      </c>
      <c r="M28" s="297" t="s">
        <v>10</v>
      </c>
      <c r="N28" s="297" t="s">
        <v>11</v>
      </c>
      <c r="O28" s="297" t="s">
        <v>12</v>
      </c>
      <c r="P28" s="297" t="s">
        <v>13</v>
      </c>
      <c r="Q28" s="297" t="s">
        <v>14</v>
      </c>
      <c r="R28" s="297" t="s">
        <v>318</v>
      </c>
      <c r="S28" s="297" t="s">
        <v>348</v>
      </c>
      <c r="T28" s="297" t="s">
        <v>359</v>
      </c>
    </row>
    <row r="29" spans="1:28" s="6" customFormat="1" ht="40.5" customHeight="1" x14ac:dyDescent="0.2">
      <c r="A29" s="414" t="s">
        <v>203</v>
      </c>
      <c r="B29" s="414"/>
      <c r="C29" s="414"/>
      <c r="D29" s="414"/>
      <c r="E29" s="414"/>
      <c r="F29" s="414"/>
      <c r="G29" s="414"/>
      <c r="H29" s="414"/>
      <c r="I29" s="414"/>
      <c r="J29" s="414"/>
      <c r="K29" s="414"/>
      <c r="L29" s="414"/>
      <c r="M29" s="414"/>
      <c r="N29" s="414"/>
      <c r="O29" s="414"/>
      <c r="P29" s="414"/>
      <c r="Q29" s="414"/>
      <c r="R29" s="414"/>
      <c r="S29" s="414"/>
      <c r="T29" s="414"/>
    </row>
    <row r="30" spans="1:28" s="8" customFormat="1" ht="46.5" x14ac:dyDescent="0.2">
      <c r="A30" s="89">
        <v>9</v>
      </c>
      <c r="B30" s="90" t="s">
        <v>1</v>
      </c>
      <c r="C30" s="71" t="s">
        <v>20</v>
      </c>
      <c r="D30" s="91" t="s">
        <v>126</v>
      </c>
      <c r="E30" s="312">
        <v>76512873</v>
      </c>
      <c r="F30" s="312"/>
      <c r="G30" s="312">
        <v>11617160</v>
      </c>
      <c r="H30" s="312">
        <v>0</v>
      </c>
      <c r="I30" s="314">
        <v>0.75</v>
      </c>
      <c r="J30" s="345">
        <f>20858258.52-758897.81</f>
        <v>20099360.710000001</v>
      </c>
      <c r="K30" s="344">
        <f>J30/G30</f>
        <v>1.7301440894332178</v>
      </c>
      <c r="L30" s="312">
        <f>23733010.81-21916.4</f>
        <v>23711094.41</v>
      </c>
      <c r="M30" s="311">
        <f t="shared" ref="M30:M40" si="42">IFERROR(L30/G30,"n/a")</f>
        <v>2.0410405305599646</v>
      </c>
      <c r="N30" s="354">
        <v>1484432.2699999996</v>
      </c>
      <c r="O30" s="354"/>
      <c r="P30" s="312">
        <f>IF(L30-Q30&gt;0,0,L30-Q30)</f>
        <v>-2799311.7599999942</v>
      </c>
      <c r="Q30" s="312">
        <v>26510406.169999994</v>
      </c>
      <c r="R30" s="311">
        <f t="shared" ref="R30:R40" si="43">IFERROR(Q30/G30,"n/a")</f>
        <v>2.2820040500432115</v>
      </c>
      <c r="S30" s="312">
        <f>IF(IFERROR(Q30-(G30*I30),"n/a")&gt;0,0,IFERROR(Q30-(G30*I30),"n/a"))</f>
        <v>0</v>
      </c>
      <c r="T30" s="312">
        <f>IF(IFERROR(Q30-(G30*0.65),"n/a")&gt;0,0,IFERROR(Q30-(G30*0.65),"n/a"))</f>
        <v>0</v>
      </c>
      <c r="W30" s="288">
        <f>Q30-L30</f>
        <v>2799311.7599999942</v>
      </c>
      <c r="Y30" s="295" t="str">
        <f t="shared" ref="Y30:Y61" si="44">IF(L30&gt;Q30,"Nav labi","OK")</f>
        <v>OK</v>
      </c>
      <c r="AB30" s="128"/>
    </row>
    <row r="31" spans="1:28" s="8" customFormat="1" ht="46.5" x14ac:dyDescent="0.2">
      <c r="A31" s="89">
        <v>1</v>
      </c>
      <c r="B31" s="90" t="s">
        <v>1</v>
      </c>
      <c r="C31" s="71" t="s">
        <v>21</v>
      </c>
      <c r="D31" s="91" t="s">
        <v>126</v>
      </c>
      <c r="E31" s="312">
        <v>64029231</v>
      </c>
      <c r="F31" s="312"/>
      <c r="G31" s="312">
        <v>9721734</v>
      </c>
      <c r="H31" s="312">
        <v>0</v>
      </c>
      <c r="I31" s="314">
        <v>0.75</v>
      </c>
      <c r="J31" s="345">
        <v>2372454.96</v>
      </c>
      <c r="K31" s="344">
        <f t="shared" ref="K31:K46" si="45">J31/G31</f>
        <v>0.24403619354325062</v>
      </c>
      <c r="L31" s="312">
        <v>3330366.82</v>
      </c>
      <c r="M31" s="311">
        <f t="shared" si="42"/>
        <v>0.34256921861881839</v>
      </c>
      <c r="N31" s="354">
        <v>0</v>
      </c>
      <c r="O31" s="354"/>
      <c r="P31" s="357">
        <f t="shared" ref="P31:P46" si="46">IF(L31-Q31&gt;0,0,L31-Q31)</f>
        <v>-1494446.48</v>
      </c>
      <c r="Q31" s="312">
        <v>4824813.3</v>
      </c>
      <c r="R31" s="311">
        <f t="shared" si="43"/>
        <v>0.49629143319494234</v>
      </c>
      <c r="S31" s="353">
        <f t="shared" ref="S31:S44" si="47">IF(IFERROR(Q31-(G31*I31),"n/a")&gt;0,0,IFERROR(Q31-(G31*I31),"n/a"))</f>
        <v>-2466487.2000000002</v>
      </c>
      <c r="T31" s="353">
        <f t="shared" ref="T31:T44" si="48">IF(IFERROR(Q31-(G31*0.65),"n/a")&gt;0,0,IFERROR(Q31-(G31*0.65),"n/a"))</f>
        <v>-1494313.8000000007</v>
      </c>
      <c r="W31" s="288">
        <f t="shared" ref="W31:W94" si="49">Q31-L31</f>
        <v>1494446.48</v>
      </c>
      <c r="Y31" s="295" t="str">
        <f t="shared" si="44"/>
        <v>OK</v>
      </c>
    </row>
    <row r="32" spans="1:28" s="8" customFormat="1" ht="46.5" x14ac:dyDescent="0.2">
      <c r="A32" s="89">
        <v>2</v>
      </c>
      <c r="B32" s="90" t="s">
        <v>1</v>
      </c>
      <c r="C32" s="71" t="s">
        <v>22</v>
      </c>
      <c r="D32" s="91" t="s">
        <v>126</v>
      </c>
      <c r="E32" s="312">
        <v>34000000</v>
      </c>
      <c r="F32" s="312"/>
      <c r="G32" s="312">
        <v>5116765</v>
      </c>
      <c r="H32" s="312">
        <v>9049303</v>
      </c>
      <c r="I32" s="314">
        <v>0.75</v>
      </c>
      <c r="J32" s="345">
        <v>0</v>
      </c>
      <c r="K32" s="344">
        <f t="shared" si="45"/>
        <v>0</v>
      </c>
      <c r="L32" s="312">
        <v>0</v>
      </c>
      <c r="M32" s="311">
        <f t="shared" si="42"/>
        <v>0</v>
      </c>
      <c r="N32" s="354">
        <v>0</v>
      </c>
      <c r="O32" s="354"/>
      <c r="P32" s="357">
        <f t="shared" si="46"/>
        <v>0</v>
      </c>
      <c r="Q32" s="312">
        <v>0</v>
      </c>
      <c r="R32" s="311">
        <f t="shared" si="43"/>
        <v>0</v>
      </c>
      <c r="S32" s="353">
        <f t="shared" si="47"/>
        <v>-3837573.75</v>
      </c>
      <c r="T32" s="353">
        <f t="shared" si="48"/>
        <v>-3325897.25</v>
      </c>
      <c r="U32" s="10"/>
      <c r="W32" s="288">
        <f t="shared" si="49"/>
        <v>0</v>
      </c>
      <c r="Y32" s="295" t="str">
        <f t="shared" si="44"/>
        <v>OK</v>
      </c>
    </row>
    <row r="33" spans="1:28" s="8" customFormat="1" ht="46.5" x14ac:dyDescent="0.2">
      <c r="A33" s="89">
        <v>8</v>
      </c>
      <c r="B33" s="90" t="s">
        <v>1</v>
      </c>
      <c r="C33" s="71" t="s">
        <v>23</v>
      </c>
      <c r="D33" s="91" t="s">
        <v>126</v>
      </c>
      <c r="E33" s="312">
        <v>122252616</v>
      </c>
      <c r="F33" s="312"/>
      <c r="G33" s="312">
        <v>17499122</v>
      </c>
      <c r="H33" s="312">
        <v>0</v>
      </c>
      <c r="I33" s="314">
        <v>0.75</v>
      </c>
      <c r="J33" s="345">
        <v>19298452.679999996</v>
      </c>
      <c r="K33" s="344">
        <f t="shared" si="45"/>
        <v>1.1028240548297221</v>
      </c>
      <c r="L33" s="312">
        <v>30740050.930000007</v>
      </c>
      <c r="M33" s="311">
        <f t="shared" si="42"/>
        <v>1.7566624731229377</v>
      </c>
      <c r="N33" s="354">
        <v>7629644.7399999984</v>
      </c>
      <c r="O33" s="354"/>
      <c r="P33" s="357">
        <f t="shared" si="46"/>
        <v>-7756729.3400000036</v>
      </c>
      <c r="Q33" s="312">
        <v>38496780.270000011</v>
      </c>
      <c r="R33" s="311">
        <f t="shared" si="43"/>
        <v>2.1999263888782541</v>
      </c>
      <c r="S33" s="353">
        <f t="shared" si="47"/>
        <v>0</v>
      </c>
      <c r="T33" s="353">
        <f t="shared" si="48"/>
        <v>0</v>
      </c>
      <c r="W33" s="288">
        <f t="shared" si="49"/>
        <v>7756729.3400000036</v>
      </c>
      <c r="Y33" s="295" t="str">
        <f t="shared" si="44"/>
        <v>OK</v>
      </c>
    </row>
    <row r="34" spans="1:28" s="8" customFormat="1" ht="46.5" x14ac:dyDescent="0.2">
      <c r="A34" s="89">
        <v>4</v>
      </c>
      <c r="B34" s="90" t="s">
        <v>1</v>
      </c>
      <c r="C34" s="71" t="s">
        <v>24</v>
      </c>
      <c r="D34" s="91" t="s">
        <v>126</v>
      </c>
      <c r="E34" s="312">
        <v>32552786</v>
      </c>
      <c r="F34" s="312"/>
      <c r="G34" s="312">
        <v>4809228</v>
      </c>
      <c r="H34" s="312">
        <v>7663112</v>
      </c>
      <c r="I34" s="314">
        <v>0.75</v>
      </c>
      <c r="J34" s="345">
        <v>1070584.8799999999</v>
      </c>
      <c r="K34" s="344">
        <f t="shared" si="45"/>
        <v>0.2226105478883513</v>
      </c>
      <c r="L34" s="312">
        <v>1629047.5800000005</v>
      </c>
      <c r="M34" s="311">
        <f t="shared" si="42"/>
        <v>0.33873369696757993</v>
      </c>
      <c r="N34" s="354">
        <v>60398.699999999953</v>
      </c>
      <c r="O34" s="354"/>
      <c r="P34" s="357">
        <f t="shared" si="46"/>
        <v>-1316888.94</v>
      </c>
      <c r="Q34" s="312">
        <v>2945936.5200000005</v>
      </c>
      <c r="R34" s="311">
        <f t="shared" si="43"/>
        <v>0.6125591300724359</v>
      </c>
      <c r="S34" s="353">
        <f t="shared" si="47"/>
        <v>-660984.47999999952</v>
      </c>
      <c r="T34" s="353">
        <f t="shared" si="48"/>
        <v>-180061.6799999997</v>
      </c>
      <c r="W34" s="288">
        <f t="shared" si="49"/>
        <v>1316888.94</v>
      </c>
      <c r="Y34" s="295" t="str">
        <f t="shared" si="44"/>
        <v>OK</v>
      </c>
    </row>
    <row r="35" spans="1:28" s="8" customFormat="1" ht="46.5" x14ac:dyDescent="0.2">
      <c r="A35" s="89">
        <v>10</v>
      </c>
      <c r="B35" s="95" t="s">
        <v>1</v>
      </c>
      <c r="C35" s="71" t="s">
        <v>25</v>
      </c>
      <c r="D35" s="91" t="s">
        <v>127</v>
      </c>
      <c r="E35" s="312">
        <v>81614203</v>
      </c>
      <c r="F35" s="312"/>
      <c r="G35" s="312">
        <v>13643805</v>
      </c>
      <c r="H35" s="312">
        <v>0</v>
      </c>
      <c r="I35" s="314">
        <v>0.75</v>
      </c>
      <c r="J35" s="345">
        <f>34765443.78-5331823.09</f>
        <v>29433620.690000001</v>
      </c>
      <c r="K35" s="344">
        <f t="shared" si="45"/>
        <v>2.1572882850495154</v>
      </c>
      <c r="L35" s="340">
        <v>39647254.650000006</v>
      </c>
      <c r="M35" s="311">
        <f t="shared" si="42"/>
        <v>2.9058796025009155</v>
      </c>
      <c r="N35" s="354">
        <v>2681382.3800000027</v>
      </c>
      <c r="O35" s="354"/>
      <c r="P35" s="357">
        <f t="shared" si="46"/>
        <v>-923718.71999999881</v>
      </c>
      <c r="Q35" s="312">
        <v>40570973.370000005</v>
      </c>
      <c r="R35" s="311">
        <f t="shared" si="43"/>
        <v>2.9735820300861824</v>
      </c>
      <c r="S35" s="353">
        <f t="shared" si="47"/>
        <v>0</v>
      </c>
      <c r="T35" s="353">
        <f t="shared" si="48"/>
        <v>0</v>
      </c>
      <c r="W35" s="288">
        <f t="shared" si="49"/>
        <v>923718.71999999881</v>
      </c>
      <c r="Y35" s="295" t="str">
        <f t="shared" si="44"/>
        <v>OK</v>
      </c>
    </row>
    <row r="36" spans="1:28" s="8" customFormat="1" ht="46.5" x14ac:dyDescent="0.2">
      <c r="A36" s="89">
        <v>3</v>
      </c>
      <c r="B36" s="95" t="s">
        <v>1</v>
      </c>
      <c r="C36" s="71" t="s">
        <v>26</v>
      </c>
      <c r="D36" s="91" t="s">
        <v>127</v>
      </c>
      <c r="E36" s="312">
        <v>42352941</v>
      </c>
      <c r="F36" s="312"/>
      <c r="G36" s="312">
        <v>6352941</v>
      </c>
      <c r="H36" s="312">
        <v>17250000</v>
      </c>
      <c r="I36" s="314">
        <v>0.75</v>
      </c>
      <c r="J36" s="345">
        <v>1321894.52</v>
      </c>
      <c r="K36" s="344">
        <f t="shared" si="45"/>
        <v>0.208075995039148</v>
      </c>
      <c r="L36" s="340">
        <v>3050771.5500000003</v>
      </c>
      <c r="M36" s="311">
        <f t="shared" si="42"/>
        <v>0.4802140536170571</v>
      </c>
      <c r="N36" s="354">
        <v>537110.14000000013</v>
      </c>
      <c r="O36" s="354"/>
      <c r="P36" s="357">
        <f t="shared" si="46"/>
        <v>-40465.909999999683</v>
      </c>
      <c r="Q36" s="312">
        <v>3091237.46</v>
      </c>
      <c r="R36" s="311">
        <f t="shared" si="43"/>
        <v>0.48658368777547278</v>
      </c>
      <c r="S36" s="353">
        <f t="shared" si="47"/>
        <v>-1673468.29</v>
      </c>
      <c r="T36" s="353">
        <f t="shared" si="48"/>
        <v>-1038174.1900000004</v>
      </c>
      <c r="W36" s="288">
        <f t="shared" si="49"/>
        <v>40465.909999999683</v>
      </c>
      <c r="Y36" s="295" t="str">
        <f t="shared" si="44"/>
        <v>OK</v>
      </c>
    </row>
    <row r="37" spans="1:28" s="8" customFormat="1" ht="46.5" x14ac:dyDescent="0.2">
      <c r="A37" s="89">
        <v>11</v>
      </c>
      <c r="B37" s="95" t="s">
        <v>1</v>
      </c>
      <c r="C37" s="71" t="s">
        <v>27</v>
      </c>
      <c r="D37" s="91" t="s">
        <v>127</v>
      </c>
      <c r="E37" s="312">
        <v>142117362</v>
      </c>
      <c r="F37" s="312"/>
      <c r="G37" s="312">
        <v>9000000</v>
      </c>
      <c r="H37" s="312">
        <v>0</v>
      </c>
      <c r="I37" s="314">
        <v>0.75</v>
      </c>
      <c r="J37" s="345">
        <v>8197014.4799999995</v>
      </c>
      <c r="K37" s="344">
        <f t="shared" si="45"/>
        <v>0.91077938666666658</v>
      </c>
      <c r="L37" s="340">
        <v>13848555.220000001</v>
      </c>
      <c r="M37" s="311">
        <f t="shared" si="42"/>
        <v>1.5387283577777779</v>
      </c>
      <c r="N37" s="354">
        <v>2085945</v>
      </c>
      <c r="O37" s="354"/>
      <c r="P37" s="357">
        <f t="shared" si="46"/>
        <v>-4284151.7899999972</v>
      </c>
      <c r="Q37" s="312">
        <v>18132707.009999998</v>
      </c>
      <c r="R37" s="311">
        <f t="shared" si="43"/>
        <v>2.0147452233333332</v>
      </c>
      <c r="S37" s="353">
        <f t="shared" si="47"/>
        <v>0</v>
      </c>
      <c r="T37" s="353">
        <f t="shared" si="48"/>
        <v>0</v>
      </c>
      <c r="W37" s="288">
        <f t="shared" si="49"/>
        <v>4284151.7899999972</v>
      </c>
      <c r="Y37" s="295" t="str">
        <f t="shared" si="44"/>
        <v>OK</v>
      </c>
    </row>
    <row r="38" spans="1:28" s="8" customFormat="1" ht="46.5" x14ac:dyDescent="0.2">
      <c r="A38" s="89">
        <v>7</v>
      </c>
      <c r="B38" s="95" t="s">
        <v>1</v>
      </c>
      <c r="C38" s="71" t="s">
        <v>28</v>
      </c>
      <c r="D38" s="91" t="s">
        <v>127</v>
      </c>
      <c r="E38" s="312">
        <v>21176470</v>
      </c>
      <c r="F38" s="312"/>
      <c r="G38" s="312">
        <v>3736236</v>
      </c>
      <c r="H38" s="312">
        <v>0</v>
      </c>
      <c r="I38" s="314">
        <v>0.75</v>
      </c>
      <c r="J38" s="345">
        <v>6085198.0299999984</v>
      </c>
      <c r="K38" s="344">
        <f t="shared" si="45"/>
        <v>1.6286974457716263</v>
      </c>
      <c r="L38" s="340">
        <v>7125497.0399999982</v>
      </c>
      <c r="M38" s="311">
        <f t="shared" si="42"/>
        <v>1.9071324830658445</v>
      </c>
      <c r="N38" s="354">
        <v>261602</v>
      </c>
      <c r="O38" s="354"/>
      <c r="P38" s="357">
        <f t="shared" si="46"/>
        <v>-167392.40000000037</v>
      </c>
      <c r="Q38" s="312">
        <v>7292889.4399999985</v>
      </c>
      <c r="R38" s="311">
        <f t="shared" si="43"/>
        <v>1.95193489918731</v>
      </c>
      <c r="S38" s="353">
        <f t="shared" si="47"/>
        <v>0</v>
      </c>
      <c r="T38" s="353">
        <f t="shared" si="48"/>
        <v>0</v>
      </c>
      <c r="W38" s="288">
        <f t="shared" si="49"/>
        <v>167392.40000000037</v>
      </c>
      <c r="Y38" s="295" t="str">
        <f t="shared" si="44"/>
        <v>OK</v>
      </c>
    </row>
    <row r="39" spans="1:28" s="8" customFormat="1" ht="46.5" x14ac:dyDescent="0.2">
      <c r="A39" s="89">
        <v>5</v>
      </c>
      <c r="B39" s="95" t="s">
        <v>1</v>
      </c>
      <c r="C39" s="71" t="s">
        <v>29</v>
      </c>
      <c r="D39" s="91" t="s">
        <v>127</v>
      </c>
      <c r="E39" s="312">
        <v>5648462</v>
      </c>
      <c r="F39" s="312"/>
      <c r="G39" s="312">
        <v>847269</v>
      </c>
      <c r="H39" s="312">
        <v>292849.87196192326</v>
      </c>
      <c r="I39" s="314">
        <v>0.75</v>
      </c>
      <c r="J39" s="345">
        <v>1241505.1600000001</v>
      </c>
      <c r="K39" s="344">
        <f t="shared" si="45"/>
        <v>1.4653022357716383</v>
      </c>
      <c r="L39" s="340">
        <v>1397923.81</v>
      </c>
      <c r="M39" s="311">
        <f t="shared" si="42"/>
        <v>1.6499173344002909</v>
      </c>
      <c r="N39" s="354">
        <v>0</v>
      </c>
      <c r="O39" s="354"/>
      <c r="P39" s="357">
        <f t="shared" si="46"/>
        <v>0</v>
      </c>
      <c r="Q39" s="312">
        <v>1397923.81</v>
      </c>
      <c r="R39" s="311">
        <f t="shared" si="43"/>
        <v>1.6499173344002909</v>
      </c>
      <c r="S39" s="353">
        <f t="shared" si="47"/>
        <v>0</v>
      </c>
      <c r="T39" s="353">
        <f t="shared" si="48"/>
        <v>0</v>
      </c>
      <c r="W39" s="288">
        <f t="shared" si="49"/>
        <v>0</v>
      </c>
      <c r="Y39" s="295" t="str">
        <f t="shared" si="44"/>
        <v>OK</v>
      </c>
    </row>
    <row r="40" spans="1:28" s="8" customFormat="1" ht="69.75" x14ac:dyDescent="0.2">
      <c r="A40" s="89">
        <v>6</v>
      </c>
      <c r="B40" s="95" t="s">
        <v>1</v>
      </c>
      <c r="C40" s="71" t="s">
        <v>30</v>
      </c>
      <c r="D40" s="91" t="s">
        <v>127</v>
      </c>
      <c r="E40" s="312">
        <v>8127343</v>
      </c>
      <c r="F40" s="312"/>
      <c r="G40" s="312">
        <v>749999</v>
      </c>
      <c r="H40" s="312">
        <v>0</v>
      </c>
      <c r="I40" s="314">
        <v>0.75</v>
      </c>
      <c r="J40" s="345">
        <v>790141.66</v>
      </c>
      <c r="K40" s="344">
        <f t="shared" si="45"/>
        <v>1.0535236180314909</v>
      </c>
      <c r="L40" s="340">
        <v>894276.59000000008</v>
      </c>
      <c r="M40" s="311">
        <f t="shared" si="42"/>
        <v>1.1923703764938354</v>
      </c>
      <c r="N40" s="354">
        <v>0</v>
      </c>
      <c r="O40" s="354"/>
      <c r="P40" s="357">
        <f t="shared" si="46"/>
        <v>-86102.479999999981</v>
      </c>
      <c r="Q40" s="312">
        <v>980379.07000000007</v>
      </c>
      <c r="R40" s="311">
        <f t="shared" si="43"/>
        <v>1.3071738362317817</v>
      </c>
      <c r="S40" s="353">
        <f t="shared" si="47"/>
        <v>0</v>
      </c>
      <c r="T40" s="353">
        <f t="shared" si="48"/>
        <v>0</v>
      </c>
      <c r="W40" s="288">
        <f t="shared" si="49"/>
        <v>86102.479999999981</v>
      </c>
      <c r="Y40" s="295" t="str">
        <f t="shared" si="44"/>
        <v>OK</v>
      </c>
    </row>
    <row r="41" spans="1:28" s="8" customFormat="1" ht="28.5" x14ac:dyDescent="0.2">
      <c r="A41" s="414" t="s">
        <v>217</v>
      </c>
      <c r="B41" s="414"/>
      <c r="C41" s="414"/>
      <c r="D41" s="414"/>
      <c r="E41" s="414"/>
      <c r="F41" s="414"/>
      <c r="G41" s="414"/>
      <c r="H41" s="414"/>
      <c r="I41" s="414"/>
      <c r="J41" s="414"/>
      <c r="K41" s="414"/>
      <c r="L41" s="414"/>
      <c r="M41" s="414"/>
      <c r="N41" s="414"/>
      <c r="O41" s="414"/>
      <c r="P41" s="414"/>
      <c r="Q41" s="414"/>
      <c r="R41" s="414"/>
      <c r="S41" s="414"/>
      <c r="T41" s="414"/>
      <c r="W41" s="288">
        <f t="shared" si="49"/>
        <v>0</v>
      </c>
      <c r="Y41" s="295" t="str">
        <f t="shared" si="44"/>
        <v>OK</v>
      </c>
    </row>
    <row r="42" spans="1:28" s="8" customFormat="1" ht="46.5" x14ac:dyDescent="0.2">
      <c r="A42" s="89">
        <v>12</v>
      </c>
      <c r="B42" s="89" t="s">
        <v>2</v>
      </c>
      <c r="C42" s="71" t="s">
        <v>31</v>
      </c>
      <c r="D42" s="91" t="s">
        <v>128</v>
      </c>
      <c r="E42" s="312">
        <v>51734253</v>
      </c>
      <c r="F42" s="312"/>
      <c r="G42" s="312">
        <v>8821904</v>
      </c>
      <c r="H42" s="312">
        <v>2682212</v>
      </c>
      <c r="I42" s="314">
        <v>0.75</v>
      </c>
      <c r="J42" s="345">
        <v>592506.03999999992</v>
      </c>
      <c r="K42" s="344">
        <f t="shared" si="45"/>
        <v>6.7163056863915077E-2</v>
      </c>
      <c r="L42" s="312">
        <v>2299626.4900000002</v>
      </c>
      <c r="M42" s="311">
        <f>IFERROR(L42/G42,"n/a")</f>
        <v>0.26067235485672935</v>
      </c>
      <c r="N42" s="354">
        <v>0</v>
      </c>
      <c r="O42" s="329"/>
      <c r="P42" s="357">
        <f t="shared" si="46"/>
        <v>-6673466.209999999</v>
      </c>
      <c r="Q42" s="312">
        <v>8973092.6999999993</v>
      </c>
      <c r="R42" s="311">
        <f>IFERROR(Q42/G42,"n/a")</f>
        <v>1.0171378763586636</v>
      </c>
      <c r="S42" s="353">
        <f t="shared" si="47"/>
        <v>0</v>
      </c>
      <c r="T42" s="353">
        <f t="shared" si="48"/>
        <v>0</v>
      </c>
      <c r="W42" s="288">
        <f t="shared" si="49"/>
        <v>6673466.209999999</v>
      </c>
      <c r="Y42" s="295" t="str">
        <f t="shared" si="44"/>
        <v>OK</v>
      </c>
      <c r="AB42" s="128"/>
    </row>
    <row r="43" spans="1:28" s="8" customFormat="1" ht="69.75" x14ac:dyDescent="0.2">
      <c r="A43" s="89">
        <v>14</v>
      </c>
      <c r="B43" s="89" t="s">
        <v>2</v>
      </c>
      <c r="C43" s="71" t="s">
        <v>162</v>
      </c>
      <c r="D43" s="91" t="s">
        <v>129</v>
      </c>
      <c r="E43" s="312">
        <v>139640840</v>
      </c>
      <c r="F43" s="312"/>
      <c r="G43" s="312">
        <v>13754084</v>
      </c>
      <c r="H43" s="312">
        <v>7856780.0773085542</v>
      </c>
      <c r="I43" s="314">
        <v>0.75</v>
      </c>
      <c r="J43" s="345">
        <v>12960187.789999999</v>
      </c>
      <c r="K43" s="344">
        <f t="shared" si="45"/>
        <v>0.94227923793398372</v>
      </c>
      <c r="L43" s="312">
        <v>17351348.510000002</v>
      </c>
      <c r="M43" s="311">
        <f>IFERROR(L43/G43,"n/a")</f>
        <v>1.2615415544939235</v>
      </c>
      <c r="N43" s="354">
        <v>1522899.9699999988</v>
      </c>
      <c r="O43" s="329"/>
      <c r="P43" s="357">
        <f t="shared" si="46"/>
        <v>-8622417.0899999999</v>
      </c>
      <c r="Q43" s="312">
        <v>25973765.600000001</v>
      </c>
      <c r="R43" s="311">
        <f>IFERROR(Q43/G43,"n/a")</f>
        <v>1.8884402334608399</v>
      </c>
      <c r="S43" s="353">
        <f t="shared" si="47"/>
        <v>0</v>
      </c>
      <c r="T43" s="353">
        <f t="shared" si="48"/>
        <v>0</v>
      </c>
      <c r="W43" s="288">
        <f t="shared" si="49"/>
        <v>8622417.0899999999</v>
      </c>
      <c r="Y43" s="295" t="str">
        <f t="shared" si="44"/>
        <v>OK</v>
      </c>
      <c r="AB43" s="128"/>
    </row>
    <row r="44" spans="1:28" s="27" customFormat="1" ht="69.75" x14ac:dyDescent="0.2">
      <c r="A44" s="89">
        <v>13</v>
      </c>
      <c r="B44" s="89" t="s">
        <v>2</v>
      </c>
      <c r="C44" s="71" t="s">
        <v>32</v>
      </c>
      <c r="D44" s="91" t="s">
        <v>129</v>
      </c>
      <c r="E44" s="312">
        <v>11900000</v>
      </c>
      <c r="F44" s="312"/>
      <c r="G44" s="312">
        <v>1400000</v>
      </c>
      <c r="H44" s="312">
        <v>0</v>
      </c>
      <c r="I44" s="314">
        <v>0.75</v>
      </c>
      <c r="J44" s="345">
        <v>2487451.2000000002</v>
      </c>
      <c r="K44" s="344">
        <f t="shared" si="45"/>
        <v>1.7767508571428572</v>
      </c>
      <c r="L44" s="312">
        <v>2487451.2000000002</v>
      </c>
      <c r="M44" s="311">
        <f>IFERROR(L44/G44,"n/a")</f>
        <v>1.7767508571428572</v>
      </c>
      <c r="N44" s="354">
        <v>0</v>
      </c>
      <c r="O44" s="329"/>
      <c r="P44" s="357">
        <f t="shared" si="46"/>
        <v>-1842204.9500000002</v>
      </c>
      <c r="Q44" s="312">
        <v>4329656.1500000004</v>
      </c>
      <c r="R44" s="311">
        <f>IFERROR(Q44/G44,"n/a")</f>
        <v>3.092611535714286</v>
      </c>
      <c r="S44" s="353">
        <f t="shared" si="47"/>
        <v>0</v>
      </c>
      <c r="T44" s="353">
        <f t="shared" si="48"/>
        <v>0</v>
      </c>
      <c r="W44" s="288">
        <f t="shared" si="49"/>
        <v>1842204.9500000002</v>
      </c>
      <c r="X44" s="8"/>
      <c r="Y44" s="295" t="str">
        <f t="shared" si="44"/>
        <v>OK</v>
      </c>
      <c r="AB44" s="128"/>
    </row>
    <row r="45" spans="1:28" s="27" customFormat="1" ht="28.5" x14ac:dyDescent="0.2">
      <c r="A45" s="414" t="s">
        <v>218</v>
      </c>
      <c r="B45" s="414"/>
      <c r="C45" s="414"/>
      <c r="D45" s="414"/>
      <c r="E45" s="414"/>
      <c r="F45" s="414"/>
      <c r="G45" s="414"/>
      <c r="H45" s="414"/>
      <c r="I45" s="414"/>
      <c r="J45" s="414"/>
      <c r="K45" s="414"/>
      <c r="L45" s="414"/>
      <c r="M45" s="414"/>
      <c r="N45" s="414"/>
      <c r="O45" s="414"/>
      <c r="P45" s="414"/>
      <c r="Q45" s="414"/>
      <c r="R45" s="414"/>
      <c r="S45" s="414"/>
      <c r="T45" s="414"/>
      <c r="W45" s="288">
        <f t="shared" si="49"/>
        <v>0</v>
      </c>
      <c r="X45" s="8"/>
      <c r="Y45" s="295" t="str">
        <f t="shared" si="44"/>
        <v>OK</v>
      </c>
    </row>
    <row r="46" spans="1:28" s="8" customFormat="1" ht="46.5" x14ac:dyDescent="0.2">
      <c r="A46" s="89">
        <v>18</v>
      </c>
      <c r="B46" s="89" t="s">
        <v>3</v>
      </c>
      <c r="C46" s="71" t="s">
        <v>33</v>
      </c>
      <c r="D46" s="91" t="s">
        <v>127</v>
      </c>
      <c r="E46" s="312">
        <v>25882353</v>
      </c>
      <c r="F46" s="411"/>
      <c r="G46" s="410">
        <v>15955365.4</v>
      </c>
      <c r="H46" s="359">
        <v>7710806</v>
      </c>
      <c r="I46" s="412">
        <v>0.85</v>
      </c>
      <c r="J46" s="410">
        <f>14168318.2492447-6665.95-19.41</f>
        <v>14161632.8892447</v>
      </c>
      <c r="K46" s="363">
        <f t="shared" si="45"/>
        <v>0.88757809891616146</v>
      </c>
      <c r="L46" s="410">
        <v>22312236.858149264</v>
      </c>
      <c r="M46" s="409">
        <f>IFERROR(L46/G46,"n/a")</f>
        <v>1.3984159120636162</v>
      </c>
      <c r="N46" s="410">
        <v>0</v>
      </c>
      <c r="O46" s="363"/>
      <c r="P46" s="368">
        <f t="shared" si="46"/>
        <v>0</v>
      </c>
      <c r="Q46" s="413">
        <v>22312236.858149264</v>
      </c>
      <c r="R46" s="409">
        <f>IFERROR(Q46/G46,"n/a")</f>
        <v>1.3984159120636162</v>
      </c>
      <c r="S46" s="413">
        <f>IF(IFERROR(Q46-(G46*I46),"n/a")&gt;0,0,IFERROR(Q46-(G46*I46),"n/a"))</f>
        <v>0</v>
      </c>
      <c r="T46" s="413">
        <f>IF(IFERROR(Q46-(G46*0.65),"n/a")&gt;0,0,IFERROR(Q46-(G46*0.65),"n/a"))</f>
        <v>0</v>
      </c>
      <c r="W46" s="288">
        <f t="shared" si="49"/>
        <v>0</v>
      </c>
      <c r="Y46" s="295" t="str">
        <f t="shared" si="44"/>
        <v>OK</v>
      </c>
    </row>
    <row r="47" spans="1:28" s="8" customFormat="1" ht="46.5" x14ac:dyDescent="0.2">
      <c r="A47" s="89">
        <v>19</v>
      </c>
      <c r="B47" s="89" t="s">
        <v>3</v>
      </c>
      <c r="C47" s="71" t="s">
        <v>34</v>
      </c>
      <c r="D47" s="91" t="s">
        <v>127</v>
      </c>
      <c r="E47" s="312">
        <v>8235294</v>
      </c>
      <c r="F47" s="411"/>
      <c r="G47" s="410"/>
      <c r="H47" s="373"/>
      <c r="I47" s="372"/>
      <c r="J47" s="410"/>
      <c r="K47" s="371"/>
      <c r="L47" s="410"/>
      <c r="M47" s="409"/>
      <c r="N47" s="410"/>
      <c r="O47" s="371"/>
      <c r="P47" s="369"/>
      <c r="Q47" s="413"/>
      <c r="R47" s="409"/>
      <c r="S47" s="369"/>
      <c r="T47" s="413"/>
      <c r="W47" s="288">
        <f t="shared" si="49"/>
        <v>0</v>
      </c>
      <c r="Y47" s="295" t="str">
        <f t="shared" si="44"/>
        <v>OK</v>
      </c>
    </row>
    <row r="48" spans="1:28" s="8" customFormat="1" ht="46.5" x14ac:dyDescent="0.2">
      <c r="A48" s="89">
        <v>20</v>
      </c>
      <c r="B48" s="89" t="s">
        <v>3</v>
      </c>
      <c r="C48" s="71" t="s">
        <v>35</v>
      </c>
      <c r="D48" s="91" t="s">
        <v>127</v>
      </c>
      <c r="E48" s="312">
        <v>12254724</v>
      </c>
      <c r="F48" s="411"/>
      <c r="G48" s="410"/>
      <c r="H48" s="373"/>
      <c r="I48" s="372"/>
      <c r="J48" s="410"/>
      <c r="K48" s="371"/>
      <c r="L48" s="410"/>
      <c r="M48" s="409"/>
      <c r="N48" s="410"/>
      <c r="O48" s="371"/>
      <c r="P48" s="369"/>
      <c r="Q48" s="413"/>
      <c r="R48" s="409"/>
      <c r="S48" s="369"/>
      <c r="T48" s="413"/>
      <c r="W48" s="288">
        <f t="shared" si="49"/>
        <v>0</v>
      </c>
      <c r="Y48" s="295" t="str">
        <f t="shared" si="44"/>
        <v>OK</v>
      </c>
    </row>
    <row r="49" spans="1:28" s="9" customFormat="1" ht="46.5" x14ac:dyDescent="0.2">
      <c r="A49" s="89">
        <v>21</v>
      </c>
      <c r="B49" s="89" t="s">
        <v>3</v>
      </c>
      <c r="C49" s="71" t="s">
        <v>36</v>
      </c>
      <c r="D49" s="91" t="s">
        <v>127</v>
      </c>
      <c r="E49" s="312">
        <v>14117647</v>
      </c>
      <c r="F49" s="411"/>
      <c r="G49" s="410"/>
      <c r="H49" s="360"/>
      <c r="I49" s="362"/>
      <c r="J49" s="410"/>
      <c r="K49" s="364"/>
      <c r="L49" s="410"/>
      <c r="M49" s="409"/>
      <c r="N49" s="410"/>
      <c r="O49" s="364"/>
      <c r="P49" s="370"/>
      <c r="Q49" s="413"/>
      <c r="R49" s="409"/>
      <c r="S49" s="370"/>
      <c r="T49" s="413"/>
      <c r="W49" s="288">
        <f t="shared" si="49"/>
        <v>0</v>
      </c>
      <c r="X49" s="8"/>
      <c r="Y49" s="295" t="str">
        <f t="shared" si="44"/>
        <v>OK</v>
      </c>
    </row>
    <row r="50" spans="1:28" s="8" customFormat="1" ht="46.5" x14ac:dyDescent="0.2">
      <c r="A50" s="89">
        <v>17</v>
      </c>
      <c r="B50" s="89" t="s">
        <v>3</v>
      </c>
      <c r="C50" s="71" t="s">
        <v>37</v>
      </c>
      <c r="D50" s="91" t="s">
        <v>127</v>
      </c>
      <c r="E50" s="312">
        <v>29565515</v>
      </c>
      <c r="F50" s="313"/>
      <c r="G50" s="312">
        <v>7712947</v>
      </c>
      <c r="H50" s="352">
        <v>1532852.3333420665</v>
      </c>
      <c r="I50" s="314">
        <v>0.85</v>
      </c>
      <c r="J50" s="345">
        <v>14904970.80000001</v>
      </c>
      <c r="K50" s="344">
        <f t="shared" ref="K50:K60" si="50">J50/G50</f>
        <v>1.9324611980349418</v>
      </c>
      <c r="L50" s="312">
        <v>16483561.890000008</v>
      </c>
      <c r="M50" s="311">
        <f>IFERROR(L50/G50,"n/a")</f>
        <v>2.1371288937937742</v>
      </c>
      <c r="N50" s="354">
        <v>446825.19000000134</v>
      </c>
      <c r="O50" s="329"/>
      <c r="P50" s="357">
        <f t="shared" ref="P50:P51" si="51">IF(L50-Q50&gt;0,0,L50-Q50)</f>
        <v>-2992903.1000000015</v>
      </c>
      <c r="Q50" s="312">
        <v>19476464.99000001</v>
      </c>
      <c r="R50" s="311">
        <f>IFERROR(Q50/G50,"n/a")</f>
        <v>2.5251651528268</v>
      </c>
      <c r="S50" s="353">
        <f t="shared" ref="S50:S51" si="52">IF(IFERROR(Q50-(G50*I50),"n/a")&gt;0,0,IFERROR(Q50-(G50*I50),"n/a"))</f>
        <v>0</v>
      </c>
      <c r="T50" s="353">
        <f t="shared" ref="T50:T51" si="53">IF(IFERROR(Q50-(G50*0.65),"n/a")&gt;0,0,IFERROR(Q50-(G50*0.65),"n/a"))</f>
        <v>0</v>
      </c>
      <c r="W50" s="288">
        <f t="shared" si="49"/>
        <v>2992903.1000000015</v>
      </c>
      <c r="Y50" s="295" t="str">
        <f t="shared" si="44"/>
        <v>OK</v>
      </c>
      <c r="AB50" s="128"/>
    </row>
    <row r="51" spans="1:28" s="8" customFormat="1" ht="46.5" x14ac:dyDescent="0.2">
      <c r="A51" s="89">
        <v>15</v>
      </c>
      <c r="B51" s="89" t="s">
        <v>3</v>
      </c>
      <c r="C51" s="71" t="s">
        <v>38</v>
      </c>
      <c r="D51" s="91" t="s">
        <v>127</v>
      </c>
      <c r="E51" s="312">
        <v>32823529</v>
      </c>
      <c r="F51" s="313"/>
      <c r="G51" s="312">
        <v>8657815</v>
      </c>
      <c r="H51" s="352">
        <v>1701767.2497470386</v>
      </c>
      <c r="I51" s="314">
        <v>0.85</v>
      </c>
      <c r="J51" s="345">
        <v>3603927.1400000006</v>
      </c>
      <c r="K51" s="344">
        <f t="shared" si="50"/>
        <v>0.41626289543031358</v>
      </c>
      <c r="L51" s="312">
        <v>4505506.1700000009</v>
      </c>
      <c r="M51" s="311">
        <f>IFERROR(L51/G51,"n/a")</f>
        <v>0.52039760262837687</v>
      </c>
      <c r="N51" s="354">
        <v>902250.34000000032</v>
      </c>
      <c r="O51" s="329"/>
      <c r="P51" s="357">
        <f t="shared" si="51"/>
        <v>0</v>
      </c>
      <c r="Q51" s="312">
        <v>4505321.5500000007</v>
      </c>
      <c r="R51" s="311">
        <f>IFERROR(Q51/G51,"n/a")</f>
        <v>0.52037627854141033</v>
      </c>
      <c r="S51" s="353">
        <f t="shared" si="52"/>
        <v>-2853821.1999999993</v>
      </c>
      <c r="T51" s="353">
        <f t="shared" si="53"/>
        <v>-1122258.1999999993</v>
      </c>
      <c r="W51" s="288">
        <f t="shared" si="49"/>
        <v>-184.62000000011176</v>
      </c>
      <c r="Y51" s="295" t="str">
        <f t="shared" si="44"/>
        <v>Nav labi</v>
      </c>
      <c r="AB51" s="128"/>
    </row>
    <row r="52" spans="1:28" s="8" customFormat="1" ht="46.5" x14ac:dyDescent="0.2">
      <c r="A52" s="89">
        <v>22</v>
      </c>
      <c r="B52" s="89" t="s">
        <v>3</v>
      </c>
      <c r="C52" s="71" t="s">
        <v>39</v>
      </c>
      <c r="D52" s="91" t="s">
        <v>127</v>
      </c>
      <c r="E52" s="312">
        <v>70588236</v>
      </c>
      <c r="F52" s="411"/>
      <c r="G52" s="410">
        <v>22220807.399999999</v>
      </c>
      <c r="H52" s="410">
        <v>0</v>
      </c>
      <c r="I52" s="412">
        <v>0.85</v>
      </c>
      <c r="J52" s="359">
        <v>20666975.750755347</v>
      </c>
      <c r="K52" s="363">
        <f t="shared" si="50"/>
        <v>0.93007312374956042</v>
      </c>
      <c r="L52" s="410">
        <v>32546308.600674231</v>
      </c>
      <c r="M52" s="409">
        <f>IFERROR(L52/G52,"n/a")</f>
        <v>1.4646771386297257</v>
      </c>
      <c r="N52" s="410">
        <v>0</v>
      </c>
      <c r="O52" s="363"/>
      <c r="P52" s="368">
        <f t="shared" ref="P52" si="54">IF(L52-Q52&gt;0,0,L52-Q52)</f>
        <v>0</v>
      </c>
      <c r="Q52" s="413">
        <v>32546308.600674231</v>
      </c>
      <c r="R52" s="409">
        <f>IFERROR(Q52/G52,"n/a")</f>
        <v>1.4646771386297257</v>
      </c>
      <c r="S52" s="410">
        <f>IF(IFERROR(Q52-(G52*I52),"n/a")&gt;0,0,IFERROR(Q52-(G52*I52),"n/a"))</f>
        <v>0</v>
      </c>
      <c r="T52" s="410">
        <f>IF(IFERROR(Q52-(G52*0.65),"n/a")&gt;0,0,IFERROR(Q52-(G52*0.65),"n/a"))</f>
        <v>0</v>
      </c>
      <c r="W52" s="288">
        <f t="shared" si="49"/>
        <v>0</v>
      </c>
      <c r="Y52" s="295" t="str">
        <f t="shared" si="44"/>
        <v>OK</v>
      </c>
      <c r="AB52" s="128"/>
    </row>
    <row r="53" spans="1:28" s="8" customFormat="1" ht="46.5" x14ac:dyDescent="0.2">
      <c r="A53" s="89">
        <v>23</v>
      </c>
      <c r="B53" s="89" t="s">
        <v>3</v>
      </c>
      <c r="C53" s="71" t="s">
        <v>40</v>
      </c>
      <c r="D53" s="91" t="s">
        <v>127</v>
      </c>
      <c r="E53" s="312">
        <v>17647059</v>
      </c>
      <c r="F53" s="411"/>
      <c r="G53" s="410"/>
      <c r="H53" s="410"/>
      <c r="I53" s="412"/>
      <c r="J53" s="360"/>
      <c r="K53" s="364"/>
      <c r="L53" s="410"/>
      <c r="M53" s="409"/>
      <c r="N53" s="410"/>
      <c r="O53" s="364"/>
      <c r="P53" s="370"/>
      <c r="Q53" s="413"/>
      <c r="R53" s="409"/>
      <c r="S53" s="410">
        <f t="shared" ref="S53" si="55">IFERROR(Q53-(G53*I53),"n/a")</f>
        <v>0</v>
      </c>
      <c r="T53" s="410">
        <f t="shared" ref="T53" si="56">IFERROR(Q53-(G53*0.65),"n/a")</f>
        <v>0</v>
      </c>
      <c r="W53" s="288">
        <f t="shared" si="49"/>
        <v>0</v>
      </c>
      <c r="Y53" s="295" t="str">
        <f t="shared" si="44"/>
        <v>OK</v>
      </c>
      <c r="AB53" s="128"/>
    </row>
    <row r="54" spans="1:28" s="8" customFormat="1" ht="46.5" x14ac:dyDescent="0.2">
      <c r="A54" s="89">
        <v>16</v>
      </c>
      <c r="B54" s="89" t="s">
        <v>3</v>
      </c>
      <c r="C54" s="71" t="s">
        <v>41</v>
      </c>
      <c r="D54" s="91" t="s">
        <v>127</v>
      </c>
      <c r="E54" s="312">
        <v>7294119</v>
      </c>
      <c r="F54" s="104"/>
      <c r="G54" s="312">
        <v>1201009</v>
      </c>
      <c r="H54" s="352">
        <v>378170.56093902828</v>
      </c>
      <c r="I54" s="314">
        <v>0.85</v>
      </c>
      <c r="J54" s="345">
        <v>2061694.1500000006</v>
      </c>
      <c r="K54" s="344">
        <f t="shared" si="50"/>
        <v>1.7166350543584608</v>
      </c>
      <c r="L54" s="312">
        <v>2343638.7000000002</v>
      </c>
      <c r="M54" s="311">
        <f>IFERROR(L54/G54,"n/a")</f>
        <v>1.951391455018239</v>
      </c>
      <c r="N54" s="354">
        <v>66950.879999999888</v>
      </c>
      <c r="O54" s="329"/>
      <c r="P54" s="357">
        <f t="shared" ref="P54:P56" si="57">IF(L54-Q54&gt;0,0,L54-Q54)</f>
        <v>-365489.14000000013</v>
      </c>
      <c r="Q54" s="312">
        <v>2709127.8400000003</v>
      </c>
      <c r="R54" s="311">
        <f>IFERROR(Q54/G54,"n/a")</f>
        <v>2.2557098572949914</v>
      </c>
      <c r="S54" s="353">
        <f t="shared" ref="S54:S56" si="58">IF(IFERROR(Q54-(G54*I54),"n/a")&gt;0,0,IFERROR(Q54-(G54*I54),"n/a"))</f>
        <v>0</v>
      </c>
      <c r="T54" s="353">
        <f t="shared" ref="T54:T119" si="59">IF(IFERROR(Q54-(G54*0.65),"n/a")&gt;0,0,IFERROR(Q54-(G54*0.65),"n/a"))</f>
        <v>0</v>
      </c>
      <c r="W54" s="288">
        <f t="shared" si="49"/>
        <v>365489.14000000013</v>
      </c>
      <c r="Y54" s="295" t="str">
        <f t="shared" si="44"/>
        <v>OK</v>
      </c>
      <c r="AB54" s="128"/>
    </row>
    <row r="55" spans="1:28" s="8" customFormat="1" ht="46.5" x14ac:dyDescent="0.2">
      <c r="A55" s="89">
        <v>25</v>
      </c>
      <c r="B55" s="89" t="s">
        <v>3</v>
      </c>
      <c r="C55" s="71" t="s">
        <v>42</v>
      </c>
      <c r="D55" s="91" t="s">
        <v>127</v>
      </c>
      <c r="E55" s="312">
        <v>60620418</v>
      </c>
      <c r="F55" s="104"/>
      <c r="G55" s="312">
        <v>10034796</v>
      </c>
      <c r="H55" s="352">
        <v>3143014</v>
      </c>
      <c r="I55" s="314">
        <v>0.85</v>
      </c>
      <c r="J55" s="345">
        <v>28588574.370000005</v>
      </c>
      <c r="K55" s="344">
        <f t="shared" si="50"/>
        <v>2.8489442505856628</v>
      </c>
      <c r="L55" s="312">
        <v>32996595.120000008</v>
      </c>
      <c r="M55" s="311">
        <f>IFERROR(L55/G55,"n/a")</f>
        <v>3.2882178292413724</v>
      </c>
      <c r="N55" s="354">
        <v>0</v>
      </c>
      <c r="O55" s="329"/>
      <c r="P55" s="357">
        <f t="shared" si="57"/>
        <v>-2200224.6899999939</v>
      </c>
      <c r="Q55" s="312">
        <v>35196819.810000002</v>
      </c>
      <c r="R55" s="311">
        <f>IFERROR(Q55/G55,"n/a")</f>
        <v>3.507477362768511</v>
      </c>
      <c r="S55" s="353">
        <f t="shared" si="58"/>
        <v>0</v>
      </c>
      <c r="T55" s="353">
        <f t="shared" si="59"/>
        <v>0</v>
      </c>
      <c r="W55" s="288">
        <f t="shared" si="49"/>
        <v>2200224.6899999939</v>
      </c>
      <c r="Y55" s="295" t="str">
        <f t="shared" si="44"/>
        <v>OK</v>
      </c>
      <c r="AB55" s="128"/>
    </row>
    <row r="56" spans="1:28" s="8" customFormat="1" ht="69.75" x14ac:dyDescent="0.2">
      <c r="A56" s="89">
        <v>24</v>
      </c>
      <c r="B56" s="89" t="s">
        <v>3</v>
      </c>
      <c r="C56" s="71" t="s">
        <v>43</v>
      </c>
      <c r="D56" s="91" t="s">
        <v>129</v>
      </c>
      <c r="E56" s="312">
        <v>75552110.395380691</v>
      </c>
      <c r="F56" s="104"/>
      <c r="G56" s="312">
        <v>13886292.199999999</v>
      </c>
      <c r="H56" s="352">
        <v>3599740</v>
      </c>
      <c r="I56" s="314">
        <v>0.85</v>
      </c>
      <c r="J56" s="345">
        <v>22144972.889999993</v>
      </c>
      <c r="K56" s="344">
        <f t="shared" si="50"/>
        <v>1.5947362025119991</v>
      </c>
      <c r="L56" s="312">
        <v>29713806.139999993</v>
      </c>
      <c r="M56" s="311">
        <f>IFERROR(L56/G56,"n/a")</f>
        <v>2.1397941014088695</v>
      </c>
      <c r="N56" s="354">
        <v>1439231.570000004</v>
      </c>
      <c r="O56" s="329"/>
      <c r="P56" s="357">
        <f t="shared" si="57"/>
        <v>-9685460.1300000027</v>
      </c>
      <c r="Q56" s="312">
        <v>39399266.269999996</v>
      </c>
      <c r="R56" s="311">
        <f>IFERROR(Q56/G56,"n/a")</f>
        <v>2.8372776334059857</v>
      </c>
      <c r="S56" s="353">
        <f t="shared" si="58"/>
        <v>0</v>
      </c>
      <c r="T56" s="353">
        <f t="shared" si="59"/>
        <v>0</v>
      </c>
      <c r="W56" s="288">
        <f t="shared" si="49"/>
        <v>9685460.1300000027</v>
      </c>
      <c r="Y56" s="295" t="str">
        <f t="shared" si="44"/>
        <v>OK</v>
      </c>
      <c r="AB56" s="128"/>
    </row>
    <row r="57" spans="1:28" s="8" customFormat="1" ht="28.5" x14ac:dyDescent="0.2">
      <c r="A57" s="414" t="s">
        <v>219</v>
      </c>
      <c r="B57" s="414"/>
      <c r="C57" s="414"/>
      <c r="D57" s="414"/>
      <c r="E57" s="414"/>
      <c r="F57" s="414"/>
      <c r="G57" s="414"/>
      <c r="H57" s="414"/>
      <c r="I57" s="414"/>
      <c r="J57" s="414"/>
      <c r="K57" s="414"/>
      <c r="L57" s="414"/>
      <c r="M57" s="414"/>
      <c r="N57" s="414"/>
      <c r="O57" s="414"/>
      <c r="P57" s="414"/>
      <c r="Q57" s="414"/>
      <c r="R57" s="414"/>
      <c r="S57" s="414"/>
      <c r="T57" s="414"/>
      <c r="W57" s="288">
        <f t="shared" si="49"/>
        <v>0</v>
      </c>
      <c r="Y57" s="295" t="str">
        <f t="shared" si="44"/>
        <v>OK</v>
      </c>
    </row>
    <row r="58" spans="1:28" s="8" customFormat="1" ht="69.75" x14ac:dyDescent="0.2">
      <c r="A58" s="89">
        <v>26</v>
      </c>
      <c r="B58" s="89" t="s">
        <v>3</v>
      </c>
      <c r="C58" s="71" t="s">
        <v>44</v>
      </c>
      <c r="D58" s="91" t="s">
        <v>130</v>
      </c>
      <c r="E58" s="312">
        <v>11169393</v>
      </c>
      <c r="F58" s="312"/>
      <c r="G58" s="312">
        <v>3672987</v>
      </c>
      <c r="H58" s="312">
        <v>590385</v>
      </c>
      <c r="I58" s="314">
        <v>0.85</v>
      </c>
      <c r="J58" s="345">
        <v>3596833.580000001</v>
      </c>
      <c r="K58" s="344">
        <f t="shared" si="50"/>
        <v>0.97926662413997134</v>
      </c>
      <c r="L58" s="312">
        <v>4248093.5300000012</v>
      </c>
      <c r="M58" s="311">
        <f>IFERROR(L58/G58,"n/a")</f>
        <v>1.1565773388253215</v>
      </c>
      <c r="N58" s="354">
        <v>0</v>
      </c>
      <c r="O58" s="329"/>
      <c r="P58" s="357">
        <f t="shared" ref="P58:P121" si="60">IF(L58-Q58&gt;0,0,L58-Q58)</f>
        <v>-597216.04</v>
      </c>
      <c r="Q58" s="312">
        <v>4845309.5700000012</v>
      </c>
      <c r="R58" s="311">
        <f>IFERROR(Q58/G58,"n/a")</f>
        <v>1.3191741680545019</v>
      </c>
      <c r="S58" s="353">
        <f t="shared" ref="S58:S121" si="61">IF(IFERROR(Q58-(G58*I58),"n/a")&gt;0,0,IFERROR(Q58-(G58*I58),"n/a"))</f>
        <v>0</v>
      </c>
      <c r="T58" s="353">
        <f t="shared" si="59"/>
        <v>0</v>
      </c>
      <c r="U58" s="10"/>
      <c r="W58" s="288">
        <f t="shared" si="49"/>
        <v>597216.04</v>
      </c>
      <c r="Y58" s="295" t="str">
        <f t="shared" si="44"/>
        <v>OK</v>
      </c>
      <c r="AB58" s="128"/>
    </row>
    <row r="59" spans="1:28" s="8" customFormat="1" ht="46.5" x14ac:dyDescent="0.2">
      <c r="A59" s="89">
        <v>27</v>
      </c>
      <c r="B59" s="89" t="s">
        <v>3</v>
      </c>
      <c r="C59" s="71" t="s">
        <v>45</v>
      </c>
      <c r="D59" s="91" t="s">
        <v>131</v>
      </c>
      <c r="E59" s="312">
        <v>8181615</v>
      </c>
      <c r="F59" s="312"/>
      <c r="G59" s="312">
        <v>3132164</v>
      </c>
      <c r="H59" s="312">
        <v>453602</v>
      </c>
      <c r="I59" s="314">
        <v>0.85</v>
      </c>
      <c r="J59" s="345">
        <v>2871515.73</v>
      </c>
      <c r="K59" s="344">
        <f t="shared" si="50"/>
        <v>0.91678332616044367</v>
      </c>
      <c r="L59" s="312">
        <v>3438584.56</v>
      </c>
      <c r="M59" s="311">
        <f>IFERROR(L59/G59,"n/a")</f>
        <v>1.0978303051819764</v>
      </c>
      <c r="N59" s="354">
        <v>97997.029999999795</v>
      </c>
      <c r="O59" s="329"/>
      <c r="P59" s="357">
        <f t="shared" si="60"/>
        <v>-249112.72999999998</v>
      </c>
      <c r="Q59" s="312">
        <v>3687697.29</v>
      </c>
      <c r="R59" s="311">
        <f>IFERROR(Q59/G59,"n/a")</f>
        <v>1.1773640492643425</v>
      </c>
      <c r="S59" s="353">
        <f t="shared" si="61"/>
        <v>0</v>
      </c>
      <c r="T59" s="353">
        <f t="shared" si="59"/>
        <v>0</v>
      </c>
      <c r="W59" s="288">
        <f t="shared" si="49"/>
        <v>249112.72999999998</v>
      </c>
      <c r="Y59" s="295" t="str">
        <f t="shared" si="44"/>
        <v>OK</v>
      </c>
      <c r="AB59" s="128"/>
    </row>
    <row r="60" spans="1:28" s="8" customFormat="1" ht="46.5" x14ac:dyDescent="0.5">
      <c r="A60" s="89">
        <v>29</v>
      </c>
      <c r="B60" s="89" t="s">
        <v>3</v>
      </c>
      <c r="C60" s="71" t="s">
        <v>46</v>
      </c>
      <c r="D60" s="91" t="s">
        <v>131</v>
      </c>
      <c r="E60" s="312">
        <v>1500000</v>
      </c>
      <c r="F60" s="312"/>
      <c r="G60" s="312">
        <v>207687</v>
      </c>
      <c r="H60" s="312">
        <v>79286.167571177386</v>
      </c>
      <c r="I60" s="314">
        <v>0.85</v>
      </c>
      <c r="J60" s="345">
        <v>332596.59000000003</v>
      </c>
      <c r="K60" s="344">
        <f t="shared" si="50"/>
        <v>1.6014319143711451</v>
      </c>
      <c r="L60" s="312">
        <v>376877.21</v>
      </c>
      <c r="M60" s="311">
        <f>IFERROR(L60/G60,"n/a")</f>
        <v>1.8146403482163063</v>
      </c>
      <c r="N60" s="354">
        <v>0</v>
      </c>
      <c r="O60" s="329"/>
      <c r="P60" s="357">
        <f t="shared" si="60"/>
        <v>-93666</v>
      </c>
      <c r="Q60" s="312">
        <v>470543.21</v>
      </c>
      <c r="R60" s="311">
        <f>IFERROR(Q60/G60,"n/a")</f>
        <v>2.265636318113315</v>
      </c>
      <c r="S60" s="353">
        <f t="shared" si="61"/>
        <v>0</v>
      </c>
      <c r="T60" s="353">
        <f t="shared" si="59"/>
        <v>0</v>
      </c>
      <c r="U60" s="30"/>
      <c r="W60" s="288">
        <f t="shared" si="49"/>
        <v>93666</v>
      </c>
      <c r="Y60" s="295" t="str">
        <f t="shared" si="44"/>
        <v>OK</v>
      </c>
      <c r="AB60" s="128"/>
    </row>
    <row r="61" spans="1:28" s="8" customFormat="1" ht="93" x14ac:dyDescent="0.2">
      <c r="A61" s="89">
        <v>28</v>
      </c>
      <c r="B61" s="89" t="s">
        <v>3</v>
      </c>
      <c r="C61" s="71" t="s">
        <v>47</v>
      </c>
      <c r="D61" s="91" t="s">
        <v>131</v>
      </c>
      <c r="E61" s="312">
        <v>400000</v>
      </c>
      <c r="F61" s="312"/>
      <c r="G61" s="312">
        <v>0</v>
      </c>
      <c r="H61" s="312">
        <v>0</v>
      </c>
      <c r="I61" s="314">
        <v>0.85</v>
      </c>
      <c r="J61" s="345">
        <v>0</v>
      </c>
      <c r="K61" s="344">
        <v>0</v>
      </c>
      <c r="L61" s="312">
        <v>7951.37</v>
      </c>
      <c r="M61" s="311" t="str">
        <f>IFERROR(L61/G61,"n/a")</f>
        <v>n/a</v>
      </c>
      <c r="N61" s="354">
        <v>7951.37</v>
      </c>
      <c r="O61" s="329"/>
      <c r="P61" s="357">
        <f t="shared" si="60"/>
        <v>-13000</v>
      </c>
      <c r="Q61" s="312">
        <v>20951.37</v>
      </c>
      <c r="R61" s="311" t="str">
        <f>IFERROR(Q61/G61,"n/a")</f>
        <v>n/a</v>
      </c>
      <c r="S61" s="353">
        <f t="shared" si="61"/>
        <v>0</v>
      </c>
      <c r="T61" s="353">
        <f t="shared" si="59"/>
        <v>0</v>
      </c>
      <c r="W61" s="288">
        <f t="shared" si="49"/>
        <v>13000</v>
      </c>
      <c r="Y61" s="295" t="str">
        <f t="shared" si="44"/>
        <v>OK</v>
      </c>
      <c r="AB61" s="128"/>
    </row>
    <row r="62" spans="1:28" s="8" customFormat="1" ht="28.5" x14ac:dyDescent="0.2">
      <c r="A62" s="414" t="s">
        <v>220</v>
      </c>
      <c r="B62" s="414"/>
      <c r="C62" s="414"/>
      <c r="D62" s="414"/>
      <c r="E62" s="414"/>
      <c r="F62" s="414"/>
      <c r="G62" s="414"/>
      <c r="H62" s="414"/>
      <c r="I62" s="414"/>
      <c r="J62" s="414"/>
      <c r="K62" s="414"/>
      <c r="L62" s="414"/>
      <c r="M62" s="414"/>
      <c r="N62" s="414"/>
      <c r="O62" s="414"/>
      <c r="P62" s="414"/>
      <c r="Q62" s="414"/>
      <c r="R62" s="414"/>
      <c r="S62" s="414"/>
      <c r="T62" s="414"/>
      <c r="W62" s="288">
        <f t="shared" si="49"/>
        <v>0</v>
      </c>
      <c r="Y62" s="295" t="str">
        <f t="shared" ref="Y62:Y93" si="62">IF(L62&gt;Q62,"Nav labi","OK")</f>
        <v>OK</v>
      </c>
    </row>
    <row r="63" spans="1:28" s="9" customFormat="1" ht="46.5" x14ac:dyDescent="0.45">
      <c r="A63" s="89">
        <v>31</v>
      </c>
      <c r="B63" s="89" t="s">
        <v>4</v>
      </c>
      <c r="C63" s="298" t="s">
        <v>49</v>
      </c>
      <c r="D63" s="91" t="s">
        <v>127</v>
      </c>
      <c r="E63" s="312">
        <v>176471763</v>
      </c>
      <c r="F63" s="312"/>
      <c r="G63" s="312">
        <v>30007856</v>
      </c>
      <c r="H63" s="312">
        <v>11926142</v>
      </c>
      <c r="I63" s="314">
        <v>0.75</v>
      </c>
      <c r="J63" s="345">
        <v>7750226.3899999997</v>
      </c>
      <c r="K63" s="344">
        <f>IFERROR(J63/G63,0)</f>
        <v>0.25827324651251327</v>
      </c>
      <c r="L63" s="312">
        <v>7750473.4399999995</v>
      </c>
      <c r="M63" s="311">
        <f>IFERROR(L63/G63,"n/a")</f>
        <v>0.25828147935660578</v>
      </c>
      <c r="N63" s="354">
        <v>0</v>
      </c>
      <c r="O63" s="329"/>
      <c r="P63" s="357">
        <f t="shared" si="60"/>
        <v>-18155679.910000004</v>
      </c>
      <c r="Q63" s="312">
        <v>25906153.350000001</v>
      </c>
      <c r="R63" s="311">
        <f>IFERROR(Q63/G63,"n/a")</f>
        <v>0.86331237226678248</v>
      </c>
      <c r="S63" s="353">
        <f t="shared" si="61"/>
        <v>0</v>
      </c>
      <c r="T63" s="353">
        <f t="shared" si="59"/>
        <v>0</v>
      </c>
      <c r="W63" s="288">
        <f t="shared" si="49"/>
        <v>18155679.910000004</v>
      </c>
      <c r="X63" s="8"/>
      <c r="Y63" s="295" t="str">
        <f t="shared" si="62"/>
        <v>OK</v>
      </c>
      <c r="AA63" s="358"/>
      <c r="AB63" s="356"/>
    </row>
    <row r="64" spans="1:28" s="9" customFormat="1" ht="46.5" x14ac:dyDescent="0.45">
      <c r="A64" s="89">
        <v>30</v>
      </c>
      <c r="B64" s="89" t="s">
        <v>4</v>
      </c>
      <c r="C64" s="71" t="s">
        <v>50</v>
      </c>
      <c r="D64" s="91" t="s">
        <v>127</v>
      </c>
      <c r="E64" s="312">
        <v>115127027</v>
      </c>
      <c r="F64" s="312"/>
      <c r="G64" s="312">
        <v>19412881</v>
      </c>
      <c r="H64" s="312">
        <v>3192016</v>
      </c>
      <c r="I64" s="314">
        <v>0.75</v>
      </c>
      <c r="J64" s="345">
        <v>3742996.6300000004</v>
      </c>
      <c r="K64" s="344">
        <f t="shared" ref="K64:K127" si="63">IFERROR(J64/G64,0)</f>
        <v>0.19280995077443686</v>
      </c>
      <c r="L64" s="312">
        <v>6029684.6800000006</v>
      </c>
      <c r="M64" s="311">
        <f>IFERROR(L64/G64,"n/a")</f>
        <v>0.31060225836649391</v>
      </c>
      <c r="N64" s="354">
        <v>1053116.0900000008</v>
      </c>
      <c r="O64" s="329"/>
      <c r="P64" s="357">
        <f t="shared" si="60"/>
        <v>-3064808.2800000003</v>
      </c>
      <c r="Q64" s="312">
        <v>9094492.9600000009</v>
      </c>
      <c r="R64" s="311">
        <f>IFERROR(Q64/G64,"n/a")</f>
        <v>0.46847724250717865</v>
      </c>
      <c r="S64" s="353">
        <f t="shared" si="61"/>
        <v>-5465167.7899999991</v>
      </c>
      <c r="T64" s="353">
        <f t="shared" si="59"/>
        <v>-3523879.6899999995</v>
      </c>
      <c r="W64" s="288">
        <f t="shared" si="49"/>
        <v>3064808.2800000003</v>
      </c>
      <c r="X64" s="8"/>
      <c r="Y64" s="295" t="str">
        <f t="shared" si="62"/>
        <v>OK</v>
      </c>
      <c r="AA64" s="358"/>
      <c r="AB64" s="356"/>
    </row>
    <row r="65" spans="1:28" s="8" customFormat="1" ht="69.75" x14ac:dyDescent="0.45">
      <c r="A65" s="89">
        <v>33</v>
      </c>
      <c r="B65" s="89" t="s">
        <v>4</v>
      </c>
      <c r="C65" s="71" t="s">
        <v>51</v>
      </c>
      <c r="D65" s="91" t="s">
        <v>129</v>
      </c>
      <c r="E65" s="312">
        <v>55289876.350825503</v>
      </c>
      <c r="F65" s="312"/>
      <c r="G65" s="312">
        <v>3250551</v>
      </c>
      <c r="H65" s="312">
        <v>1914863.8170615549</v>
      </c>
      <c r="I65" s="314">
        <v>0.75</v>
      </c>
      <c r="J65" s="345">
        <f>9971671.89-478451.3</f>
        <v>9493220.5899999999</v>
      </c>
      <c r="K65" s="344">
        <f t="shared" si="63"/>
        <v>2.9204958144019275</v>
      </c>
      <c r="L65" s="312">
        <v>13629849.09</v>
      </c>
      <c r="M65" s="311">
        <f>IFERROR(L65/G65,"n/a")</f>
        <v>4.1930888301706384</v>
      </c>
      <c r="N65" s="354">
        <v>2043430.6400000006</v>
      </c>
      <c r="O65" s="329"/>
      <c r="P65" s="357">
        <f t="shared" si="60"/>
        <v>-1578771.5999999996</v>
      </c>
      <c r="Q65" s="340">
        <v>15208620.689999999</v>
      </c>
      <c r="R65" s="311">
        <f>IFERROR(Q65/G65,"n/a")</f>
        <v>4.6787823633593195</v>
      </c>
      <c r="S65" s="353">
        <f t="shared" si="61"/>
        <v>0</v>
      </c>
      <c r="T65" s="353">
        <f t="shared" si="59"/>
        <v>0</v>
      </c>
      <c r="W65" s="288">
        <f t="shared" si="49"/>
        <v>1578771.5999999996</v>
      </c>
      <c r="Y65" s="295" t="str">
        <f t="shared" si="62"/>
        <v>OK</v>
      </c>
      <c r="AA65" s="358"/>
      <c r="AB65" s="356"/>
    </row>
    <row r="66" spans="1:28" s="8" customFormat="1" ht="46.5" x14ac:dyDescent="0.45">
      <c r="A66" s="89">
        <v>32</v>
      </c>
      <c r="B66" s="89" t="s">
        <v>4</v>
      </c>
      <c r="C66" s="71" t="s">
        <v>195</v>
      </c>
      <c r="D66" s="91" t="s">
        <v>128</v>
      </c>
      <c r="E66" s="312">
        <v>8344235</v>
      </c>
      <c r="F66" s="312"/>
      <c r="G66" s="312">
        <v>3490000</v>
      </c>
      <c r="H66" s="312">
        <v>432614.80372968857</v>
      </c>
      <c r="I66" s="314">
        <v>0.75</v>
      </c>
      <c r="J66" s="345">
        <v>2864578.81</v>
      </c>
      <c r="K66" s="344">
        <f t="shared" si="63"/>
        <v>0.8207962206303725</v>
      </c>
      <c r="L66" s="312">
        <v>2866938.31</v>
      </c>
      <c r="M66" s="311">
        <f>IFERROR(L66/G66,"n/a")</f>
        <v>0.82147229512893982</v>
      </c>
      <c r="N66" s="354">
        <v>2359.5</v>
      </c>
      <c r="O66" s="329"/>
      <c r="P66" s="357">
        <f t="shared" si="60"/>
        <v>-540670.64999999991</v>
      </c>
      <c r="Q66" s="340">
        <v>3407608.96</v>
      </c>
      <c r="R66" s="311">
        <f>IFERROR(Q66/G66,"n/a")</f>
        <v>0.97639225214899716</v>
      </c>
      <c r="S66" s="353">
        <f t="shared" si="61"/>
        <v>0</v>
      </c>
      <c r="T66" s="353">
        <f t="shared" si="59"/>
        <v>0</v>
      </c>
      <c r="W66" s="288">
        <f t="shared" si="49"/>
        <v>540670.64999999991</v>
      </c>
      <c r="Y66" s="295" t="str">
        <f t="shared" si="62"/>
        <v>OK</v>
      </c>
      <c r="AA66" s="358"/>
      <c r="AB66" s="356"/>
    </row>
    <row r="67" spans="1:28" s="8" customFormat="1" ht="28.5" x14ac:dyDescent="0.2">
      <c r="A67" s="414" t="s">
        <v>204</v>
      </c>
      <c r="B67" s="414"/>
      <c r="C67" s="414"/>
      <c r="D67" s="414"/>
      <c r="E67" s="414"/>
      <c r="F67" s="414"/>
      <c r="G67" s="414"/>
      <c r="H67" s="414"/>
      <c r="I67" s="414"/>
      <c r="J67" s="414"/>
      <c r="K67" s="414"/>
      <c r="L67" s="414"/>
      <c r="M67" s="414"/>
      <c r="N67" s="414"/>
      <c r="O67" s="414"/>
      <c r="P67" s="414"/>
      <c r="Q67" s="414"/>
      <c r="R67" s="414"/>
      <c r="S67" s="414"/>
      <c r="T67" s="414"/>
      <c r="W67" s="288">
        <f t="shared" si="49"/>
        <v>0</v>
      </c>
      <c r="Y67" s="295" t="str">
        <f t="shared" si="62"/>
        <v>OK</v>
      </c>
    </row>
    <row r="68" spans="1:28" s="8" customFormat="1" ht="69.75" x14ac:dyDescent="0.2">
      <c r="A68" s="89">
        <v>37</v>
      </c>
      <c r="B68" s="89" t="s">
        <v>4</v>
      </c>
      <c r="C68" s="71" t="s">
        <v>48</v>
      </c>
      <c r="D68" s="91" t="s">
        <v>132</v>
      </c>
      <c r="E68" s="312">
        <v>85830850</v>
      </c>
      <c r="F68" s="312"/>
      <c r="G68" s="312">
        <v>5745006</v>
      </c>
      <c r="H68" s="312">
        <v>2015429</v>
      </c>
      <c r="I68" s="314">
        <v>0.75</v>
      </c>
      <c r="J68" s="345">
        <v>15085352.02</v>
      </c>
      <c r="K68" s="344">
        <f t="shared" si="63"/>
        <v>2.6258200635473661</v>
      </c>
      <c r="L68" s="312">
        <v>15374009.810000001</v>
      </c>
      <c r="M68" s="311">
        <f>IFERROR(L68/G68,"n/a")</f>
        <v>2.6760650571992439</v>
      </c>
      <c r="N68" s="354">
        <v>52378.480000000447</v>
      </c>
      <c r="O68" s="329"/>
      <c r="P68" s="357">
        <f t="shared" si="60"/>
        <v>-1436261.2400000002</v>
      </c>
      <c r="Q68" s="312">
        <v>16810271.050000001</v>
      </c>
      <c r="R68" s="311">
        <f>IFERROR(Q68/G68,"n/a")</f>
        <v>2.926066752584767</v>
      </c>
      <c r="S68" s="353">
        <f t="shared" si="61"/>
        <v>0</v>
      </c>
      <c r="T68" s="353">
        <f t="shared" si="59"/>
        <v>0</v>
      </c>
      <c r="W68" s="288">
        <f t="shared" si="49"/>
        <v>1436261.2400000002</v>
      </c>
      <c r="Y68" s="295" t="str">
        <f t="shared" si="62"/>
        <v>OK</v>
      </c>
      <c r="AB68" s="128"/>
    </row>
    <row r="69" spans="1:28" s="8" customFormat="1" ht="69.75" x14ac:dyDescent="0.2">
      <c r="A69" s="89">
        <v>34</v>
      </c>
      <c r="B69" s="89" t="s">
        <v>4</v>
      </c>
      <c r="C69" s="71" t="s">
        <v>52</v>
      </c>
      <c r="D69" s="91" t="s">
        <v>132</v>
      </c>
      <c r="E69" s="312">
        <v>150000673</v>
      </c>
      <c r="F69" s="312"/>
      <c r="G69" s="312">
        <v>9387264</v>
      </c>
      <c r="H69" s="312">
        <v>3290568</v>
      </c>
      <c r="I69" s="314">
        <v>0.75</v>
      </c>
      <c r="J69" s="345">
        <v>978617.3600000001</v>
      </c>
      <c r="K69" s="344">
        <f t="shared" si="63"/>
        <v>0.10424947673784396</v>
      </c>
      <c r="L69" s="312">
        <v>6182422.04</v>
      </c>
      <c r="M69" s="311">
        <f>IFERROR(L69/G69,"n/a")</f>
        <v>0.65859680094221273</v>
      </c>
      <c r="N69" s="354">
        <v>2669540.3600000003</v>
      </c>
      <c r="O69" s="329"/>
      <c r="P69" s="357">
        <f t="shared" si="60"/>
        <v>0</v>
      </c>
      <c r="Q69" s="312">
        <v>4296881.54</v>
      </c>
      <c r="R69" s="311">
        <f>IFERROR(Q69/G69,"n/a")</f>
        <v>0.45773524000177263</v>
      </c>
      <c r="S69" s="353">
        <f t="shared" si="61"/>
        <v>-2743566.46</v>
      </c>
      <c r="T69" s="353">
        <f t="shared" si="59"/>
        <v>-1804840.0600000005</v>
      </c>
      <c r="W69" s="288">
        <f t="shared" si="49"/>
        <v>-1885540.5</v>
      </c>
      <c r="Y69" s="295" t="str">
        <f t="shared" si="62"/>
        <v>Nav labi</v>
      </c>
      <c r="AB69" s="128"/>
    </row>
    <row r="70" spans="1:28" s="8" customFormat="1" ht="46.5" x14ac:dyDescent="0.2">
      <c r="A70" s="89">
        <v>35</v>
      </c>
      <c r="B70" s="89" t="s">
        <v>4</v>
      </c>
      <c r="C70" s="298" t="s">
        <v>53</v>
      </c>
      <c r="D70" s="91" t="s">
        <v>133</v>
      </c>
      <c r="E70" s="312">
        <v>112941177</v>
      </c>
      <c r="F70" s="312"/>
      <c r="G70" s="312">
        <v>16545781</v>
      </c>
      <c r="H70" s="312">
        <v>5939202.9987374237</v>
      </c>
      <c r="I70" s="314">
        <v>0.75</v>
      </c>
      <c r="J70" s="345">
        <v>8714480.1999999993</v>
      </c>
      <c r="K70" s="344">
        <f t="shared" si="63"/>
        <v>0.52668896076891136</v>
      </c>
      <c r="L70" s="340">
        <v>10369164.700000001</v>
      </c>
      <c r="M70" s="311">
        <f>IFERROR(L70/G70,"n/a")</f>
        <v>0.62669539141126074</v>
      </c>
      <c r="N70" s="354">
        <v>1298777.3600000013</v>
      </c>
      <c r="O70" s="329"/>
      <c r="P70" s="357">
        <f t="shared" si="60"/>
        <v>-1529300.0099999979</v>
      </c>
      <c r="Q70" s="312">
        <v>11898464.709999999</v>
      </c>
      <c r="R70" s="311">
        <f>IFERROR(Q70/G70,"n/a")</f>
        <v>0.71912378811251032</v>
      </c>
      <c r="S70" s="353">
        <f t="shared" si="61"/>
        <v>-510871.04000000097</v>
      </c>
      <c r="T70" s="353">
        <f t="shared" si="59"/>
        <v>0</v>
      </c>
      <c r="W70" s="288">
        <f t="shared" si="49"/>
        <v>1529300.0099999979</v>
      </c>
      <c r="Y70" s="295" t="str">
        <f t="shared" si="62"/>
        <v>OK</v>
      </c>
      <c r="AB70" s="128"/>
    </row>
    <row r="71" spans="1:28" s="8" customFormat="1" ht="46.5" x14ac:dyDescent="0.2">
      <c r="A71" s="89">
        <v>36</v>
      </c>
      <c r="B71" s="89" t="s">
        <v>4</v>
      </c>
      <c r="C71" s="71" t="s">
        <v>54</v>
      </c>
      <c r="D71" s="91" t="s">
        <v>133</v>
      </c>
      <c r="E71" s="312">
        <v>14725610</v>
      </c>
      <c r="F71" s="312"/>
      <c r="G71" s="312">
        <v>0</v>
      </c>
      <c r="H71" s="312">
        <v>774371.10458438157</v>
      </c>
      <c r="I71" s="314">
        <v>0.75</v>
      </c>
      <c r="J71" s="345">
        <v>2239242.35</v>
      </c>
      <c r="K71" s="344">
        <f t="shared" si="63"/>
        <v>0</v>
      </c>
      <c r="L71" s="340">
        <v>3072168.7900000005</v>
      </c>
      <c r="M71" s="311" t="str">
        <f>IFERROR(L71/G71,"n/a")</f>
        <v>n/a</v>
      </c>
      <c r="N71" s="354">
        <v>0</v>
      </c>
      <c r="O71" s="329"/>
      <c r="P71" s="357">
        <f t="shared" si="60"/>
        <v>-756099.99999999953</v>
      </c>
      <c r="Q71" s="312">
        <v>3828268.79</v>
      </c>
      <c r="R71" s="311" t="str">
        <f>IFERROR(Q71/G71,"n/a")</f>
        <v>n/a</v>
      </c>
      <c r="S71" s="353">
        <f t="shared" si="61"/>
        <v>0</v>
      </c>
      <c r="T71" s="353">
        <f t="shared" si="59"/>
        <v>0</v>
      </c>
      <c r="W71" s="288">
        <f t="shared" si="49"/>
        <v>756099.99999999953</v>
      </c>
      <c r="Y71" s="295" t="str">
        <f t="shared" si="62"/>
        <v>OK</v>
      </c>
      <c r="AB71" s="128"/>
    </row>
    <row r="72" spans="1:28" s="8" customFormat="1" ht="28.5" x14ac:dyDescent="0.2">
      <c r="A72" s="414" t="s">
        <v>205</v>
      </c>
      <c r="B72" s="414"/>
      <c r="C72" s="414"/>
      <c r="D72" s="414"/>
      <c r="E72" s="414"/>
      <c r="F72" s="414"/>
      <c r="G72" s="414"/>
      <c r="H72" s="414"/>
      <c r="I72" s="414"/>
      <c r="J72" s="414"/>
      <c r="K72" s="414"/>
      <c r="L72" s="414"/>
      <c r="M72" s="414"/>
      <c r="N72" s="414"/>
      <c r="O72" s="414"/>
      <c r="P72" s="414"/>
      <c r="Q72" s="414"/>
      <c r="R72" s="414"/>
      <c r="S72" s="414"/>
      <c r="T72" s="414"/>
      <c r="W72" s="288">
        <f t="shared" si="49"/>
        <v>0</v>
      </c>
      <c r="Y72" s="295" t="str">
        <f t="shared" si="62"/>
        <v>OK</v>
      </c>
    </row>
    <row r="73" spans="1:28" s="8" customFormat="1" ht="69.75" x14ac:dyDescent="0.2">
      <c r="A73" s="89">
        <v>40</v>
      </c>
      <c r="B73" s="89" t="s">
        <v>5</v>
      </c>
      <c r="C73" s="294" t="s">
        <v>55</v>
      </c>
      <c r="D73" s="91" t="s">
        <v>129</v>
      </c>
      <c r="E73" s="312">
        <v>34044477</v>
      </c>
      <c r="F73" s="312"/>
      <c r="G73" s="312">
        <v>6056264</v>
      </c>
      <c r="H73" s="312">
        <v>2679997</v>
      </c>
      <c r="I73" s="314">
        <v>0.75</v>
      </c>
      <c r="J73" s="345">
        <v>2687415.45</v>
      </c>
      <c r="K73" s="344">
        <f t="shared" si="63"/>
        <v>0.44374146338402687</v>
      </c>
      <c r="L73" s="312">
        <v>3531636.4699999997</v>
      </c>
      <c r="M73" s="311">
        <f t="shared" ref="M73:M79" si="64">IFERROR(L73/G73,"n/a")</f>
        <v>0.58313780079600219</v>
      </c>
      <c r="N73" s="354">
        <v>440345.23</v>
      </c>
      <c r="O73" s="329"/>
      <c r="P73" s="357">
        <f t="shared" si="60"/>
        <v>-491302.59999999963</v>
      </c>
      <c r="Q73" s="312">
        <v>4022939.0699999994</v>
      </c>
      <c r="R73" s="311">
        <f t="shared" ref="R73:R79" si="65">IFERROR(Q73/G73,"n/a")</f>
        <v>0.6642608495930824</v>
      </c>
      <c r="S73" s="353">
        <f t="shared" si="61"/>
        <v>-519258.93000000063</v>
      </c>
      <c r="T73" s="353">
        <f t="shared" si="59"/>
        <v>0</v>
      </c>
      <c r="W73" s="288">
        <f t="shared" si="49"/>
        <v>491302.59999999963</v>
      </c>
      <c r="Y73" s="295" t="str">
        <f t="shared" si="62"/>
        <v>OK</v>
      </c>
      <c r="AB73" s="128"/>
    </row>
    <row r="74" spans="1:28" s="8" customFormat="1" ht="69.75" x14ac:dyDescent="0.2">
      <c r="A74" s="89">
        <v>39</v>
      </c>
      <c r="B74" s="89" t="s">
        <v>5</v>
      </c>
      <c r="C74" s="71" t="s">
        <v>56</v>
      </c>
      <c r="D74" s="91" t="s">
        <v>134</v>
      </c>
      <c r="E74" s="312">
        <v>43390019</v>
      </c>
      <c r="F74" s="312"/>
      <c r="G74" s="312">
        <v>15186507</v>
      </c>
      <c r="H74" s="312">
        <v>2249596.9460619083</v>
      </c>
      <c r="I74" s="314">
        <v>0.75</v>
      </c>
      <c r="J74" s="345">
        <v>10706256.269999998</v>
      </c>
      <c r="K74" s="344">
        <f t="shared" si="63"/>
        <v>0.70498477826402062</v>
      </c>
      <c r="L74" s="312">
        <v>13759327.380000005</v>
      </c>
      <c r="M74" s="311">
        <f t="shared" si="64"/>
        <v>0.9060231809724254</v>
      </c>
      <c r="N74" s="354">
        <v>1390742.8900000025</v>
      </c>
      <c r="O74" s="329"/>
      <c r="P74" s="357">
        <f t="shared" si="60"/>
        <v>-784566.25999999791</v>
      </c>
      <c r="Q74" s="312">
        <v>14543893.640000002</v>
      </c>
      <c r="R74" s="311">
        <f t="shared" si="65"/>
        <v>0.95768524256433707</v>
      </c>
      <c r="S74" s="353">
        <f t="shared" si="61"/>
        <v>0</v>
      </c>
      <c r="T74" s="353">
        <f t="shared" si="59"/>
        <v>0</v>
      </c>
      <c r="W74" s="288">
        <f t="shared" si="49"/>
        <v>784566.25999999791</v>
      </c>
      <c r="Y74" s="295" t="str">
        <f t="shared" si="62"/>
        <v>OK</v>
      </c>
      <c r="AB74" s="128"/>
    </row>
    <row r="75" spans="1:28" s="8" customFormat="1" ht="69.75" x14ac:dyDescent="0.2">
      <c r="A75" s="89">
        <v>42</v>
      </c>
      <c r="B75" s="89" t="s">
        <v>5</v>
      </c>
      <c r="C75" s="71" t="s">
        <v>61</v>
      </c>
      <c r="D75" s="91" t="s">
        <v>129</v>
      </c>
      <c r="E75" s="312">
        <v>4000000</v>
      </c>
      <c r="F75" s="312"/>
      <c r="G75" s="312">
        <v>1964706</v>
      </c>
      <c r="H75" s="312">
        <v>0</v>
      </c>
      <c r="I75" s="314">
        <v>0.75</v>
      </c>
      <c r="J75" s="345">
        <v>1281375.18</v>
      </c>
      <c r="K75" s="344">
        <f t="shared" si="63"/>
        <v>0.65219690885048442</v>
      </c>
      <c r="L75" s="312">
        <v>1859522.71</v>
      </c>
      <c r="M75" s="311">
        <f t="shared" si="64"/>
        <v>0.94646359811595215</v>
      </c>
      <c r="N75" s="354">
        <v>166276.32000000007</v>
      </c>
      <c r="O75" s="329"/>
      <c r="P75" s="357">
        <f t="shared" si="60"/>
        <v>-659452.71</v>
      </c>
      <c r="Q75" s="312">
        <v>2518975.42</v>
      </c>
      <c r="R75" s="311">
        <f t="shared" si="65"/>
        <v>1.2821131609513077</v>
      </c>
      <c r="S75" s="353">
        <f t="shared" si="61"/>
        <v>0</v>
      </c>
      <c r="T75" s="353">
        <f t="shared" si="59"/>
        <v>0</v>
      </c>
      <c r="W75" s="288">
        <f t="shared" si="49"/>
        <v>659452.71</v>
      </c>
      <c r="Y75" s="295" t="str">
        <f t="shared" si="62"/>
        <v>OK</v>
      </c>
      <c r="AB75" s="128"/>
    </row>
    <row r="76" spans="1:28" s="8" customFormat="1" ht="69.75" x14ac:dyDescent="0.2">
      <c r="A76" s="89">
        <v>43</v>
      </c>
      <c r="B76" s="89" t="s">
        <v>5</v>
      </c>
      <c r="C76" s="71" t="s">
        <v>65</v>
      </c>
      <c r="D76" s="91" t="s">
        <v>136</v>
      </c>
      <c r="E76" s="312">
        <v>70717732.736073375</v>
      </c>
      <c r="F76" s="312"/>
      <c r="G76" s="312">
        <v>8041664.4461944811</v>
      </c>
      <c r="H76" s="312">
        <v>4597941</v>
      </c>
      <c r="I76" s="314">
        <v>0.75</v>
      </c>
      <c r="J76" s="345">
        <v>2423614.59</v>
      </c>
      <c r="K76" s="344">
        <f t="shared" si="63"/>
        <v>0.30138220839927182</v>
      </c>
      <c r="L76" s="312">
        <v>5718572.0600000005</v>
      </c>
      <c r="M76" s="311">
        <f t="shared" si="64"/>
        <v>0.7111179654736991</v>
      </c>
      <c r="N76" s="354">
        <v>2079239.0900000003</v>
      </c>
      <c r="O76" s="329"/>
      <c r="P76" s="357">
        <f t="shared" si="60"/>
        <v>-3971267.0199999996</v>
      </c>
      <c r="Q76" s="312">
        <v>9689839.0800000001</v>
      </c>
      <c r="R76" s="311">
        <f t="shared" si="65"/>
        <v>1.2049544152001364</v>
      </c>
      <c r="S76" s="353">
        <f t="shared" si="61"/>
        <v>0</v>
      </c>
      <c r="T76" s="353">
        <f t="shared" si="59"/>
        <v>0</v>
      </c>
      <c r="U76" s="10"/>
      <c r="W76" s="288">
        <f t="shared" si="49"/>
        <v>3971267.0199999996</v>
      </c>
      <c r="Y76" s="295" t="str">
        <f t="shared" si="62"/>
        <v>OK</v>
      </c>
      <c r="AB76" s="128"/>
    </row>
    <row r="77" spans="1:28" s="8" customFormat="1" ht="46.5" x14ac:dyDescent="0.2">
      <c r="A77" s="89">
        <v>38</v>
      </c>
      <c r="B77" s="89" t="s">
        <v>5</v>
      </c>
      <c r="C77" s="71" t="s">
        <v>66</v>
      </c>
      <c r="D77" s="91" t="s">
        <v>136</v>
      </c>
      <c r="E77" s="312">
        <v>94567990</v>
      </c>
      <c r="F77" s="312"/>
      <c r="G77" s="312">
        <v>18913598</v>
      </c>
      <c r="H77" s="312">
        <v>2451484</v>
      </c>
      <c r="I77" s="314">
        <v>0.75</v>
      </c>
      <c r="J77" s="345">
        <v>11808630.140000001</v>
      </c>
      <c r="K77" s="344">
        <f t="shared" si="63"/>
        <v>0.62434604669085181</v>
      </c>
      <c r="L77" s="312">
        <v>15382177.67</v>
      </c>
      <c r="M77" s="311">
        <f t="shared" si="64"/>
        <v>0.81328669827919575</v>
      </c>
      <c r="N77" s="354">
        <v>28780.279999999329</v>
      </c>
      <c r="O77" s="329"/>
      <c r="P77" s="357">
        <f t="shared" si="60"/>
        <v>-2230642.9799999986</v>
      </c>
      <c r="Q77" s="312">
        <v>17612820.649999999</v>
      </c>
      <c r="R77" s="311">
        <f t="shared" si="65"/>
        <v>0.93122528299480611</v>
      </c>
      <c r="S77" s="353">
        <f t="shared" si="61"/>
        <v>0</v>
      </c>
      <c r="T77" s="353">
        <f t="shared" si="59"/>
        <v>0</v>
      </c>
      <c r="W77" s="288">
        <f t="shared" si="49"/>
        <v>2230642.9799999986</v>
      </c>
      <c r="Y77" s="295" t="str">
        <f t="shared" si="62"/>
        <v>OK</v>
      </c>
      <c r="AB77" s="128"/>
    </row>
    <row r="78" spans="1:28" s="8" customFormat="1" ht="69.75" x14ac:dyDescent="0.2">
      <c r="A78" s="89">
        <v>44</v>
      </c>
      <c r="B78" s="89" t="s">
        <v>5</v>
      </c>
      <c r="C78" s="71" t="s">
        <v>67</v>
      </c>
      <c r="D78" s="91" t="s">
        <v>129</v>
      </c>
      <c r="E78" s="312">
        <v>282004866.82961953</v>
      </c>
      <c r="F78" s="312"/>
      <c r="G78" s="312">
        <v>56868726.553805523</v>
      </c>
      <c r="H78" s="312">
        <v>14426861</v>
      </c>
      <c r="I78" s="314">
        <v>0.75</v>
      </c>
      <c r="J78" s="345">
        <v>31099863.110000011</v>
      </c>
      <c r="K78" s="344">
        <f t="shared" si="63"/>
        <v>0.54687110112401283</v>
      </c>
      <c r="L78" s="312">
        <v>47173310.520000003</v>
      </c>
      <c r="M78" s="311">
        <f t="shared" si="64"/>
        <v>0.82951234146886788</v>
      </c>
      <c r="N78" s="354">
        <v>5092149.7200000063</v>
      </c>
      <c r="O78" s="329"/>
      <c r="P78" s="357">
        <f t="shared" si="60"/>
        <v>-11453106.530000009</v>
      </c>
      <c r="Q78" s="312">
        <v>58626417.050000012</v>
      </c>
      <c r="R78" s="311">
        <f t="shared" si="65"/>
        <v>1.0309078574940742</v>
      </c>
      <c r="S78" s="353">
        <f t="shared" si="61"/>
        <v>0</v>
      </c>
      <c r="T78" s="353">
        <f t="shared" si="59"/>
        <v>0</v>
      </c>
      <c r="U78" s="10"/>
      <c r="W78" s="288">
        <f t="shared" si="49"/>
        <v>11453106.530000009</v>
      </c>
      <c r="Y78" s="295" t="str">
        <f t="shared" si="62"/>
        <v>OK</v>
      </c>
      <c r="AB78" s="128"/>
    </row>
    <row r="79" spans="1:28" s="8" customFormat="1" ht="69.75" x14ac:dyDescent="0.2">
      <c r="A79" s="89">
        <v>41</v>
      </c>
      <c r="B79" s="89" t="s">
        <v>5</v>
      </c>
      <c r="C79" s="71" t="s">
        <v>68</v>
      </c>
      <c r="D79" s="91" t="s">
        <v>129</v>
      </c>
      <c r="E79" s="312">
        <v>29257750</v>
      </c>
      <c r="F79" s="312"/>
      <c r="G79" s="312">
        <v>2926000</v>
      </c>
      <c r="H79" s="312">
        <v>0</v>
      </c>
      <c r="I79" s="314">
        <v>0.75</v>
      </c>
      <c r="J79" s="345">
        <v>5141523.2200000007</v>
      </c>
      <c r="K79" s="344">
        <f t="shared" si="63"/>
        <v>1.7571849692412853</v>
      </c>
      <c r="L79" s="312">
        <v>4479245.7300000004</v>
      </c>
      <c r="M79" s="311">
        <f t="shared" si="64"/>
        <v>1.5308426965140125</v>
      </c>
      <c r="N79" s="354">
        <v>0</v>
      </c>
      <c r="O79" s="329"/>
      <c r="P79" s="357">
        <f t="shared" si="60"/>
        <v>0</v>
      </c>
      <c r="Q79" s="312">
        <v>4479245.7300000004</v>
      </c>
      <c r="R79" s="311">
        <f t="shared" si="65"/>
        <v>1.5308426965140125</v>
      </c>
      <c r="S79" s="353">
        <f t="shared" si="61"/>
        <v>0</v>
      </c>
      <c r="T79" s="353">
        <f t="shared" si="59"/>
        <v>0</v>
      </c>
      <c r="W79" s="288">
        <f t="shared" si="49"/>
        <v>0</v>
      </c>
      <c r="Y79" s="295" t="str">
        <f t="shared" si="62"/>
        <v>OK</v>
      </c>
      <c r="AB79" s="128"/>
    </row>
    <row r="80" spans="1:28" s="8" customFormat="1" ht="28.5" x14ac:dyDescent="0.2">
      <c r="A80" s="414" t="s">
        <v>206</v>
      </c>
      <c r="B80" s="414"/>
      <c r="C80" s="414"/>
      <c r="D80" s="414"/>
      <c r="E80" s="414"/>
      <c r="F80" s="414"/>
      <c r="G80" s="414"/>
      <c r="H80" s="414"/>
      <c r="I80" s="414"/>
      <c r="J80" s="414"/>
      <c r="K80" s="414"/>
      <c r="L80" s="414"/>
      <c r="M80" s="414"/>
      <c r="N80" s="414"/>
      <c r="O80" s="414"/>
      <c r="P80" s="414"/>
      <c r="Q80" s="414"/>
      <c r="R80" s="414"/>
      <c r="S80" s="414"/>
      <c r="T80" s="414"/>
      <c r="W80" s="288">
        <f t="shared" si="49"/>
        <v>0</v>
      </c>
      <c r="Y80" s="295" t="str">
        <f t="shared" si="62"/>
        <v>OK</v>
      </c>
    </row>
    <row r="81" spans="1:28" s="8" customFormat="1" ht="69.75" x14ac:dyDescent="0.2">
      <c r="A81" s="89">
        <v>49</v>
      </c>
      <c r="B81" s="89" t="s">
        <v>5</v>
      </c>
      <c r="C81" s="71" t="s">
        <v>57</v>
      </c>
      <c r="D81" s="91" t="s">
        <v>135</v>
      </c>
      <c r="E81" s="312">
        <v>423470</v>
      </c>
      <c r="F81" s="312"/>
      <c r="G81" s="312">
        <v>0</v>
      </c>
      <c r="H81" s="312">
        <v>0</v>
      </c>
      <c r="I81" s="314">
        <v>0.85</v>
      </c>
      <c r="J81" s="345">
        <v>167381.69999999998</v>
      </c>
      <c r="K81" s="344">
        <f t="shared" si="63"/>
        <v>0</v>
      </c>
      <c r="L81" s="312">
        <v>307631.69999999995</v>
      </c>
      <c r="M81" s="311" t="str">
        <f t="shared" ref="M81:M87" si="66">IFERROR(L81/G81,"n/a")</f>
        <v>n/a</v>
      </c>
      <c r="N81" s="354">
        <v>140249.99999999997</v>
      </c>
      <c r="O81" s="329"/>
      <c r="P81" s="357">
        <f t="shared" si="60"/>
        <v>-98961.320000000065</v>
      </c>
      <c r="Q81" s="312">
        <v>406593.02</v>
      </c>
      <c r="R81" s="311" t="str">
        <f t="shared" ref="R81:R87" si="67">IFERROR(Q81/G81,"n/a")</f>
        <v>n/a</v>
      </c>
      <c r="S81" s="353">
        <f t="shared" si="61"/>
        <v>0</v>
      </c>
      <c r="T81" s="353">
        <f t="shared" si="59"/>
        <v>0</v>
      </c>
      <c r="W81" s="288">
        <f t="shared" si="49"/>
        <v>98961.320000000065</v>
      </c>
      <c r="Y81" s="295" t="str">
        <f t="shared" si="62"/>
        <v>OK</v>
      </c>
      <c r="AB81" s="128"/>
    </row>
    <row r="82" spans="1:28" s="27" customFormat="1" ht="69.75" x14ac:dyDescent="0.2">
      <c r="A82" s="89">
        <v>46</v>
      </c>
      <c r="B82" s="89" t="s">
        <v>5</v>
      </c>
      <c r="C82" s="71" t="s">
        <v>58</v>
      </c>
      <c r="D82" s="91" t="s">
        <v>135</v>
      </c>
      <c r="E82" s="312">
        <v>54484011</v>
      </c>
      <c r="F82" s="312"/>
      <c r="G82" s="312">
        <v>3720862.9344055778</v>
      </c>
      <c r="H82" s="312">
        <v>1642779</v>
      </c>
      <c r="I82" s="314">
        <v>0.85</v>
      </c>
      <c r="J82" s="345">
        <v>40598.480000000003</v>
      </c>
      <c r="K82" s="344">
        <f t="shared" si="63"/>
        <v>1.0911038841178321E-2</v>
      </c>
      <c r="L82" s="312">
        <v>5578898.4800000004</v>
      </c>
      <c r="M82" s="311">
        <f t="shared" si="66"/>
        <v>1.4993560844216507</v>
      </c>
      <c r="N82" s="354">
        <v>5538300</v>
      </c>
      <c r="O82" s="329"/>
      <c r="P82" s="357">
        <f t="shared" si="60"/>
        <v>-1846100</v>
      </c>
      <c r="Q82" s="312">
        <v>7424998.4800000004</v>
      </c>
      <c r="R82" s="311">
        <f t="shared" si="67"/>
        <v>1.9955044329484748</v>
      </c>
      <c r="S82" s="353">
        <f t="shared" si="61"/>
        <v>0</v>
      </c>
      <c r="T82" s="353">
        <f t="shared" si="59"/>
        <v>0</v>
      </c>
      <c r="U82" s="33"/>
      <c r="W82" s="288">
        <f t="shared" si="49"/>
        <v>1846100</v>
      </c>
      <c r="X82" s="8"/>
      <c r="Y82" s="295" t="str">
        <f t="shared" si="62"/>
        <v>OK</v>
      </c>
      <c r="AA82" s="299"/>
      <c r="AB82" s="128"/>
    </row>
    <row r="83" spans="1:28" s="8" customFormat="1" ht="69.75" x14ac:dyDescent="0.2">
      <c r="A83" s="89">
        <v>47</v>
      </c>
      <c r="B83" s="89" t="s">
        <v>5</v>
      </c>
      <c r="C83" s="71" t="s">
        <v>59</v>
      </c>
      <c r="D83" s="91" t="s">
        <v>135</v>
      </c>
      <c r="E83" s="312">
        <v>10804999</v>
      </c>
      <c r="F83" s="312"/>
      <c r="G83" s="312">
        <v>0</v>
      </c>
      <c r="H83" s="312">
        <v>0</v>
      </c>
      <c r="I83" s="314">
        <v>0.85</v>
      </c>
      <c r="J83" s="345">
        <v>0</v>
      </c>
      <c r="K83" s="344">
        <f t="shared" si="63"/>
        <v>0</v>
      </c>
      <c r="L83" s="312">
        <v>0</v>
      </c>
      <c r="M83" s="311" t="str">
        <f t="shared" si="66"/>
        <v>n/a</v>
      </c>
      <c r="N83" s="354">
        <v>0</v>
      </c>
      <c r="O83" s="329"/>
      <c r="P83" s="357">
        <f t="shared" si="60"/>
        <v>0</v>
      </c>
      <c r="Q83" s="312">
        <v>0</v>
      </c>
      <c r="R83" s="311" t="str">
        <f t="shared" si="67"/>
        <v>n/a</v>
      </c>
      <c r="S83" s="353">
        <f t="shared" si="61"/>
        <v>0</v>
      </c>
      <c r="T83" s="353">
        <f t="shared" si="59"/>
        <v>0</v>
      </c>
      <c r="W83" s="288">
        <f t="shared" si="49"/>
        <v>0</v>
      </c>
      <c r="Y83" s="295" t="str">
        <f t="shared" si="62"/>
        <v>OK</v>
      </c>
      <c r="AB83" s="128"/>
    </row>
    <row r="84" spans="1:28" s="8" customFormat="1" ht="69.75" x14ac:dyDescent="0.2">
      <c r="A84" s="89">
        <v>45</v>
      </c>
      <c r="B84" s="89" t="s">
        <v>5</v>
      </c>
      <c r="C84" s="71" t="s">
        <v>60</v>
      </c>
      <c r="D84" s="91" t="s">
        <v>135</v>
      </c>
      <c r="E84" s="312">
        <v>139698189</v>
      </c>
      <c r="F84" s="312"/>
      <c r="G84" s="312">
        <v>28479654.521559395</v>
      </c>
      <c r="H84" s="312">
        <v>0</v>
      </c>
      <c r="I84" s="314">
        <v>0.85</v>
      </c>
      <c r="J84" s="345">
        <v>17657013.98</v>
      </c>
      <c r="K84" s="344">
        <f t="shared" si="63"/>
        <v>0.61998694424588108</v>
      </c>
      <c r="L84" s="312">
        <v>24918870.460000001</v>
      </c>
      <c r="M84" s="311">
        <f t="shared" si="66"/>
        <v>0.87497095307585826</v>
      </c>
      <c r="N84" s="354">
        <v>2836984.7899999991</v>
      </c>
      <c r="O84" s="329"/>
      <c r="P84" s="357">
        <f t="shared" si="60"/>
        <v>-5160388.7839999869</v>
      </c>
      <c r="Q84" s="312">
        <v>30079259.243999988</v>
      </c>
      <c r="R84" s="311">
        <f t="shared" si="67"/>
        <v>1.0561665774853299</v>
      </c>
      <c r="S84" s="353">
        <f t="shared" si="61"/>
        <v>0</v>
      </c>
      <c r="T84" s="353">
        <f t="shared" si="59"/>
        <v>0</v>
      </c>
      <c r="W84" s="288">
        <f t="shared" si="49"/>
        <v>5160388.7839999869</v>
      </c>
      <c r="Y84" s="295" t="str">
        <f t="shared" si="62"/>
        <v>OK</v>
      </c>
      <c r="AB84" s="128"/>
    </row>
    <row r="85" spans="1:28" s="8" customFormat="1" ht="69.75" x14ac:dyDescent="0.2">
      <c r="A85" s="89">
        <v>50</v>
      </c>
      <c r="B85" s="89" t="s">
        <v>5</v>
      </c>
      <c r="C85" s="71" t="s">
        <v>62</v>
      </c>
      <c r="D85" s="91" t="s">
        <v>135</v>
      </c>
      <c r="E85" s="312">
        <v>9500000</v>
      </c>
      <c r="F85" s="312"/>
      <c r="G85" s="312">
        <v>1853242.6452677706</v>
      </c>
      <c r="H85" s="312">
        <v>0</v>
      </c>
      <c r="I85" s="314">
        <v>0.85</v>
      </c>
      <c r="J85" s="345">
        <v>2885960.1100000003</v>
      </c>
      <c r="K85" s="344">
        <f t="shared" si="63"/>
        <v>1.5572489211648888</v>
      </c>
      <c r="L85" s="312">
        <v>3656659.1400000006</v>
      </c>
      <c r="M85" s="311">
        <f t="shared" si="66"/>
        <v>1.9731140708083903</v>
      </c>
      <c r="N85" s="354">
        <v>0</v>
      </c>
      <c r="O85" s="329"/>
      <c r="P85" s="357">
        <f t="shared" si="60"/>
        <v>-804591.72999999952</v>
      </c>
      <c r="Q85" s="312">
        <v>4461250.87</v>
      </c>
      <c r="R85" s="311">
        <f t="shared" si="67"/>
        <v>2.4072675434011526</v>
      </c>
      <c r="S85" s="353">
        <f t="shared" si="61"/>
        <v>0</v>
      </c>
      <c r="T85" s="353">
        <f t="shared" si="59"/>
        <v>0</v>
      </c>
      <c r="W85" s="288">
        <f t="shared" si="49"/>
        <v>804591.72999999952</v>
      </c>
      <c r="Y85" s="295" t="str">
        <f t="shared" si="62"/>
        <v>OK</v>
      </c>
      <c r="AB85" s="128"/>
    </row>
    <row r="86" spans="1:28" s="8" customFormat="1" ht="69.75" x14ac:dyDescent="0.2">
      <c r="A86" s="89">
        <v>51</v>
      </c>
      <c r="B86" s="89" t="s">
        <v>5</v>
      </c>
      <c r="C86" s="71" t="s">
        <v>63</v>
      </c>
      <c r="D86" s="91" t="s">
        <v>135</v>
      </c>
      <c r="E86" s="312">
        <v>16643483</v>
      </c>
      <c r="F86" s="312"/>
      <c r="G86" s="312">
        <v>1146778.8987672578</v>
      </c>
      <c r="H86" s="312">
        <v>2289729</v>
      </c>
      <c r="I86" s="314">
        <v>0.85</v>
      </c>
      <c r="J86" s="345">
        <v>1104859.27</v>
      </c>
      <c r="K86" s="344">
        <f t="shared" si="63"/>
        <v>0.96344576202760646</v>
      </c>
      <c r="L86" s="312">
        <v>2239604.0300000003</v>
      </c>
      <c r="M86" s="311">
        <f t="shared" si="66"/>
        <v>1.9529519006736926</v>
      </c>
      <c r="N86" s="354">
        <v>1095742.2300000002</v>
      </c>
      <c r="O86" s="329"/>
      <c r="P86" s="357">
        <f t="shared" si="60"/>
        <v>-975883.66999999993</v>
      </c>
      <c r="Q86" s="312">
        <v>3215487.7</v>
      </c>
      <c r="R86" s="311">
        <f t="shared" si="67"/>
        <v>2.8039299497545018</v>
      </c>
      <c r="S86" s="353">
        <f t="shared" si="61"/>
        <v>0</v>
      </c>
      <c r="T86" s="353">
        <f t="shared" si="59"/>
        <v>0</v>
      </c>
      <c r="W86" s="288">
        <f t="shared" si="49"/>
        <v>975883.66999999993</v>
      </c>
      <c r="Y86" s="295" t="str">
        <f t="shared" si="62"/>
        <v>OK</v>
      </c>
      <c r="AB86" s="128"/>
    </row>
    <row r="87" spans="1:28" s="8" customFormat="1" ht="69.75" x14ac:dyDescent="0.2">
      <c r="A87" s="89">
        <v>48</v>
      </c>
      <c r="B87" s="89" t="s">
        <v>5</v>
      </c>
      <c r="C87" s="71" t="s">
        <v>64</v>
      </c>
      <c r="D87" s="91" t="s">
        <v>135</v>
      </c>
      <c r="E87" s="312">
        <v>9212619</v>
      </c>
      <c r="F87" s="312"/>
      <c r="G87" s="312">
        <v>0</v>
      </c>
      <c r="H87" s="312">
        <v>7830726</v>
      </c>
      <c r="I87" s="314">
        <v>0.85</v>
      </c>
      <c r="J87" s="345">
        <v>0</v>
      </c>
      <c r="K87" s="344">
        <f t="shared" si="63"/>
        <v>0</v>
      </c>
      <c r="L87" s="312">
        <v>0</v>
      </c>
      <c r="M87" s="311" t="str">
        <f t="shared" si="66"/>
        <v>n/a</v>
      </c>
      <c r="N87" s="354">
        <v>0</v>
      </c>
      <c r="O87" s="329"/>
      <c r="P87" s="357">
        <f t="shared" si="60"/>
        <v>0</v>
      </c>
      <c r="Q87" s="312">
        <v>0</v>
      </c>
      <c r="R87" s="311" t="str">
        <f t="shared" si="67"/>
        <v>n/a</v>
      </c>
      <c r="S87" s="353">
        <f t="shared" si="61"/>
        <v>0</v>
      </c>
      <c r="T87" s="353">
        <f t="shared" si="59"/>
        <v>0</v>
      </c>
      <c r="W87" s="288">
        <f t="shared" si="49"/>
        <v>0</v>
      </c>
      <c r="Y87" s="295" t="str">
        <f t="shared" si="62"/>
        <v>OK</v>
      </c>
      <c r="AB87" s="128"/>
    </row>
    <row r="88" spans="1:28" s="8" customFormat="1" ht="28.5" x14ac:dyDescent="0.2">
      <c r="A88" s="414" t="s">
        <v>207</v>
      </c>
      <c r="B88" s="414"/>
      <c r="C88" s="414"/>
      <c r="D88" s="414"/>
      <c r="E88" s="414"/>
      <c r="F88" s="414"/>
      <c r="G88" s="414"/>
      <c r="H88" s="414"/>
      <c r="I88" s="414"/>
      <c r="J88" s="414"/>
      <c r="K88" s="414"/>
      <c r="L88" s="414"/>
      <c r="M88" s="414"/>
      <c r="N88" s="414"/>
      <c r="O88" s="414"/>
      <c r="P88" s="414"/>
      <c r="Q88" s="414"/>
      <c r="R88" s="414"/>
      <c r="S88" s="414"/>
      <c r="T88" s="414"/>
      <c r="W88" s="288">
        <f t="shared" si="49"/>
        <v>0</v>
      </c>
      <c r="Y88" s="295" t="str">
        <f t="shared" si="62"/>
        <v>OK</v>
      </c>
    </row>
    <row r="89" spans="1:28" s="8" customFormat="1" ht="46.5" x14ac:dyDescent="0.2">
      <c r="A89" s="89">
        <v>52</v>
      </c>
      <c r="B89" s="89" t="s">
        <v>7</v>
      </c>
      <c r="C89" s="71" t="s">
        <v>78</v>
      </c>
      <c r="D89" s="91" t="s">
        <v>128</v>
      </c>
      <c r="E89" s="312">
        <v>277032428</v>
      </c>
      <c r="F89" s="108"/>
      <c r="G89" s="312">
        <v>72852630</v>
      </c>
      <c r="H89" s="312">
        <v>14363011</v>
      </c>
      <c r="I89" s="314">
        <v>0.75</v>
      </c>
      <c r="J89" s="345">
        <v>150561288.15000001</v>
      </c>
      <c r="K89" s="344">
        <f t="shared" si="63"/>
        <v>2.0666554954845147</v>
      </c>
      <c r="L89" s="312">
        <v>179827487.44</v>
      </c>
      <c r="M89" s="311">
        <f>IFERROR(L89/G89,"n/a")</f>
        <v>2.4683733097899143</v>
      </c>
      <c r="N89" s="354">
        <v>10651526.360000014</v>
      </c>
      <c r="O89" s="329"/>
      <c r="P89" s="357">
        <f t="shared" si="60"/>
        <v>-14875754.50999999</v>
      </c>
      <c r="Q89" s="312">
        <v>194703241.94999999</v>
      </c>
      <c r="R89" s="311">
        <f>IFERROR(Q89/G89,"n/a")</f>
        <v>2.6725629802245985</v>
      </c>
      <c r="S89" s="353">
        <f t="shared" si="61"/>
        <v>0</v>
      </c>
      <c r="T89" s="353">
        <f t="shared" si="59"/>
        <v>0</v>
      </c>
      <c r="W89" s="288">
        <f t="shared" si="49"/>
        <v>14875754.50999999</v>
      </c>
      <c r="Y89" s="295" t="str">
        <f t="shared" si="62"/>
        <v>OK</v>
      </c>
      <c r="AB89" s="128"/>
    </row>
    <row r="90" spans="1:28" s="8" customFormat="1" ht="28.5" x14ac:dyDescent="0.2">
      <c r="A90" s="414" t="s">
        <v>208</v>
      </c>
      <c r="B90" s="414"/>
      <c r="C90" s="414"/>
      <c r="D90" s="414"/>
      <c r="E90" s="414"/>
      <c r="F90" s="414"/>
      <c r="G90" s="414"/>
      <c r="H90" s="414"/>
      <c r="I90" s="414"/>
      <c r="J90" s="414"/>
      <c r="K90" s="414"/>
      <c r="L90" s="414"/>
      <c r="M90" s="414"/>
      <c r="N90" s="414"/>
      <c r="O90" s="414"/>
      <c r="P90" s="414"/>
      <c r="Q90" s="414"/>
      <c r="R90" s="414"/>
      <c r="S90" s="414"/>
      <c r="T90" s="414"/>
      <c r="W90" s="288">
        <f t="shared" si="49"/>
        <v>0</v>
      </c>
      <c r="Y90" s="295" t="str">
        <f t="shared" si="62"/>
        <v>OK</v>
      </c>
    </row>
    <row r="91" spans="1:28" s="8" customFormat="1" ht="46.5" x14ac:dyDescent="0.2">
      <c r="A91" s="89">
        <v>55</v>
      </c>
      <c r="B91" s="89" t="s">
        <v>7</v>
      </c>
      <c r="C91" s="71" t="s">
        <v>69</v>
      </c>
      <c r="D91" s="91" t="s">
        <v>133</v>
      </c>
      <c r="E91" s="312">
        <v>105073678</v>
      </c>
      <c r="F91" s="108"/>
      <c r="G91" s="312">
        <v>33802200</v>
      </c>
      <c r="H91" s="312">
        <v>5525477.0040577287</v>
      </c>
      <c r="I91" s="314">
        <v>0.75</v>
      </c>
      <c r="J91" s="345">
        <v>6945423.0499999989</v>
      </c>
      <c r="K91" s="344">
        <f t="shared" si="63"/>
        <v>0.20547251510256725</v>
      </c>
      <c r="L91" s="312">
        <v>24498124.239999995</v>
      </c>
      <c r="M91" s="311">
        <f t="shared" ref="M91:M99" si="68">IFERROR(L91/G91,"n/a")</f>
        <v>0.72474940210992167</v>
      </c>
      <c r="N91" s="354">
        <v>1071684.5799999982</v>
      </c>
      <c r="O91" s="329"/>
      <c r="P91" s="357">
        <f t="shared" si="60"/>
        <v>-8162592.950000003</v>
      </c>
      <c r="Q91" s="312">
        <v>32660717.189999998</v>
      </c>
      <c r="R91" s="311">
        <f t="shared" ref="R91:R99" si="69">IFERROR(Q91/G91,"n/a")</f>
        <v>0.96623051724443965</v>
      </c>
      <c r="S91" s="353">
        <f t="shared" si="61"/>
        <v>0</v>
      </c>
      <c r="T91" s="353">
        <f t="shared" si="59"/>
        <v>0</v>
      </c>
      <c r="W91" s="288">
        <f t="shared" si="49"/>
        <v>8162592.950000003</v>
      </c>
      <c r="Y91" s="295" t="str">
        <f t="shared" si="62"/>
        <v>OK</v>
      </c>
      <c r="AB91" s="128"/>
    </row>
    <row r="92" spans="1:28" s="8" customFormat="1" ht="46.5" x14ac:dyDescent="0.2">
      <c r="A92" s="89">
        <v>58</v>
      </c>
      <c r="B92" s="89" t="s">
        <v>7</v>
      </c>
      <c r="C92" s="71" t="s">
        <v>70</v>
      </c>
      <c r="D92" s="91" t="s">
        <v>133</v>
      </c>
      <c r="E92" s="312">
        <v>23049010</v>
      </c>
      <c r="F92" s="108"/>
      <c r="G92" s="312">
        <v>2000000</v>
      </c>
      <c r="H92" s="312">
        <v>710524.46285737387</v>
      </c>
      <c r="I92" s="314">
        <v>0.75</v>
      </c>
      <c r="J92" s="345">
        <v>0</v>
      </c>
      <c r="K92" s="344">
        <f t="shared" si="63"/>
        <v>0</v>
      </c>
      <c r="L92" s="312">
        <v>447355.76</v>
      </c>
      <c r="M92" s="311">
        <f t="shared" si="68"/>
        <v>0.22367788</v>
      </c>
      <c r="N92" s="354">
        <v>414905.76</v>
      </c>
      <c r="O92" s="329"/>
      <c r="P92" s="357">
        <f t="shared" si="60"/>
        <v>-1435184.1300000001</v>
      </c>
      <c r="Q92" s="312">
        <v>1882539.8900000001</v>
      </c>
      <c r="R92" s="311">
        <f t="shared" si="69"/>
        <v>0.94126994500000005</v>
      </c>
      <c r="S92" s="353">
        <f t="shared" si="61"/>
        <v>0</v>
      </c>
      <c r="T92" s="353">
        <f t="shared" si="59"/>
        <v>0</v>
      </c>
      <c r="W92" s="288">
        <f t="shared" si="49"/>
        <v>1435184.1300000001</v>
      </c>
      <c r="Y92" s="295" t="str">
        <f t="shared" si="62"/>
        <v>OK</v>
      </c>
      <c r="AB92" s="128"/>
    </row>
    <row r="93" spans="1:28" s="8" customFormat="1" ht="46.5" x14ac:dyDescent="0.2">
      <c r="A93" s="89">
        <v>56</v>
      </c>
      <c r="B93" s="89" t="s">
        <v>7</v>
      </c>
      <c r="C93" s="71" t="s">
        <v>71</v>
      </c>
      <c r="D93" s="91" t="s">
        <v>133</v>
      </c>
      <c r="E93" s="312">
        <v>88364076</v>
      </c>
      <c r="F93" s="108"/>
      <c r="G93" s="312">
        <v>24085192</v>
      </c>
      <c r="H93" s="312">
        <v>4646774.3627410103</v>
      </c>
      <c r="I93" s="314">
        <v>0.75</v>
      </c>
      <c r="J93" s="345">
        <v>9575540.1799999997</v>
      </c>
      <c r="K93" s="344">
        <f t="shared" si="63"/>
        <v>0.39756960127201807</v>
      </c>
      <c r="L93" s="312">
        <v>9575540.1799999997</v>
      </c>
      <c r="M93" s="311">
        <f t="shared" si="68"/>
        <v>0.39756960127201807</v>
      </c>
      <c r="N93" s="354">
        <v>0</v>
      </c>
      <c r="O93" s="329"/>
      <c r="P93" s="357">
        <f t="shared" si="60"/>
        <v>-3502454.58</v>
      </c>
      <c r="Q93" s="312">
        <v>13077994.76</v>
      </c>
      <c r="R93" s="311">
        <f t="shared" si="69"/>
        <v>0.54298901831465574</v>
      </c>
      <c r="S93" s="353">
        <f t="shared" si="61"/>
        <v>-4985899.24</v>
      </c>
      <c r="T93" s="353">
        <f t="shared" si="59"/>
        <v>-2577380.040000001</v>
      </c>
      <c r="W93" s="288">
        <f t="shared" si="49"/>
        <v>3502454.58</v>
      </c>
      <c r="Y93" s="295" t="str">
        <f t="shared" si="62"/>
        <v>OK</v>
      </c>
      <c r="AB93" s="128"/>
    </row>
    <row r="94" spans="1:28" s="8" customFormat="1" ht="69.75" x14ac:dyDescent="0.2">
      <c r="A94" s="89">
        <v>59</v>
      </c>
      <c r="B94" s="89" t="s">
        <v>7</v>
      </c>
      <c r="C94" s="71" t="s">
        <v>72</v>
      </c>
      <c r="D94" s="91" t="s">
        <v>133</v>
      </c>
      <c r="E94" s="312">
        <v>8345106</v>
      </c>
      <c r="F94" s="108"/>
      <c r="G94" s="312">
        <v>0</v>
      </c>
      <c r="H94" s="312">
        <v>438842</v>
      </c>
      <c r="I94" s="314">
        <v>0.75</v>
      </c>
      <c r="J94" s="345">
        <v>0</v>
      </c>
      <c r="K94" s="344">
        <f t="shared" si="63"/>
        <v>0</v>
      </c>
      <c r="L94" s="312">
        <v>0</v>
      </c>
      <c r="M94" s="311" t="str">
        <f t="shared" si="68"/>
        <v>n/a</v>
      </c>
      <c r="N94" s="354">
        <v>0</v>
      </c>
      <c r="O94" s="329"/>
      <c r="P94" s="357">
        <f t="shared" si="60"/>
        <v>0</v>
      </c>
      <c r="Q94" s="312">
        <v>0</v>
      </c>
      <c r="R94" s="311" t="str">
        <f t="shared" si="69"/>
        <v>n/a</v>
      </c>
      <c r="S94" s="353">
        <f t="shared" si="61"/>
        <v>0</v>
      </c>
      <c r="T94" s="353">
        <f t="shared" si="59"/>
        <v>0</v>
      </c>
      <c r="W94" s="288">
        <f t="shared" si="49"/>
        <v>0</v>
      </c>
      <c r="Y94" s="295" t="str">
        <f t="shared" ref="Y94:Y125" si="70">IF(L94&gt;Q94,"Nav labi","OK")</f>
        <v>OK</v>
      </c>
      <c r="AB94" s="128"/>
    </row>
    <row r="95" spans="1:28" s="8" customFormat="1" ht="46.5" x14ac:dyDescent="0.2">
      <c r="A95" s="89">
        <v>57</v>
      </c>
      <c r="B95" s="89" t="s">
        <v>7</v>
      </c>
      <c r="C95" s="71" t="s">
        <v>73</v>
      </c>
      <c r="D95" s="91" t="s">
        <v>133</v>
      </c>
      <c r="E95" s="312">
        <v>28235294</v>
      </c>
      <c r="F95" s="108"/>
      <c r="G95" s="312">
        <v>5170932</v>
      </c>
      <c r="H95" s="312">
        <v>1484801</v>
      </c>
      <c r="I95" s="314">
        <v>0.75</v>
      </c>
      <c r="J95" s="345">
        <v>0</v>
      </c>
      <c r="K95" s="344">
        <f t="shared" si="63"/>
        <v>0</v>
      </c>
      <c r="L95" s="312">
        <v>547434.86</v>
      </c>
      <c r="M95" s="311">
        <f t="shared" si="68"/>
        <v>0.10586773525546266</v>
      </c>
      <c r="N95" s="354">
        <v>0</v>
      </c>
      <c r="O95" s="329"/>
      <c r="P95" s="357">
        <f t="shared" si="60"/>
        <v>-182478.28000000003</v>
      </c>
      <c r="Q95" s="312">
        <v>729913.14</v>
      </c>
      <c r="R95" s="311">
        <f t="shared" si="69"/>
        <v>0.14115697905135863</v>
      </c>
      <c r="S95" s="353">
        <f t="shared" si="61"/>
        <v>-3148285.86</v>
      </c>
      <c r="T95" s="353">
        <f t="shared" si="59"/>
        <v>-2631192.66</v>
      </c>
      <c r="W95" s="288">
        <f t="shared" ref="W95:W158" si="71">Q95-L95</f>
        <v>182478.28000000003</v>
      </c>
      <c r="Y95" s="295" t="str">
        <f t="shared" si="70"/>
        <v>OK</v>
      </c>
      <c r="AB95" s="128"/>
    </row>
    <row r="96" spans="1:28" s="8" customFormat="1" ht="46.5" x14ac:dyDescent="0.2">
      <c r="A96" s="89">
        <v>60</v>
      </c>
      <c r="B96" s="89" t="s">
        <v>7</v>
      </c>
      <c r="C96" s="71" t="s">
        <v>74</v>
      </c>
      <c r="D96" s="91" t="s">
        <v>133</v>
      </c>
      <c r="E96" s="312">
        <v>51570514</v>
      </c>
      <c r="F96" s="108"/>
      <c r="G96" s="312">
        <v>6554146</v>
      </c>
      <c r="H96" s="312">
        <v>2778862.1693609911</v>
      </c>
      <c r="I96" s="314">
        <v>0.75</v>
      </c>
      <c r="J96" s="345">
        <v>11746433.98</v>
      </c>
      <c r="K96" s="344">
        <f t="shared" si="63"/>
        <v>1.7922142686476621</v>
      </c>
      <c r="L96" s="312">
        <v>19067796.940000001</v>
      </c>
      <c r="M96" s="311">
        <f t="shared" si="68"/>
        <v>2.9092725337519183</v>
      </c>
      <c r="N96" s="354">
        <v>1733733.7300000004</v>
      </c>
      <c r="O96" s="329"/>
      <c r="P96" s="357">
        <f t="shared" si="60"/>
        <v>-4084517.799999997</v>
      </c>
      <c r="Q96" s="312">
        <v>23152314.739999998</v>
      </c>
      <c r="R96" s="311">
        <f t="shared" si="69"/>
        <v>3.5324685687502231</v>
      </c>
      <c r="S96" s="353">
        <f t="shared" si="61"/>
        <v>0</v>
      </c>
      <c r="T96" s="353">
        <f t="shared" si="59"/>
        <v>0</v>
      </c>
      <c r="W96" s="288">
        <f t="shared" si="71"/>
        <v>4084517.799999997</v>
      </c>
      <c r="Y96" s="295" t="str">
        <f t="shared" si="70"/>
        <v>OK</v>
      </c>
      <c r="AB96" s="128"/>
    </row>
    <row r="97" spans="1:32" s="8" customFormat="1" ht="46.5" x14ac:dyDescent="0.2">
      <c r="A97" s="89">
        <v>61</v>
      </c>
      <c r="B97" s="89" t="s">
        <v>7</v>
      </c>
      <c r="C97" s="71" t="s">
        <v>75</v>
      </c>
      <c r="D97" s="91" t="s">
        <v>133</v>
      </c>
      <c r="E97" s="312">
        <v>256999769</v>
      </c>
      <c r="F97" s="108"/>
      <c r="G97" s="312">
        <v>197688520</v>
      </c>
      <c r="H97" s="312">
        <v>13514767.514866358</v>
      </c>
      <c r="I97" s="314">
        <v>0.75</v>
      </c>
      <c r="J97" s="345">
        <v>197843405.23999992</v>
      </c>
      <c r="K97" s="344">
        <f t="shared" si="63"/>
        <v>1.0007834812056862</v>
      </c>
      <c r="L97" s="312">
        <v>204268866.30000001</v>
      </c>
      <c r="M97" s="311">
        <f t="shared" si="68"/>
        <v>1.0332864361572438</v>
      </c>
      <c r="N97" s="354">
        <v>1595581.9600000083</v>
      </c>
      <c r="O97" s="329"/>
      <c r="P97" s="357">
        <f t="shared" si="60"/>
        <v>-7016081.5299999416</v>
      </c>
      <c r="Q97" s="312">
        <v>211284947.82999995</v>
      </c>
      <c r="R97" s="311">
        <f t="shared" si="69"/>
        <v>1.0687770227122948</v>
      </c>
      <c r="S97" s="353">
        <f t="shared" si="61"/>
        <v>0</v>
      </c>
      <c r="T97" s="353">
        <f t="shared" si="59"/>
        <v>0</v>
      </c>
      <c r="W97" s="288">
        <f t="shared" si="71"/>
        <v>7016081.5299999416</v>
      </c>
      <c r="Y97" s="295" t="str">
        <f t="shared" si="70"/>
        <v>OK</v>
      </c>
      <c r="AB97" s="128"/>
    </row>
    <row r="98" spans="1:32" s="8" customFormat="1" ht="46.5" x14ac:dyDescent="0.2">
      <c r="A98" s="89">
        <v>53</v>
      </c>
      <c r="B98" s="89" t="s">
        <v>7</v>
      </c>
      <c r="C98" s="71" t="s">
        <v>76</v>
      </c>
      <c r="D98" s="91" t="s">
        <v>133</v>
      </c>
      <c r="E98" s="312">
        <v>407810998</v>
      </c>
      <c r="F98" s="108"/>
      <c r="G98" s="312">
        <v>0</v>
      </c>
      <c r="H98" s="312">
        <v>28082986</v>
      </c>
      <c r="I98" s="314">
        <v>0.75</v>
      </c>
      <c r="J98" s="345">
        <v>0</v>
      </c>
      <c r="K98" s="344">
        <f t="shared" si="63"/>
        <v>0</v>
      </c>
      <c r="L98" s="312">
        <v>0</v>
      </c>
      <c r="M98" s="311" t="str">
        <f t="shared" si="68"/>
        <v>n/a</v>
      </c>
      <c r="N98" s="354">
        <v>0</v>
      </c>
      <c r="O98" s="329"/>
      <c r="P98" s="357">
        <f t="shared" si="60"/>
        <v>0</v>
      </c>
      <c r="Q98" s="312">
        <v>0</v>
      </c>
      <c r="R98" s="311" t="str">
        <f t="shared" si="69"/>
        <v>n/a</v>
      </c>
      <c r="S98" s="353">
        <f t="shared" si="61"/>
        <v>0</v>
      </c>
      <c r="T98" s="353">
        <f t="shared" si="59"/>
        <v>0</v>
      </c>
      <c r="W98" s="288">
        <f t="shared" si="71"/>
        <v>0</v>
      </c>
      <c r="Y98" s="295" t="str">
        <f t="shared" si="70"/>
        <v>OK</v>
      </c>
      <c r="AB98" s="128"/>
    </row>
    <row r="99" spans="1:32" s="8" customFormat="1" ht="46.5" x14ac:dyDescent="0.2">
      <c r="A99" s="89">
        <v>54</v>
      </c>
      <c r="B99" s="89" t="s">
        <v>7</v>
      </c>
      <c r="C99" s="71" t="s">
        <v>77</v>
      </c>
      <c r="D99" s="91" t="s">
        <v>133</v>
      </c>
      <c r="E99" s="312">
        <v>126221198</v>
      </c>
      <c r="F99" s="108"/>
      <c r="G99" s="312">
        <v>36847633</v>
      </c>
      <c r="H99" s="312">
        <v>1.3981057571831576E-9</v>
      </c>
      <c r="I99" s="314">
        <v>0.75</v>
      </c>
      <c r="J99" s="345">
        <v>0</v>
      </c>
      <c r="K99" s="344">
        <f t="shared" si="63"/>
        <v>0</v>
      </c>
      <c r="L99" s="312">
        <v>0</v>
      </c>
      <c r="M99" s="311">
        <f t="shared" si="68"/>
        <v>0</v>
      </c>
      <c r="N99" s="354">
        <v>0</v>
      </c>
      <c r="O99" s="329"/>
      <c r="P99" s="357">
        <f t="shared" si="60"/>
        <v>0</v>
      </c>
      <c r="Q99" s="312">
        <v>0</v>
      </c>
      <c r="R99" s="311">
        <f t="shared" si="69"/>
        <v>0</v>
      </c>
      <c r="S99" s="353">
        <f t="shared" si="61"/>
        <v>-27635724.75</v>
      </c>
      <c r="T99" s="353">
        <f t="shared" si="59"/>
        <v>-23950961.449999999</v>
      </c>
      <c r="W99" s="288">
        <f t="shared" si="71"/>
        <v>0</v>
      </c>
      <c r="Y99" s="295" t="str">
        <f t="shared" si="70"/>
        <v>OK</v>
      </c>
      <c r="AB99" s="128"/>
    </row>
    <row r="100" spans="1:32" s="8" customFormat="1" ht="28.5" x14ac:dyDescent="0.2">
      <c r="A100" s="414" t="s">
        <v>209</v>
      </c>
      <c r="B100" s="414"/>
      <c r="C100" s="414"/>
      <c r="D100" s="414"/>
      <c r="E100" s="414"/>
      <c r="F100" s="414"/>
      <c r="G100" s="414"/>
      <c r="H100" s="414"/>
      <c r="I100" s="414"/>
      <c r="J100" s="414"/>
      <c r="K100" s="414"/>
      <c r="L100" s="414"/>
      <c r="M100" s="414"/>
      <c r="N100" s="414"/>
      <c r="O100" s="414"/>
      <c r="P100" s="414"/>
      <c r="Q100" s="414"/>
      <c r="R100" s="414"/>
      <c r="S100" s="414"/>
      <c r="T100" s="414"/>
      <c r="W100" s="288">
        <f t="shared" si="71"/>
        <v>0</v>
      </c>
      <c r="Y100" s="295" t="str">
        <f t="shared" si="70"/>
        <v>OK</v>
      </c>
      <c r="AB100" s="128"/>
    </row>
    <row r="101" spans="1:32" s="8" customFormat="1" ht="46.5" x14ac:dyDescent="0.35">
      <c r="A101" s="89">
        <v>69</v>
      </c>
      <c r="B101" s="89" t="s">
        <v>8</v>
      </c>
      <c r="C101" s="71" t="s">
        <v>79</v>
      </c>
      <c r="D101" s="91" t="s">
        <v>137</v>
      </c>
      <c r="E101" s="312">
        <v>96428049</v>
      </c>
      <c r="F101" s="108"/>
      <c r="G101" s="312">
        <v>43496163</v>
      </c>
      <c r="H101" s="312">
        <v>5699925</v>
      </c>
      <c r="I101" s="314">
        <v>0.85</v>
      </c>
      <c r="J101" s="345">
        <v>46688676.769999996</v>
      </c>
      <c r="K101" s="344">
        <f t="shared" si="63"/>
        <v>1.0733975953235231</v>
      </c>
      <c r="L101" s="312">
        <v>49931508.609999992</v>
      </c>
      <c r="M101" s="311">
        <f t="shared" ref="M101:M108" si="72">IFERROR(L101/G101,"n/a")</f>
        <v>1.1479520299296284</v>
      </c>
      <c r="N101" s="354">
        <v>23730</v>
      </c>
      <c r="O101" s="329"/>
      <c r="P101" s="357">
        <f t="shared" si="60"/>
        <v>0</v>
      </c>
      <c r="Q101" s="312">
        <v>49931508.609999992</v>
      </c>
      <c r="R101" s="311">
        <f t="shared" ref="R101:R108" si="73">IFERROR(Q101/G101,"n/a")</f>
        <v>1.1479520299296284</v>
      </c>
      <c r="S101" s="353">
        <f t="shared" si="61"/>
        <v>0</v>
      </c>
      <c r="T101" s="353">
        <f t="shared" si="59"/>
        <v>0</v>
      </c>
      <c r="U101" s="34"/>
      <c r="W101" s="288">
        <f t="shared" si="71"/>
        <v>0</v>
      </c>
      <c r="Y101" s="295" t="str">
        <f t="shared" si="70"/>
        <v>OK</v>
      </c>
      <c r="AB101" s="128"/>
    </row>
    <row r="102" spans="1:32" s="8" customFormat="1" ht="46.5" x14ac:dyDescent="0.35">
      <c r="A102" s="89">
        <v>67</v>
      </c>
      <c r="B102" s="89" t="s">
        <v>8</v>
      </c>
      <c r="C102" s="71" t="s">
        <v>80</v>
      </c>
      <c r="D102" s="91" t="s">
        <v>137</v>
      </c>
      <c r="E102" s="312">
        <v>591250</v>
      </c>
      <c r="F102" s="108"/>
      <c r="G102" s="312">
        <v>256935</v>
      </c>
      <c r="H102" s="312">
        <v>0</v>
      </c>
      <c r="I102" s="314">
        <v>0.85</v>
      </c>
      <c r="J102" s="345">
        <v>301882.82999999996</v>
      </c>
      <c r="K102" s="344">
        <f t="shared" si="63"/>
        <v>1.1749385253079572</v>
      </c>
      <c r="L102" s="312">
        <v>320279.86999999994</v>
      </c>
      <c r="M102" s="311">
        <f t="shared" si="72"/>
        <v>1.2465404479732225</v>
      </c>
      <c r="N102" s="354">
        <v>18397.039999999979</v>
      </c>
      <c r="O102" s="329"/>
      <c r="P102" s="357">
        <f t="shared" si="60"/>
        <v>0</v>
      </c>
      <c r="Q102" s="312">
        <v>320279.86999999994</v>
      </c>
      <c r="R102" s="311">
        <f t="shared" si="73"/>
        <v>1.2465404479732225</v>
      </c>
      <c r="S102" s="353">
        <f t="shared" si="61"/>
        <v>0</v>
      </c>
      <c r="T102" s="353">
        <f t="shared" si="59"/>
        <v>0</v>
      </c>
      <c r="U102" s="34"/>
      <c r="W102" s="288">
        <f t="shared" si="71"/>
        <v>0</v>
      </c>
      <c r="Y102" s="295" t="str">
        <f t="shared" si="70"/>
        <v>OK</v>
      </c>
      <c r="AB102" s="128"/>
    </row>
    <row r="103" spans="1:32" s="8" customFormat="1" ht="69.75" x14ac:dyDescent="0.35">
      <c r="A103" s="89">
        <v>68</v>
      </c>
      <c r="B103" s="89" t="s">
        <v>8</v>
      </c>
      <c r="C103" s="71" t="s">
        <v>81</v>
      </c>
      <c r="D103" s="91" t="s">
        <v>137</v>
      </c>
      <c r="E103" s="312">
        <v>1400770</v>
      </c>
      <c r="F103" s="108"/>
      <c r="G103" s="312">
        <v>648614</v>
      </c>
      <c r="H103" s="312">
        <v>0</v>
      </c>
      <c r="I103" s="314">
        <v>0.85</v>
      </c>
      <c r="J103" s="345">
        <v>908448.55</v>
      </c>
      <c r="K103" s="344">
        <f t="shared" si="63"/>
        <v>1.4005996632820137</v>
      </c>
      <c r="L103" s="312">
        <v>948006.33000000007</v>
      </c>
      <c r="M103" s="311">
        <f t="shared" si="72"/>
        <v>1.4615878319000208</v>
      </c>
      <c r="N103" s="354">
        <v>315</v>
      </c>
      <c r="O103" s="329"/>
      <c r="P103" s="357">
        <f t="shared" si="60"/>
        <v>0</v>
      </c>
      <c r="Q103" s="312">
        <v>948006.33000000007</v>
      </c>
      <c r="R103" s="311">
        <f t="shared" si="73"/>
        <v>1.4615878319000208</v>
      </c>
      <c r="S103" s="353">
        <f t="shared" si="61"/>
        <v>0</v>
      </c>
      <c r="T103" s="353">
        <f t="shared" si="59"/>
        <v>0</v>
      </c>
      <c r="U103" s="34"/>
      <c r="W103" s="288">
        <f t="shared" si="71"/>
        <v>0</v>
      </c>
      <c r="Y103" s="295" t="str">
        <f t="shared" si="70"/>
        <v>OK</v>
      </c>
      <c r="AB103" s="128"/>
    </row>
    <row r="104" spans="1:32" s="8" customFormat="1" ht="93" x14ac:dyDescent="0.35">
      <c r="A104" s="89">
        <v>65</v>
      </c>
      <c r="B104" s="89"/>
      <c r="C104" s="71" t="s">
        <v>164</v>
      </c>
      <c r="D104" s="91" t="s">
        <v>137</v>
      </c>
      <c r="E104" s="312">
        <v>208000</v>
      </c>
      <c r="F104" s="108"/>
      <c r="G104" s="312">
        <v>208000</v>
      </c>
      <c r="H104" s="312">
        <v>0</v>
      </c>
      <c r="I104" s="314">
        <v>0.85</v>
      </c>
      <c r="J104" s="345">
        <v>192471.5</v>
      </c>
      <c r="K104" s="344">
        <f t="shared" si="63"/>
        <v>0.92534375000000002</v>
      </c>
      <c r="L104" s="312">
        <v>192471.5</v>
      </c>
      <c r="M104" s="311">
        <f t="shared" si="72"/>
        <v>0.92534375000000002</v>
      </c>
      <c r="N104" s="354">
        <v>0</v>
      </c>
      <c r="O104" s="329"/>
      <c r="P104" s="357">
        <f t="shared" si="60"/>
        <v>0</v>
      </c>
      <c r="Q104" s="312">
        <v>192471.5</v>
      </c>
      <c r="R104" s="311">
        <f t="shared" si="73"/>
        <v>0.92534375000000002</v>
      </c>
      <c r="S104" s="353">
        <f t="shared" si="61"/>
        <v>0</v>
      </c>
      <c r="T104" s="353">
        <f t="shared" si="59"/>
        <v>0</v>
      </c>
      <c r="U104" s="34"/>
      <c r="W104" s="288">
        <f t="shared" si="71"/>
        <v>0</v>
      </c>
      <c r="Y104" s="295" t="str">
        <f t="shared" si="70"/>
        <v>OK</v>
      </c>
      <c r="Z104" s="128"/>
      <c r="AA104" s="128"/>
      <c r="AB104" s="128"/>
      <c r="AC104" s="128"/>
      <c r="AD104" s="128"/>
    </row>
    <row r="105" spans="1:32" s="8" customFormat="1" ht="69.75" x14ac:dyDescent="0.35">
      <c r="A105" s="89">
        <v>64</v>
      </c>
      <c r="B105" s="89"/>
      <c r="C105" s="71" t="s">
        <v>165</v>
      </c>
      <c r="D105" s="91" t="s">
        <v>137</v>
      </c>
      <c r="E105" s="312">
        <v>6812578</v>
      </c>
      <c r="F105" s="108"/>
      <c r="G105" s="312">
        <v>3308896</v>
      </c>
      <c r="H105" s="312">
        <v>0</v>
      </c>
      <c r="I105" s="314">
        <v>0.85</v>
      </c>
      <c r="J105" s="345">
        <f>6434436.03-14137.649999991</f>
        <v>6420298.3800000092</v>
      </c>
      <c r="K105" s="344">
        <f t="shared" si="63"/>
        <v>1.9403143465373374</v>
      </c>
      <c r="L105" s="312">
        <v>6786180.6399999987</v>
      </c>
      <c r="M105" s="311">
        <f t="shared" si="72"/>
        <v>2.0508896743808203</v>
      </c>
      <c r="N105" s="354">
        <v>0</v>
      </c>
      <c r="O105" s="329"/>
      <c r="P105" s="357">
        <f t="shared" si="60"/>
        <v>0</v>
      </c>
      <c r="Q105" s="312">
        <v>6786180.6399999987</v>
      </c>
      <c r="R105" s="311">
        <f t="shared" si="73"/>
        <v>2.0508896743808203</v>
      </c>
      <c r="S105" s="353">
        <f t="shared" si="61"/>
        <v>0</v>
      </c>
      <c r="T105" s="353">
        <f t="shared" si="59"/>
        <v>0</v>
      </c>
      <c r="U105" s="34"/>
      <c r="W105" s="288">
        <f t="shared" si="71"/>
        <v>0</v>
      </c>
      <c r="Y105" s="295" t="str">
        <f t="shared" si="70"/>
        <v>OK</v>
      </c>
      <c r="Z105" s="128"/>
      <c r="AA105" s="128"/>
      <c r="AB105" s="128"/>
      <c r="AC105" s="128"/>
      <c r="AF105" s="7"/>
    </row>
    <row r="106" spans="1:32" s="8" customFormat="1" ht="93" x14ac:dyDescent="0.35">
      <c r="A106" s="89">
        <v>66</v>
      </c>
      <c r="B106" s="89" t="s">
        <v>8</v>
      </c>
      <c r="C106" s="71" t="s">
        <v>82</v>
      </c>
      <c r="D106" s="91" t="s">
        <v>137</v>
      </c>
      <c r="E106" s="312">
        <v>3258896</v>
      </c>
      <c r="F106" s="108"/>
      <c r="G106" s="312">
        <v>0</v>
      </c>
      <c r="H106" s="312">
        <v>1274049</v>
      </c>
      <c r="I106" s="314">
        <v>0.85</v>
      </c>
      <c r="J106" s="345">
        <v>0</v>
      </c>
      <c r="K106" s="344">
        <f t="shared" si="63"/>
        <v>0</v>
      </c>
      <c r="L106" s="312">
        <v>0</v>
      </c>
      <c r="M106" s="311" t="str">
        <f t="shared" si="72"/>
        <v>n/a</v>
      </c>
      <c r="N106" s="354">
        <v>0</v>
      </c>
      <c r="O106" s="329"/>
      <c r="P106" s="357">
        <f t="shared" si="60"/>
        <v>0</v>
      </c>
      <c r="Q106" s="312">
        <v>0</v>
      </c>
      <c r="R106" s="311" t="str">
        <f t="shared" si="73"/>
        <v>n/a</v>
      </c>
      <c r="S106" s="353">
        <f t="shared" si="61"/>
        <v>0</v>
      </c>
      <c r="T106" s="353">
        <f t="shared" si="59"/>
        <v>0</v>
      </c>
      <c r="U106" s="34"/>
      <c r="W106" s="288">
        <f t="shared" si="71"/>
        <v>0</v>
      </c>
      <c r="Y106" s="295" t="str">
        <f t="shared" si="70"/>
        <v>OK</v>
      </c>
      <c r="AB106" s="128"/>
    </row>
    <row r="107" spans="1:32" s="8" customFormat="1" ht="46.5" x14ac:dyDescent="0.35">
      <c r="A107" s="89">
        <v>63</v>
      </c>
      <c r="B107" s="89" t="s">
        <v>8</v>
      </c>
      <c r="C107" s="71" t="s">
        <v>83</v>
      </c>
      <c r="D107" s="91" t="s">
        <v>137</v>
      </c>
      <c r="E107" s="312">
        <v>12643472</v>
      </c>
      <c r="F107" s="108"/>
      <c r="G107" s="312">
        <v>954835</v>
      </c>
      <c r="H107" s="312">
        <v>0</v>
      </c>
      <c r="I107" s="314">
        <v>0.85</v>
      </c>
      <c r="J107" s="345">
        <v>730446.68000000017</v>
      </c>
      <c r="K107" s="344">
        <f t="shared" si="63"/>
        <v>0.76499780590363797</v>
      </c>
      <c r="L107" s="312">
        <v>874557.50000000023</v>
      </c>
      <c r="M107" s="311">
        <f t="shared" si="72"/>
        <v>0.91592526457450785</v>
      </c>
      <c r="N107" s="354">
        <v>144110.82000000007</v>
      </c>
      <c r="O107" s="329"/>
      <c r="P107" s="357">
        <f t="shared" si="60"/>
        <v>-267683</v>
      </c>
      <c r="Q107" s="312">
        <v>1142240.5000000002</v>
      </c>
      <c r="R107" s="311">
        <f t="shared" si="73"/>
        <v>1.1962700361842624</v>
      </c>
      <c r="S107" s="353">
        <f t="shared" si="61"/>
        <v>0</v>
      </c>
      <c r="T107" s="353">
        <f t="shared" si="59"/>
        <v>0</v>
      </c>
      <c r="U107" s="34"/>
      <c r="W107" s="288">
        <f t="shared" si="71"/>
        <v>267683</v>
      </c>
      <c r="Y107" s="295" t="str">
        <f t="shared" si="70"/>
        <v>OK</v>
      </c>
      <c r="AB107" s="128"/>
    </row>
    <row r="108" spans="1:32" s="8" customFormat="1" ht="69.75" x14ac:dyDescent="0.35">
      <c r="A108" s="89">
        <v>62</v>
      </c>
      <c r="B108" s="89" t="s">
        <v>8</v>
      </c>
      <c r="C108" s="71" t="s">
        <v>84</v>
      </c>
      <c r="D108" s="91" t="s">
        <v>137</v>
      </c>
      <c r="E108" s="312">
        <v>10596211</v>
      </c>
      <c r="F108" s="108"/>
      <c r="G108" s="312">
        <v>503251</v>
      </c>
      <c r="H108" s="312">
        <v>0</v>
      </c>
      <c r="I108" s="314">
        <v>0.85</v>
      </c>
      <c r="J108" s="345">
        <v>307511.89</v>
      </c>
      <c r="K108" s="344">
        <f t="shared" si="63"/>
        <v>0.61105072816546813</v>
      </c>
      <c r="L108" s="312">
        <v>408919.32</v>
      </c>
      <c r="M108" s="311">
        <f t="shared" si="72"/>
        <v>0.81255540475826182</v>
      </c>
      <c r="N108" s="354">
        <v>1627.5</v>
      </c>
      <c r="O108" s="329"/>
      <c r="P108" s="357">
        <f t="shared" si="60"/>
        <v>-145000.00000000006</v>
      </c>
      <c r="Q108" s="312">
        <v>553919.32000000007</v>
      </c>
      <c r="R108" s="311">
        <f t="shared" si="73"/>
        <v>1.1006820055995916</v>
      </c>
      <c r="S108" s="353">
        <f t="shared" si="61"/>
        <v>0</v>
      </c>
      <c r="T108" s="353">
        <f t="shared" si="59"/>
        <v>0</v>
      </c>
      <c r="U108" s="34"/>
      <c r="W108" s="288">
        <f t="shared" si="71"/>
        <v>145000.00000000006</v>
      </c>
      <c r="Y108" s="295" t="str">
        <f t="shared" si="70"/>
        <v>OK</v>
      </c>
      <c r="AB108" s="128"/>
    </row>
    <row r="109" spans="1:32" s="8" customFormat="1" ht="28.5" x14ac:dyDescent="0.2">
      <c r="A109" s="414" t="s">
        <v>210</v>
      </c>
      <c r="B109" s="414"/>
      <c r="C109" s="414"/>
      <c r="D109" s="414"/>
      <c r="E109" s="414"/>
      <c r="F109" s="414"/>
      <c r="G109" s="414"/>
      <c r="H109" s="414"/>
      <c r="I109" s="414"/>
      <c r="J109" s="414"/>
      <c r="K109" s="414"/>
      <c r="L109" s="414"/>
      <c r="M109" s="414"/>
      <c r="N109" s="414"/>
      <c r="O109" s="414"/>
      <c r="P109" s="414"/>
      <c r="Q109" s="414"/>
      <c r="R109" s="414"/>
      <c r="S109" s="414"/>
      <c r="T109" s="414"/>
      <c r="W109" s="288">
        <f t="shared" si="71"/>
        <v>0</v>
      </c>
      <c r="Y109" s="295" t="str">
        <f t="shared" si="70"/>
        <v>OK</v>
      </c>
    </row>
    <row r="110" spans="1:32" s="8" customFormat="1" ht="93" x14ac:dyDescent="0.35">
      <c r="A110" s="89">
        <v>71</v>
      </c>
      <c r="B110" s="89" t="s">
        <v>8</v>
      </c>
      <c r="C110" s="71" t="s">
        <v>166</v>
      </c>
      <c r="D110" s="91" t="s">
        <v>138</v>
      </c>
      <c r="E110" s="312">
        <v>33769162</v>
      </c>
      <c r="F110" s="108"/>
      <c r="G110" s="312">
        <v>26050171.876714714</v>
      </c>
      <c r="H110" s="312">
        <v>0</v>
      </c>
      <c r="I110" s="314">
        <v>0.85</v>
      </c>
      <c r="J110" s="345">
        <v>34016677.090000004</v>
      </c>
      <c r="K110" s="344">
        <f t="shared" si="63"/>
        <v>1.305813921343308</v>
      </c>
      <c r="L110" s="312">
        <v>35509646.630000003</v>
      </c>
      <c r="M110" s="311">
        <f>IFERROR(L110/G110,"n/a")</f>
        <v>1.3631252338008857</v>
      </c>
      <c r="N110" s="354">
        <v>18480.000000007451</v>
      </c>
      <c r="O110" s="329"/>
      <c r="P110" s="357">
        <f t="shared" si="60"/>
        <v>0</v>
      </c>
      <c r="Q110" s="312">
        <v>35509646.629999995</v>
      </c>
      <c r="R110" s="311">
        <f>IFERROR(Q110/G110,"n/a")</f>
        <v>1.3631252338008855</v>
      </c>
      <c r="S110" s="353">
        <f t="shared" si="61"/>
        <v>0</v>
      </c>
      <c r="T110" s="353">
        <f t="shared" si="59"/>
        <v>0</v>
      </c>
      <c r="U110" s="36"/>
      <c r="W110" s="288">
        <f t="shared" si="71"/>
        <v>0</v>
      </c>
      <c r="Y110" s="295" t="str">
        <f t="shared" si="70"/>
        <v>OK</v>
      </c>
      <c r="AB110" s="128"/>
    </row>
    <row r="111" spans="1:32" s="8" customFormat="1" ht="69.75" x14ac:dyDescent="0.2">
      <c r="A111" s="89">
        <v>70</v>
      </c>
      <c r="B111" s="89" t="s">
        <v>8</v>
      </c>
      <c r="C111" s="71" t="s">
        <v>167</v>
      </c>
      <c r="D111" s="91" t="s">
        <v>138</v>
      </c>
      <c r="E111" s="312">
        <v>29371641</v>
      </c>
      <c r="F111" s="108"/>
      <c r="G111" s="312">
        <v>22657840.123285286</v>
      </c>
      <c r="H111" s="312">
        <v>0</v>
      </c>
      <c r="I111" s="314">
        <v>0.85</v>
      </c>
      <c r="J111" s="345">
        <v>21661487.41</v>
      </c>
      <c r="K111" s="344">
        <f t="shared" si="63"/>
        <v>0.95602613894952226</v>
      </c>
      <c r="L111" s="312">
        <v>23852642.75</v>
      </c>
      <c r="M111" s="311">
        <f>IFERROR(L111/G111,"n/a")</f>
        <v>1.052732414926294</v>
      </c>
      <c r="N111" s="354">
        <v>0</v>
      </c>
      <c r="O111" s="329"/>
      <c r="P111" s="357">
        <f t="shared" si="60"/>
        <v>-1129538.4600000009</v>
      </c>
      <c r="Q111" s="312">
        <v>24982181.210000001</v>
      </c>
      <c r="R111" s="311">
        <f>IFERROR(Q111/G111,"n/a")</f>
        <v>1.1025844067248938</v>
      </c>
      <c r="S111" s="353">
        <f t="shared" si="61"/>
        <v>0</v>
      </c>
      <c r="T111" s="353">
        <f t="shared" si="59"/>
        <v>0</v>
      </c>
      <c r="W111" s="288">
        <f t="shared" si="71"/>
        <v>1129538.4600000009</v>
      </c>
      <c r="Y111" s="295" t="str">
        <f t="shared" si="70"/>
        <v>OK</v>
      </c>
      <c r="AB111" s="128"/>
    </row>
    <row r="112" spans="1:32" s="8" customFormat="1" ht="28.5" x14ac:dyDescent="0.2">
      <c r="A112" s="414" t="s">
        <v>211</v>
      </c>
      <c r="B112" s="414"/>
      <c r="C112" s="414"/>
      <c r="D112" s="414"/>
      <c r="E112" s="414"/>
      <c r="F112" s="414"/>
      <c r="G112" s="414"/>
      <c r="H112" s="414"/>
      <c r="I112" s="414"/>
      <c r="J112" s="414"/>
      <c r="K112" s="414"/>
      <c r="L112" s="414"/>
      <c r="M112" s="414"/>
      <c r="N112" s="414"/>
      <c r="O112" s="414"/>
      <c r="P112" s="414"/>
      <c r="Q112" s="414"/>
      <c r="R112" s="414"/>
      <c r="S112" s="414"/>
      <c r="T112" s="414"/>
      <c r="W112" s="288">
        <f t="shared" si="71"/>
        <v>0</v>
      </c>
      <c r="Y112" s="295" t="str">
        <f t="shared" si="70"/>
        <v>OK</v>
      </c>
    </row>
    <row r="113" spans="1:28" s="8" customFormat="1" ht="69.75" x14ac:dyDescent="0.2">
      <c r="A113" s="89">
        <v>73</v>
      </c>
      <c r="B113" s="89" t="s">
        <v>9</v>
      </c>
      <c r="C113" s="71" t="s">
        <v>85</v>
      </c>
      <c r="D113" s="91" t="s">
        <v>126</v>
      </c>
      <c r="E113" s="312">
        <v>44641656</v>
      </c>
      <c r="F113" s="108"/>
      <c r="G113" s="312">
        <v>11160414</v>
      </c>
      <c r="H113" s="312">
        <v>2314490</v>
      </c>
      <c r="I113" s="314">
        <v>0.85</v>
      </c>
      <c r="J113" s="345">
        <v>6317510.2399999984</v>
      </c>
      <c r="K113" s="344">
        <f t="shared" si="63"/>
        <v>0.56606414779953484</v>
      </c>
      <c r="L113" s="312">
        <v>10381643.179999998</v>
      </c>
      <c r="M113" s="311">
        <f>IFERROR(L113/G113,"n/a")</f>
        <v>0.93022025706214817</v>
      </c>
      <c r="N113" s="354">
        <v>2059116.2400000012</v>
      </c>
      <c r="O113" s="329"/>
      <c r="P113" s="357">
        <f t="shared" si="60"/>
        <v>-3076747.1799999978</v>
      </c>
      <c r="Q113" s="312">
        <v>13458390.359999996</v>
      </c>
      <c r="R113" s="311">
        <f>IFERROR(Q113/G113,"n/a")</f>
        <v>1.2059042218326306</v>
      </c>
      <c r="S113" s="353">
        <f t="shared" si="61"/>
        <v>0</v>
      </c>
      <c r="T113" s="353">
        <f t="shared" si="59"/>
        <v>0</v>
      </c>
      <c r="W113" s="288">
        <f t="shared" si="71"/>
        <v>3076747.1799999978</v>
      </c>
      <c r="Y113" s="295" t="str">
        <f t="shared" si="70"/>
        <v>OK</v>
      </c>
      <c r="AB113" s="128"/>
    </row>
    <row r="114" spans="1:28" s="8" customFormat="1" ht="69.75" x14ac:dyDescent="0.2">
      <c r="A114" s="89">
        <v>75</v>
      </c>
      <c r="B114" s="89" t="s">
        <v>9</v>
      </c>
      <c r="C114" s="71" t="s">
        <v>86</v>
      </c>
      <c r="D114" s="91" t="s">
        <v>126</v>
      </c>
      <c r="E114" s="312">
        <v>168136850.14364851</v>
      </c>
      <c r="F114" s="108"/>
      <c r="G114" s="312">
        <v>32373977.000000007</v>
      </c>
      <c r="H114" s="312">
        <v>8470218</v>
      </c>
      <c r="I114" s="314">
        <v>0.85</v>
      </c>
      <c r="J114" s="345">
        <v>27489840.219999995</v>
      </c>
      <c r="K114" s="344">
        <f t="shared" si="63"/>
        <v>0.84913386514112832</v>
      </c>
      <c r="L114" s="312">
        <v>43972203.599999994</v>
      </c>
      <c r="M114" s="311">
        <f>IFERROR(L114/G114,"n/a")</f>
        <v>1.3582577018572659</v>
      </c>
      <c r="N114" s="354">
        <v>3671080.8700000048</v>
      </c>
      <c r="O114" s="329"/>
      <c r="P114" s="357">
        <f t="shared" si="60"/>
        <v>-14821972.390000001</v>
      </c>
      <c r="Q114" s="312">
        <v>58794175.989999995</v>
      </c>
      <c r="R114" s="311">
        <f>IFERROR(Q114/G114,"n/a")</f>
        <v>1.8160937097718943</v>
      </c>
      <c r="S114" s="353">
        <f t="shared" si="61"/>
        <v>0</v>
      </c>
      <c r="T114" s="353">
        <f t="shared" si="59"/>
        <v>0</v>
      </c>
      <c r="W114" s="288">
        <f t="shared" si="71"/>
        <v>14821972.390000001</v>
      </c>
      <c r="Y114" s="295" t="str">
        <f t="shared" si="70"/>
        <v>OK</v>
      </c>
      <c r="AB114" s="128"/>
    </row>
    <row r="115" spans="1:28" s="27" customFormat="1" ht="69.75" x14ac:dyDescent="0.2">
      <c r="A115" s="89">
        <v>72</v>
      </c>
      <c r="B115" s="89" t="s">
        <v>9</v>
      </c>
      <c r="C115" s="294" t="s">
        <v>87</v>
      </c>
      <c r="D115" s="91" t="s">
        <v>126</v>
      </c>
      <c r="E115" s="312">
        <v>104224880</v>
      </c>
      <c r="F115" s="108"/>
      <c r="G115" s="312">
        <v>33454181</v>
      </c>
      <c r="H115" s="312">
        <v>5404059.7000000002</v>
      </c>
      <c r="I115" s="314">
        <v>0.85</v>
      </c>
      <c r="J115" s="345">
        <v>14442902.389999995</v>
      </c>
      <c r="K115" s="344">
        <f t="shared" si="63"/>
        <v>0.43172189419313522</v>
      </c>
      <c r="L115" s="312">
        <v>20146746.789999988</v>
      </c>
      <c r="M115" s="311">
        <f>IFERROR(L115/G115,"n/a")</f>
        <v>0.60221910050645056</v>
      </c>
      <c r="N115" s="354">
        <v>2838969.1599999964</v>
      </c>
      <c r="O115" s="329"/>
      <c r="P115" s="357">
        <f t="shared" si="60"/>
        <v>-7407551.6600000039</v>
      </c>
      <c r="Q115" s="312">
        <v>27554298.449999992</v>
      </c>
      <c r="R115" s="311">
        <f>IFERROR(Q115/G115,"n/a")</f>
        <v>0.82364289384337319</v>
      </c>
      <c r="S115" s="353">
        <f t="shared" si="61"/>
        <v>-881755.40000000596</v>
      </c>
      <c r="T115" s="353">
        <f t="shared" si="59"/>
        <v>0</v>
      </c>
      <c r="W115" s="288">
        <f t="shared" si="71"/>
        <v>7407551.6600000039</v>
      </c>
      <c r="X115" s="8"/>
      <c r="Y115" s="295" t="str">
        <f t="shared" si="70"/>
        <v>OK</v>
      </c>
      <c r="AB115" s="128"/>
    </row>
    <row r="116" spans="1:28" s="8" customFormat="1" ht="46.5" x14ac:dyDescent="0.2">
      <c r="A116" s="89">
        <v>74</v>
      </c>
      <c r="B116" s="89" t="s">
        <v>9</v>
      </c>
      <c r="C116" s="71" t="s">
        <v>88</v>
      </c>
      <c r="D116" s="91" t="s">
        <v>126</v>
      </c>
      <c r="E116" s="312">
        <v>14185198</v>
      </c>
      <c r="F116" s="108"/>
      <c r="G116" s="312">
        <v>3546300</v>
      </c>
      <c r="H116" s="312">
        <v>735445</v>
      </c>
      <c r="I116" s="314">
        <v>0.85</v>
      </c>
      <c r="J116" s="345">
        <v>2426500.0099999998</v>
      </c>
      <c r="K116" s="344">
        <f t="shared" si="63"/>
        <v>0.68423427516002588</v>
      </c>
      <c r="L116" s="312">
        <v>3384914.6599999997</v>
      </c>
      <c r="M116" s="311">
        <f>IFERROR(L116/G116,"n/a")</f>
        <v>0.95449190987790078</v>
      </c>
      <c r="N116" s="354">
        <v>103768.56000000006</v>
      </c>
      <c r="O116" s="329"/>
      <c r="P116" s="357">
        <f t="shared" si="60"/>
        <v>-317853.96000000043</v>
      </c>
      <c r="Q116" s="312">
        <v>3702768.62</v>
      </c>
      <c r="R116" s="311">
        <f>IFERROR(Q116/G116,"n/a")</f>
        <v>1.0441216535544089</v>
      </c>
      <c r="S116" s="353">
        <f t="shared" si="61"/>
        <v>0</v>
      </c>
      <c r="T116" s="353">
        <f t="shared" si="59"/>
        <v>0</v>
      </c>
      <c r="W116" s="288">
        <f t="shared" si="71"/>
        <v>317853.96000000043</v>
      </c>
      <c r="Y116" s="295" t="str">
        <f t="shared" si="70"/>
        <v>OK</v>
      </c>
      <c r="AB116" s="128"/>
    </row>
    <row r="117" spans="1:28" s="8" customFormat="1" ht="28.5" x14ac:dyDescent="0.35">
      <c r="A117" s="414" t="s">
        <v>212</v>
      </c>
      <c r="B117" s="414"/>
      <c r="C117" s="414"/>
      <c r="D117" s="414"/>
      <c r="E117" s="414"/>
      <c r="F117" s="414"/>
      <c r="G117" s="414"/>
      <c r="H117" s="414"/>
      <c r="I117" s="414"/>
      <c r="J117" s="414"/>
      <c r="K117" s="414"/>
      <c r="L117" s="414"/>
      <c r="M117" s="414"/>
      <c r="N117" s="414"/>
      <c r="O117" s="414"/>
      <c r="P117" s="414"/>
      <c r="Q117" s="414"/>
      <c r="R117" s="414"/>
      <c r="S117" s="414"/>
      <c r="T117" s="414"/>
      <c r="U117" s="26"/>
      <c r="W117" s="288">
        <f t="shared" si="71"/>
        <v>0</v>
      </c>
      <c r="Y117" s="295" t="str">
        <f t="shared" si="70"/>
        <v>OK</v>
      </c>
    </row>
    <row r="118" spans="1:28" s="8" customFormat="1" ht="69.75" x14ac:dyDescent="0.2">
      <c r="A118" s="89">
        <v>86</v>
      </c>
      <c r="B118" s="90" t="s">
        <v>9</v>
      </c>
      <c r="C118" s="71" t="s">
        <v>89</v>
      </c>
      <c r="D118" s="91" t="s">
        <v>139</v>
      </c>
      <c r="E118" s="312">
        <v>10815000</v>
      </c>
      <c r="F118" s="313"/>
      <c r="G118" s="312">
        <v>306783.08034535614</v>
      </c>
      <c r="H118" s="312">
        <v>571654</v>
      </c>
      <c r="I118" s="314">
        <v>0.75</v>
      </c>
      <c r="J118" s="345">
        <v>1972.16</v>
      </c>
      <c r="K118" s="344">
        <f t="shared" si="63"/>
        <v>6.4285161938522576E-3</v>
      </c>
      <c r="L118" s="312">
        <v>7694.55</v>
      </c>
      <c r="M118" s="311">
        <f t="shared" ref="M118:M134" si="74">IFERROR(L118/G118,"n/a")</f>
        <v>2.5081402766208565E-2</v>
      </c>
      <c r="N118" s="354">
        <v>0</v>
      </c>
      <c r="O118" s="329"/>
      <c r="P118" s="357">
        <f t="shared" si="60"/>
        <v>-200485.22</v>
      </c>
      <c r="Q118" s="312">
        <v>208179.77</v>
      </c>
      <c r="R118" s="311">
        <f t="shared" ref="R118:R134" si="75">IFERROR(Q118/G118,"n/a")</f>
        <v>0.67858947685656246</v>
      </c>
      <c r="S118" s="353">
        <f t="shared" si="61"/>
        <v>-21907.540259017114</v>
      </c>
      <c r="T118" s="353">
        <f t="shared" si="59"/>
        <v>0</v>
      </c>
      <c r="U118" s="10"/>
      <c r="W118" s="288">
        <f t="shared" si="71"/>
        <v>200485.22</v>
      </c>
      <c r="Y118" s="295" t="str">
        <f t="shared" si="70"/>
        <v>OK</v>
      </c>
      <c r="AB118" s="128"/>
    </row>
    <row r="119" spans="1:28" s="8" customFormat="1" ht="93" x14ac:dyDescent="0.2">
      <c r="A119" s="89">
        <v>84</v>
      </c>
      <c r="B119" s="90" t="s">
        <v>9</v>
      </c>
      <c r="C119" s="71" t="s">
        <v>90</v>
      </c>
      <c r="D119" s="91" t="s">
        <v>139</v>
      </c>
      <c r="E119" s="312">
        <v>34340686</v>
      </c>
      <c r="F119" s="313"/>
      <c r="G119" s="312">
        <v>613566.16069071228</v>
      </c>
      <c r="H119" s="312">
        <v>1815163</v>
      </c>
      <c r="I119" s="314">
        <v>0.75</v>
      </c>
      <c r="J119" s="345">
        <v>0</v>
      </c>
      <c r="K119" s="344">
        <f t="shared" si="63"/>
        <v>0</v>
      </c>
      <c r="L119" s="312">
        <v>1698.91</v>
      </c>
      <c r="M119" s="311">
        <f t="shared" si="74"/>
        <v>2.7689108507670621E-3</v>
      </c>
      <c r="N119" s="354">
        <v>0</v>
      </c>
      <c r="O119" s="329"/>
      <c r="P119" s="357">
        <f t="shared" si="60"/>
        <v>-198447.19</v>
      </c>
      <c r="Q119" s="312">
        <v>200146.1</v>
      </c>
      <c r="R119" s="311">
        <f t="shared" si="75"/>
        <v>0.3262013338132741</v>
      </c>
      <c r="S119" s="353">
        <f t="shared" si="61"/>
        <v>-260028.5205180342</v>
      </c>
      <c r="T119" s="353">
        <f t="shared" si="59"/>
        <v>-198671.90444896297</v>
      </c>
      <c r="U119" s="10"/>
      <c r="W119" s="288">
        <f t="shared" si="71"/>
        <v>198447.19</v>
      </c>
      <c r="Y119" s="295" t="str">
        <f t="shared" si="70"/>
        <v>OK</v>
      </c>
      <c r="AB119" s="128"/>
    </row>
    <row r="120" spans="1:28" s="8" customFormat="1" ht="93" x14ac:dyDescent="0.2">
      <c r="A120" s="89">
        <v>81</v>
      </c>
      <c r="B120" s="90" t="s">
        <v>9</v>
      </c>
      <c r="C120" s="71" t="s">
        <v>91</v>
      </c>
      <c r="D120" s="91" t="s">
        <v>139</v>
      </c>
      <c r="E120" s="312">
        <v>20000000</v>
      </c>
      <c r="F120" s="313"/>
      <c r="G120" s="312">
        <v>876523.08670101757</v>
      </c>
      <c r="H120" s="312">
        <v>1136067</v>
      </c>
      <c r="I120" s="314">
        <v>0.75</v>
      </c>
      <c r="J120" s="345">
        <v>1910.86</v>
      </c>
      <c r="K120" s="344">
        <f t="shared" si="63"/>
        <v>2.1800452594944544E-3</v>
      </c>
      <c r="L120" s="312">
        <v>19610.45</v>
      </c>
      <c r="M120" s="311">
        <f t="shared" si="74"/>
        <v>2.2372998837723864E-2</v>
      </c>
      <c r="N120" s="354">
        <v>17699.59</v>
      </c>
      <c r="O120" s="329"/>
      <c r="P120" s="357">
        <f t="shared" si="60"/>
        <v>-148367.02999999997</v>
      </c>
      <c r="Q120" s="312">
        <v>167977.47999999998</v>
      </c>
      <c r="R120" s="311">
        <f t="shared" si="75"/>
        <v>0.19164067957664324</v>
      </c>
      <c r="S120" s="353">
        <f t="shared" si="61"/>
        <v>-489414.83502576314</v>
      </c>
      <c r="T120" s="353">
        <f t="shared" ref="T120:T158" si="76">IF(IFERROR(Q120-(G120*0.65),"n/a")&gt;0,0,IFERROR(Q120-(G120*0.65),"n/a"))</f>
        <v>-401762.52635566145</v>
      </c>
      <c r="U120" s="10"/>
      <c r="W120" s="288">
        <f t="shared" si="71"/>
        <v>148367.02999999997</v>
      </c>
      <c r="Y120" s="295" t="str">
        <f t="shared" si="70"/>
        <v>OK</v>
      </c>
      <c r="AB120" s="128"/>
    </row>
    <row r="121" spans="1:28" s="8" customFormat="1" ht="46.5" x14ac:dyDescent="0.2">
      <c r="A121" s="89">
        <v>85</v>
      </c>
      <c r="B121" s="90" t="s">
        <v>9</v>
      </c>
      <c r="C121" s="71" t="s">
        <v>92</v>
      </c>
      <c r="D121" s="91" t="s">
        <v>139</v>
      </c>
      <c r="E121" s="312">
        <v>1500000</v>
      </c>
      <c r="F121" s="313"/>
      <c r="G121" s="312">
        <v>1051827.7040412212</v>
      </c>
      <c r="H121" s="312">
        <v>0</v>
      </c>
      <c r="I121" s="314">
        <v>0.75</v>
      </c>
      <c r="J121" s="345">
        <v>690186.17999999993</v>
      </c>
      <c r="K121" s="344">
        <f t="shared" si="63"/>
        <v>0.65617798176283015</v>
      </c>
      <c r="L121" s="312">
        <v>892022.86999999988</v>
      </c>
      <c r="M121" s="311">
        <f t="shared" si="74"/>
        <v>0.8480693811094383</v>
      </c>
      <c r="N121" s="354">
        <v>19042.160000000033</v>
      </c>
      <c r="O121" s="329"/>
      <c r="P121" s="357">
        <f t="shared" si="60"/>
        <v>0</v>
      </c>
      <c r="Q121" s="312">
        <v>892022.86999999988</v>
      </c>
      <c r="R121" s="311">
        <f t="shared" si="75"/>
        <v>0.8480693811094383</v>
      </c>
      <c r="S121" s="353">
        <f t="shared" si="61"/>
        <v>0</v>
      </c>
      <c r="T121" s="353">
        <f t="shared" si="76"/>
        <v>0</v>
      </c>
      <c r="U121" s="10"/>
      <c r="W121" s="288">
        <f t="shared" si="71"/>
        <v>0</v>
      </c>
      <c r="Y121" s="295" t="str">
        <f t="shared" si="70"/>
        <v>OK</v>
      </c>
      <c r="AB121" s="128"/>
    </row>
    <row r="122" spans="1:28" s="8" customFormat="1" ht="46.5" x14ac:dyDescent="0.2">
      <c r="A122" s="89">
        <v>92</v>
      </c>
      <c r="B122" s="90" t="s">
        <v>9</v>
      </c>
      <c r="C122" s="71" t="s">
        <v>93</v>
      </c>
      <c r="D122" s="91" t="s">
        <v>139</v>
      </c>
      <c r="E122" s="312">
        <v>13960884</v>
      </c>
      <c r="F122" s="313"/>
      <c r="G122" s="312">
        <v>5090334</v>
      </c>
      <c r="H122" s="312">
        <v>0</v>
      </c>
      <c r="I122" s="314">
        <v>0.75</v>
      </c>
      <c r="J122" s="345">
        <v>5809274.5100000007</v>
      </c>
      <c r="K122" s="344">
        <f t="shared" si="63"/>
        <v>1.1412364119918261</v>
      </c>
      <c r="L122" s="312">
        <v>6500767.1600000011</v>
      </c>
      <c r="M122" s="311">
        <f t="shared" si="74"/>
        <v>1.2770806709343632</v>
      </c>
      <c r="N122" s="354">
        <v>0</v>
      </c>
      <c r="O122" s="329"/>
      <c r="P122" s="357">
        <f t="shared" ref="P122:P158" si="77">IF(L122-Q122&gt;0,0,L122-Q122)</f>
        <v>-1337469.9999999991</v>
      </c>
      <c r="Q122" s="312">
        <v>7838237.1600000001</v>
      </c>
      <c r="R122" s="311">
        <f t="shared" si="75"/>
        <v>1.5398276733903906</v>
      </c>
      <c r="S122" s="353">
        <f t="shared" ref="S122:S158" si="78">IF(IFERROR(Q122-(G122*I122),"n/a")&gt;0,0,IFERROR(Q122-(G122*I122),"n/a"))</f>
        <v>0</v>
      </c>
      <c r="T122" s="353">
        <f t="shared" si="76"/>
        <v>0</v>
      </c>
      <c r="W122" s="288">
        <f t="shared" si="71"/>
        <v>1337469.9999999991</v>
      </c>
      <c r="Y122" s="295" t="str">
        <f t="shared" si="70"/>
        <v>OK</v>
      </c>
      <c r="AB122" s="128"/>
    </row>
    <row r="123" spans="1:28" s="8" customFormat="1" ht="69.75" x14ac:dyDescent="0.2">
      <c r="A123" s="89">
        <v>82</v>
      </c>
      <c r="B123" s="90" t="s">
        <v>9</v>
      </c>
      <c r="C123" s="71" t="s">
        <v>94</v>
      </c>
      <c r="D123" s="91" t="s">
        <v>139</v>
      </c>
      <c r="E123" s="312">
        <v>4221188</v>
      </c>
      <c r="F123" s="313"/>
      <c r="G123" s="312">
        <v>593149.30843218556</v>
      </c>
      <c r="H123" s="312">
        <v>961286</v>
      </c>
      <c r="I123" s="314">
        <v>0.75</v>
      </c>
      <c r="J123" s="345">
        <v>0</v>
      </c>
      <c r="K123" s="344">
        <f t="shared" si="63"/>
        <v>0</v>
      </c>
      <c r="L123" s="312">
        <v>0</v>
      </c>
      <c r="M123" s="311">
        <f t="shared" si="74"/>
        <v>0</v>
      </c>
      <c r="N123" s="354">
        <v>0</v>
      </c>
      <c r="O123" s="329"/>
      <c r="P123" s="357">
        <f t="shared" si="77"/>
        <v>0</v>
      </c>
      <c r="Q123" s="312">
        <v>0</v>
      </c>
      <c r="R123" s="311">
        <f t="shared" si="75"/>
        <v>0</v>
      </c>
      <c r="S123" s="353">
        <f t="shared" si="78"/>
        <v>-444861.98132413917</v>
      </c>
      <c r="T123" s="353">
        <f t="shared" si="76"/>
        <v>-385547.05048092065</v>
      </c>
      <c r="U123" s="10"/>
      <c r="W123" s="288">
        <f t="shared" si="71"/>
        <v>0</v>
      </c>
      <c r="Y123" s="295" t="str">
        <f t="shared" si="70"/>
        <v>OK</v>
      </c>
      <c r="AB123" s="128"/>
    </row>
    <row r="124" spans="1:28" s="8" customFormat="1" ht="46.5" x14ac:dyDescent="0.2">
      <c r="A124" s="89">
        <v>88</v>
      </c>
      <c r="B124" s="90" t="s">
        <v>9</v>
      </c>
      <c r="C124" s="71" t="s">
        <v>95</v>
      </c>
      <c r="D124" s="91" t="s">
        <v>139</v>
      </c>
      <c r="E124" s="312">
        <v>3287350</v>
      </c>
      <c r="F124" s="313"/>
      <c r="G124" s="312">
        <v>864430.57419689035</v>
      </c>
      <c r="H124" s="313">
        <v>0</v>
      </c>
      <c r="I124" s="314">
        <v>0.75</v>
      </c>
      <c r="J124" s="345">
        <v>1047860.76</v>
      </c>
      <c r="K124" s="344">
        <f t="shared" si="63"/>
        <v>1.21219770711318</v>
      </c>
      <c r="L124" s="312">
        <v>1092528.58</v>
      </c>
      <c r="M124" s="311">
        <f t="shared" si="74"/>
        <v>1.2638708215694787</v>
      </c>
      <c r="N124" s="354">
        <v>0</v>
      </c>
      <c r="O124" s="329"/>
      <c r="P124" s="357">
        <f t="shared" si="77"/>
        <v>-29601.699999999953</v>
      </c>
      <c r="Q124" s="312">
        <v>1122130.28</v>
      </c>
      <c r="R124" s="311">
        <f t="shared" si="75"/>
        <v>1.2981149828516056</v>
      </c>
      <c r="S124" s="353">
        <f t="shared" si="78"/>
        <v>0</v>
      </c>
      <c r="T124" s="353">
        <f t="shared" si="76"/>
        <v>0</v>
      </c>
      <c r="U124" s="10"/>
      <c r="W124" s="288">
        <f t="shared" si="71"/>
        <v>29601.699999999953</v>
      </c>
      <c r="Y124" s="295" t="str">
        <f t="shared" si="70"/>
        <v>OK</v>
      </c>
      <c r="AB124" s="128"/>
    </row>
    <row r="125" spans="1:28" s="8" customFormat="1" ht="46.5" x14ac:dyDescent="0.2">
      <c r="A125" s="89">
        <v>87</v>
      </c>
      <c r="B125" s="90" t="s">
        <v>9</v>
      </c>
      <c r="C125" s="71" t="s">
        <v>96</v>
      </c>
      <c r="D125" s="91" t="s">
        <v>139</v>
      </c>
      <c r="E125" s="312">
        <v>34345390</v>
      </c>
      <c r="F125" s="313"/>
      <c r="G125" s="312">
        <v>3079923.3159576887</v>
      </c>
      <c r="H125" s="312">
        <v>1989172</v>
      </c>
      <c r="I125" s="314">
        <v>0.75</v>
      </c>
      <c r="J125" s="345">
        <v>4264320.62</v>
      </c>
      <c r="K125" s="344">
        <f t="shared" si="63"/>
        <v>1.3845541536393831</v>
      </c>
      <c r="L125" s="312">
        <v>5041815.84</v>
      </c>
      <c r="M125" s="311">
        <f t="shared" si="74"/>
        <v>1.6369939517251484</v>
      </c>
      <c r="N125" s="354">
        <v>0</v>
      </c>
      <c r="O125" s="329"/>
      <c r="P125" s="357">
        <f t="shared" si="77"/>
        <v>-1550000</v>
      </c>
      <c r="Q125" s="312">
        <v>6591815.8399999999</v>
      </c>
      <c r="R125" s="311">
        <f t="shared" si="75"/>
        <v>2.1402532348277976</v>
      </c>
      <c r="S125" s="353">
        <f t="shared" si="78"/>
        <v>0</v>
      </c>
      <c r="T125" s="353">
        <f t="shared" si="76"/>
        <v>0</v>
      </c>
      <c r="U125" s="10"/>
      <c r="W125" s="288">
        <f t="shared" si="71"/>
        <v>1550000</v>
      </c>
      <c r="Y125" s="295" t="str">
        <f t="shared" si="70"/>
        <v>OK</v>
      </c>
      <c r="AB125" s="128"/>
    </row>
    <row r="126" spans="1:28" s="8" customFormat="1" ht="69.75" x14ac:dyDescent="0.2">
      <c r="A126" s="89">
        <v>77</v>
      </c>
      <c r="B126" s="90" t="s">
        <v>9</v>
      </c>
      <c r="C126" s="71" t="s">
        <v>97</v>
      </c>
      <c r="D126" s="91" t="s">
        <v>139</v>
      </c>
      <c r="E126" s="312">
        <v>9000000</v>
      </c>
      <c r="F126" s="313"/>
      <c r="G126" s="312">
        <v>0</v>
      </c>
      <c r="H126" s="312">
        <v>0</v>
      </c>
      <c r="I126" s="314">
        <v>0.75</v>
      </c>
      <c r="J126" s="345">
        <v>2295433.5699999998</v>
      </c>
      <c r="K126" s="344">
        <f t="shared" si="63"/>
        <v>0</v>
      </c>
      <c r="L126" s="312">
        <v>2808924.9499999997</v>
      </c>
      <c r="M126" s="311" t="str">
        <f t="shared" si="74"/>
        <v>n/a</v>
      </c>
      <c r="N126" s="354">
        <v>513491.37999999989</v>
      </c>
      <c r="O126" s="329"/>
      <c r="P126" s="357">
        <f t="shared" si="77"/>
        <v>-207027.56999999983</v>
      </c>
      <c r="Q126" s="312">
        <v>3015952.5199999996</v>
      </c>
      <c r="R126" s="311" t="str">
        <f t="shared" si="75"/>
        <v>n/a</v>
      </c>
      <c r="S126" s="353">
        <f t="shared" si="78"/>
        <v>0</v>
      </c>
      <c r="T126" s="353">
        <f t="shared" si="76"/>
        <v>0</v>
      </c>
      <c r="U126" s="10"/>
      <c r="W126" s="288">
        <f t="shared" si="71"/>
        <v>207027.56999999983</v>
      </c>
      <c r="Y126" s="295" t="str">
        <f t="shared" ref="Y126:Y158" si="79">IF(L126&gt;Q126,"Nav labi","OK")</f>
        <v>OK</v>
      </c>
      <c r="AB126" s="128"/>
    </row>
    <row r="127" spans="1:28" s="8" customFormat="1" ht="69.75" x14ac:dyDescent="0.2">
      <c r="A127" s="89">
        <v>79</v>
      </c>
      <c r="B127" s="90" t="s">
        <v>9</v>
      </c>
      <c r="C127" s="71" t="s">
        <v>98</v>
      </c>
      <c r="D127" s="91" t="s">
        <v>139</v>
      </c>
      <c r="E127" s="312">
        <v>39812376</v>
      </c>
      <c r="F127" s="313"/>
      <c r="G127" s="312">
        <v>5234469.6544539919</v>
      </c>
      <c r="H127" s="312">
        <v>2580099</v>
      </c>
      <c r="I127" s="314">
        <v>0.75</v>
      </c>
      <c r="J127" s="345">
        <v>1476026.17</v>
      </c>
      <c r="K127" s="344">
        <f t="shared" si="63"/>
        <v>0.28198199004631813</v>
      </c>
      <c r="L127" s="312">
        <v>2188894.6399999997</v>
      </c>
      <c r="M127" s="311">
        <f t="shared" si="74"/>
        <v>0.41816932459193396</v>
      </c>
      <c r="N127" s="354">
        <v>0</v>
      </c>
      <c r="O127" s="329"/>
      <c r="P127" s="357">
        <f t="shared" si="77"/>
        <v>-936949.84000000032</v>
      </c>
      <c r="Q127" s="312">
        <v>3125844.48</v>
      </c>
      <c r="R127" s="311">
        <f t="shared" si="75"/>
        <v>0.59716546017994965</v>
      </c>
      <c r="S127" s="353">
        <f t="shared" si="78"/>
        <v>-800007.76084049372</v>
      </c>
      <c r="T127" s="353">
        <f t="shared" si="76"/>
        <v>-276560.7953950949</v>
      </c>
      <c r="U127" s="10"/>
      <c r="W127" s="288">
        <f t="shared" si="71"/>
        <v>936949.84000000032</v>
      </c>
      <c r="Y127" s="295" t="str">
        <f t="shared" si="79"/>
        <v>OK</v>
      </c>
      <c r="AB127" s="128"/>
    </row>
    <row r="128" spans="1:28" s="8" customFormat="1" ht="46.5" x14ac:dyDescent="0.2">
      <c r="A128" s="89">
        <v>83</v>
      </c>
      <c r="B128" s="90" t="s">
        <v>9</v>
      </c>
      <c r="C128" s="71" t="s">
        <v>99</v>
      </c>
      <c r="D128" s="91" t="s">
        <v>139</v>
      </c>
      <c r="E128" s="312">
        <v>23080688</v>
      </c>
      <c r="F128" s="313"/>
      <c r="G128" s="312">
        <v>6069226.416073706</v>
      </c>
      <c r="H128" s="312">
        <v>1219986</v>
      </c>
      <c r="I128" s="314">
        <v>0.75</v>
      </c>
      <c r="J128" s="345">
        <v>4797949.22</v>
      </c>
      <c r="K128" s="344">
        <f t="shared" ref="K128:K158" si="80">IFERROR(J128/G128,0)</f>
        <v>0.79053719388242583</v>
      </c>
      <c r="L128" s="312">
        <v>6596831.7400000002</v>
      </c>
      <c r="M128" s="311">
        <f t="shared" si="74"/>
        <v>1.0869312310591985</v>
      </c>
      <c r="N128" s="354">
        <v>0</v>
      </c>
      <c r="O128" s="329"/>
      <c r="P128" s="357">
        <f t="shared" si="77"/>
        <v>-775212.71999999974</v>
      </c>
      <c r="Q128" s="312">
        <v>7372044.46</v>
      </c>
      <c r="R128" s="311">
        <f t="shared" si="75"/>
        <v>1.2146596542313726</v>
      </c>
      <c r="S128" s="353">
        <f t="shared" si="78"/>
        <v>0</v>
      </c>
      <c r="T128" s="353">
        <f t="shared" si="76"/>
        <v>0</v>
      </c>
      <c r="U128" s="10"/>
      <c r="W128" s="288">
        <f t="shared" si="71"/>
        <v>775212.71999999974</v>
      </c>
      <c r="Y128" s="295" t="str">
        <f t="shared" si="79"/>
        <v>OK</v>
      </c>
      <c r="AB128" s="128"/>
    </row>
    <row r="129" spans="1:28" s="8" customFormat="1" ht="46.5" x14ac:dyDescent="0.2">
      <c r="A129" s="89">
        <v>91</v>
      </c>
      <c r="B129" s="90" t="s">
        <v>9</v>
      </c>
      <c r="C129" s="71" t="s">
        <v>100</v>
      </c>
      <c r="D129" s="91" t="s">
        <v>139</v>
      </c>
      <c r="E129" s="312">
        <v>6250000</v>
      </c>
      <c r="F129" s="313"/>
      <c r="G129" s="312">
        <v>1227132.3213814246</v>
      </c>
      <c r="H129" s="312">
        <v>0</v>
      </c>
      <c r="I129" s="314">
        <v>0.75</v>
      </c>
      <c r="J129" s="345">
        <v>1644626.15</v>
      </c>
      <c r="K129" s="344">
        <f t="shared" si="80"/>
        <v>1.3402190793480107</v>
      </c>
      <c r="L129" s="312">
        <v>1859068.71</v>
      </c>
      <c r="M129" s="311">
        <f t="shared" si="74"/>
        <v>1.5149700465123297</v>
      </c>
      <c r="N129" s="354">
        <v>214473.64000000013</v>
      </c>
      <c r="O129" s="329"/>
      <c r="P129" s="357">
        <f t="shared" si="77"/>
        <v>-83989.429999999935</v>
      </c>
      <c r="Q129" s="312">
        <v>1943058.14</v>
      </c>
      <c r="R129" s="311">
        <f t="shared" si="75"/>
        <v>1.5834137086476814</v>
      </c>
      <c r="S129" s="353">
        <f t="shared" si="78"/>
        <v>0</v>
      </c>
      <c r="T129" s="353">
        <f t="shared" si="76"/>
        <v>0</v>
      </c>
      <c r="U129" s="10"/>
      <c r="W129" s="288">
        <f t="shared" si="71"/>
        <v>83989.429999999935</v>
      </c>
      <c r="Y129" s="295" t="str">
        <f t="shared" si="79"/>
        <v>OK</v>
      </c>
      <c r="AB129" s="128"/>
    </row>
    <row r="130" spans="1:28" s="8" customFormat="1" ht="69.75" x14ac:dyDescent="0.2">
      <c r="A130" s="89">
        <v>89</v>
      </c>
      <c r="B130" s="90" t="s">
        <v>9</v>
      </c>
      <c r="C130" s="71" t="s">
        <v>101</v>
      </c>
      <c r="D130" s="91" t="s">
        <v>139</v>
      </c>
      <c r="E130" s="312">
        <v>4814359</v>
      </c>
      <c r="F130" s="313"/>
      <c r="G130" s="312">
        <v>148312.08888524567</v>
      </c>
      <c r="H130" s="312">
        <v>584973</v>
      </c>
      <c r="I130" s="314">
        <v>0.75</v>
      </c>
      <c r="J130" s="345">
        <v>2633.17</v>
      </c>
      <c r="K130" s="344">
        <f t="shared" si="80"/>
        <v>1.7754250646671001E-2</v>
      </c>
      <c r="L130" s="312">
        <v>26898.550000000003</v>
      </c>
      <c r="M130" s="311">
        <f t="shared" si="74"/>
        <v>0.18136451453267821</v>
      </c>
      <c r="N130" s="354">
        <v>0</v>
      </c>
      <c r="O130" s="329"/>
      <c r="P130" s="357">
        <f t="shared" si="77"/>
        <v>-84426.209999999992</v>
      </c>
      <c r="Q130" s="312">
        <v>111324.76</v>
      </c>
      <c r="R130" s="311">
        <f t="shared" si="75"/>
        <v>0.75061150332887505</v>
      </c>
      <c r="S130" s="353">
        <f t="shared" si="78"/>
        <v>0</v>
      </c>
      <c r="T130" s="353">
        <f t="shared" si="76"/>
        <v>0</v>
      </c>
      <c r="U130" s="10"/>
      <c r="W130" s="288">
        <f t="shared" si="71"/>
        <v>84426.209999999992</v>
      </c>
      <c r="Y130" s="295" t="str">
        <f t="shared" si="79"/>
        <v>OK</v>
      </c>
      <c r="AB130" s="128"/>
    </row>
    <row r="131" spans="1:28" s="8" customFormat="1" ht="46.5" x14ac:dyDescent="0.2">
      <c r="A131" s="89">
        <v>76</v>
      </c>
      <c r="B131" s="90" t="s">
        <v>9</v>
      </c>
      <c r="C131" s="298" t="s">
        <v>102</v>
      </c>
      <c r="D131" s="91" t="s">
        <v>139</v>
      </c>
      <c r="E131" s="312">
        <v>27034565</v>
      </c>
      <c r="F131" s="313"/>
      <c r="G131" s="312">
        <v>2644848</v>
      </c>
      <c r="H131" s="312">
        <v>1428978.6074669461</v>
      </c>
      <c r="I131" s="314">
        <v>0.75</v>
      </c>
      <c r="J131" s="345">
        <v>1191370.2</v>
      </c>
      <c r="K131" s="344">
        <f t="shared" si="80"/>
        <v>0.45044940200722305</v>
      </c>
      <c r="L131" s="312">
        <v>1881789.22</v>
      </c>
      <c r="M131" s="311">
        <f t="shared" si="74"/>
        <v>0.71149238822041949</v>
      </c>
      <c r="N131" s="354">
        <v>0</v>
      </c>
      <c r="O131" s="329"/>
      <c r="P131" s="357">
        <f t="shared" si="77"/>
        <v>-949999.99999999977</v>
      </c>
      <c r="Q131" s="312">
        <v>2831789.2199999997</v>
      </c>
      <c r="R131" s="311">
        <f t="shared" si="75"/>
        <v>1.0706812716647609</v>
      </c>
      <c r="S131" s="353">
        <f t="shared" si="78"/>
        <v>0</v>
      </c>
      <c r="T131" s="353">
        <f t="shared" si="76"/>
        <v>0</v>
      </c>
      <c r="W131" s="288">
        <f t="shared" si="71"/>
        <v>949999.99999999977</v>
      </c>
      <c r="Y131" s="295" t="str">
        <f t="shared" si="79"/>
        <v>OK</v>
      </c>
      <c r="AB131" s="128"/>
    </row>
    <row r="132" spans="1:28" s="8" customFormat="1" ht="69.75" x14ac:dyDescent="0.2">
      <c r="A132" s="89">
        <v>78</v>
      </c>
      <c r="B132" s="90" t="s">
        <v>9</v>
      </c>
      <c r="C132" s="71" t="s">
        <v>103</v>
      </c>
      <c r="D132" s="91" t="s">
        <v>139</v>
      </c>
      <c r="E132" s="312">
        <v>21937153</v>
      </c>
      <c r="F132" s="313"/>
      <c r="G132" s="312">
        <v>3109508</v>
      </c>
      <c r="H132" s="312">
        <v>1159542.3341456992</v>
      </c>
      <c r="I132" s="314">
        <v>0.75</v>
      </c>
      <c r="J132" s="345">
        <v>745053.30000000016</v>
      </c>
      <c r="K132" s="344">
        <f t="shared" si="80"/>
        <v>0.23960488283033848</v>
      </c>
      <c r="L132" s="312">
        <v>1046320</v>
      </c>
      <c r="M132" s="311">
        <f t="shared" si="74"/>
        <v>0.33649053162107961</v>
      </c>
      <c r="N132" s="354">
        <v>60605.559999999939</v>
      </c>
      <c r="O132" s="329"/>
      <c r="P132" s="357">
        <f t="shared" si="77"/>
        <v>-442080.14000000013</v>
      </c>
      <c r="Q132" s="312">
        <v>1488400.1400000001</v>
      </c>
      <c r="R132" s="311">
        <f t="shared" si="75"/>
        <v>0.47866097787817241</v>
      </c>
      <c r="S132" s="353">
        <f t="shared" si="78"/>
        <v>-843730.85999999987</v>
      </c>
      <c r="T132" s="353">
        <f t="shared" si="76"/>
        <v>-532780.05999999982</v>
      </c>
      <c r="W132" s="288">
        <f t="shared" si="71"/>
        <v>442080.14000000013</v>
      </c>
      <c r="Y132" s="295" t="str">
        <f t="shared" si="79"/>
        <v>OK</v>
      </c>
      <c r="AB132" s="128"/>
    </row>
    <row r="133" spans="1:28" s="8" customFormat="1" ht="93" x14ac:dyDescent="0.2">
      <c r="A133" s="89">
        <v>80</v>
      </c>
      <c r="B133" s="90" t="s">
        <v>9</v>
      </c>
      <c r="C133" s="298" t="s">
        <v>104</v>
      </c>
      <c r="D133" s="91" t="s">
        <v>139</v>
      </c>
      <c r="E133" s="312">
        <v>12936510</v>
      </c>
      <c r="F133" s="313"/>
      <c r="G133" s="312">
        <v>5102617.7926139049</v>
      </c>
      <c r="H133" s="312">
        <v>683791.11725384148</v>
      </c>
      <c r="I133" s="314">
        <v>0.75</v>
      </c>
      <c r="J133" s="345">
        <v>2070637.39</v>
      </c>
      <c r="K133" s="344">
        <f t="shared" si="80"/>
        <v>0.40579903770125014</v>
      </c>
      <c r="L133" s="312">
        <v>2758992.1399999997</v>
      </c>
      <c r="M133" s="311">
        <f t="shared" si="74"/>
        <v>0.54070131296011847</v>
      </c>
      <c r="N133" s="354">
        <v>0</v>
      </c>
      <c r="O133" s="329"/>
      <c r="P133" s="357">
        <f t="shared" si="77"/>
        <v>-1057676.5700000003</v>
      </c>
      <c r="Q133" s="312">
        <v>3816668.71</v>
      </c>
      <c r="R133" s="311">
        <f t="shared" si="75"/>
        <v>0.74798247980177346</v>
      </c>
      <c r="S133" s="353">
        <f t="shared" si="78"/>
        <v>-10294.63446042873</v>
      </c>
      <c r="T133" s="353">
        <f t="shared" si="76"/>
        <v>0</v>
      </c>
      <c r="U133" s="10"/>
      <c r="W133" s="288">
        <f t="shared" si="71"/>
        <v>1057676.5700000003</v>
      </c>
      <c r="Y133" s="295" t="str">
        <f t="shared" si="79"/>
        <v>OK</v>
      </c>
      <c r="AB133" s="128"/>
    </row>
    <row r="134" spans="1:28" s="8" customFormat="1" ht="46.5" x14ac:dyDescent="0.2">
      <c r="A134" s="89">
        <v>90</v>
      </c>
      <c r="B134" s="90" t="s">
        <v>9</v>
      </c>
      <c r="C134" s="71" t="s">
        <v>105</v>
      </c>
      <c r="D134" s="91" t="s">
        <v>139</v>
      </c>
      <c r="E134" s="312">
        <v>6490095</v>
      </c>
      <c r="F134" s="313"/>
      <c r="G134" s="312">
        <v>853307.49622665439</v>
      </c>
      <c r="H134" s="312">
        <v>343049.93461007229</v>
      </c>
      <c r="I134" s="314">
        <v>0.75</v>
      </c>
      <c r="J134" s="345">
        <v>1385830.0899999999</v>
      </c>
      <c r="K134" s="344">
        <f t="shared" si="80"/>
        <v>1.6240688100458192</v>
      </c>
      <c r="L134" s="312">
        <v>1646381.1199999999</v>
      </c>
      <c r="M134" s="311">
        <f t="shared" si="74"/>
        <v>1.929411293443847</v>
      </c>
      <c r="N134" s="354">
        <v>0</v>
      </c>
      <c r="O134" s="329"/>
      <c r="P134" s="357">
        <f t="shared" si="77"/>
        <v>-283880.86999999988</v>
      </c>
      <c r="Q134" s="312">
        <v>1930261.9899999998</v>
      </c>
      <c r="R134" s="311">
        <f t="shared" si="75"/>
        <v>2.2620942609032069</v>
      </c>
      <c r="S134" s="353">
        <f t="shared" si="78"/>
        <v>0</v>
      </c>
      <c r="T134" s="353">
        <f t="shared" si="76"/>
        <v>0</v>
      </c>
      <c r="U134" s="10"/>
      <c r="W134" s="288">
        <f t="shared" si="71"/>
        <v>283880.86999999988</v>
      </c>
      <c r="Y134" s="295" t="str">
        <f t="shared" si="79"/>
        <v>OK</v>
      </c>
      <c r="AB134" s="128"/>
    </row>
    <row r="135" spans="1:28" s="8" customFormat="1" ht="28.5" x14ac:dyDescent="0.2">
      <c r="A135" s="414" t="s">
        <v>213</v>
      </c>
      <c r="B135" s="414"/>
      <c r="C135" s="414"/>
      <c r="D135" s="414"/>
      <c r="E135" s="414"/>
      <c r="F135" s="414"/>
      <c r="G135" s="414"/>
      <c r="H135" s="414"/>
      <c r="I135" s="414"/>
      <c r="J135" s="414"/>
      <c r="K135" s="414"/>
      <c r="L135" s="414"/>
      <c r="M135" s="414"/>
      <c r="N135" s="414"/>
      <c r="O135" s="414"/>
      <c r="P135" s="414"/>
      <c r="Q135" s="414"/>
      <c r="R135" s="414"/>
      <c r="S135" s="414"/>
      <c r="T135" s="414"/>
      <c r="W135" s="288">
        <f t="shared" si="71"/>
        <v>0</v>
      </c>
      <c r="Y135" s="295" t="str">
        <f t="shared" si="79"/>
        <v>OK</v>
      </c>
    </row>
    <row r="136" spans="1:28" s="8" customFormat="1" ht="69.75" x14ac:dyDescent="0.2">
      <c r="A136" s="89">
        <v>94</v>
      </c>
      <c r="B136" s="89" t="s">
        <v>6</v>
      </c>
      <c r="C136" s="71" t="s">
        <v>196</v>
      </c>
      <c r="D136" s="91" t="s">
        <v>141</v>
      </c>
      <c r="E136" s="312">
        <v>44441978</v>
      </c>
      <c r="F136" s="313"/>
      <c r="G136" s="312">
        <v>0</v>
      </c>
      <c r="H136" s="312">
        <v>2515517</v>
      </c>
      <c r="I136" s="314">
        <v>0.75</v>
      </c>
      <c r="J136" s="345">
        <v>0</v>
      </c>
      <c r="K136" s="344">
        <f t="shared" si="80"/>
        <v>0</v>
      </c>
      <c r="L136" s="312">
        <v>0</v>
      </c>
      <c r="M136" s="311" t="str">
        <f>IFERROR(L136/G136,"n/a")</f>
        <v>n/a</v>
      </c>
      <c r="N136" s="354">
        <v>0</v>
      </c>
      <c r="O136" s="329"/>
      <c r="P136" s="357">
        <f t="shared" si="77"/>
        <v>0</v>
      </c>
      <c r="Q136" s="312">
        <v>0</v>
      </c>
      <c r="R136" s="311" t="str">
        <f>IFERROR(Q136/G136,"n/a")</f>
        <v>n/a</v>
      </c>
      <c r="S136" s="353">
        <f t="shared" si="78"/>
        <v>0</v>
      </c>
      <c r="T136" s="353">
        <f t="shared" si="76"/>
        <v>0</v>
      </c>
      <c r="W136" s="288">
        <f t="shared" si="71"/>
        <v>0</v>
      </c>
      <c r="Y136" s="295" t="str">
        <f t="shared" si="79"/>
        <v>OK</v>
      </c>
      <c r="AB136" s="128"/>
    </row>
    <row r="137" spans="1:28" s="8" customFormat="1" ht="116.25" x14ac:dyDescent="0.2">
      <c r="A137" s="89">
        <v>95</v>
      </c>
      <c r="B137" s="89" t="s">
        <v>6</v>
      </c>
      <c r="C137" s="71" t="s">
        <v>124</v>
      </c>
      <c r="D137" s="91" t="s">
        <v>141</v>
      </c>
      <c r="E137" s="312">
        <v>4077075</v>
      </c>
      <c r="F137" s="313"/>
      <c r="G137" s="312">
        <v>0</v>
      </c>
      <c r="H137" s="312">
        <v>0</v>
      </c>
      <c r="I137" s="314">
        <v>0.75</v>
      </c>
      <c r="J137" s="345">
        <v>9394.15</v>
      </c>
      <c r="K137" s="344">
        <f t="shared" si="80"/>
        <v>0</v>
      </c>
      <c r="L137" s="312">
        <v>9394.15</v>
      </c>
      <c r="M137" s="311" t="str">
        <f>IFERROR(L137/G137,"n/a")</f>
        <v>n/a</v>
      </c>
      <c r="N137" s="354">
        <v>0</v>
      </c>
      <c r="O137" s="329"/>
      <c r="P137" s="357">
        <f t="shared" si="77"/>
        <v>-1849</v>
      </c>
      <c r="Q137" s="312">
        <v>11243.15</v>
      </c>
      <c r="R137" s="311" t="str">
        <f>IFERROR(Q137/G137,"n/a")</f>
        <v>n/a</v>
      </c>
      <c r="S137" s="353">
        <f t="shared" si="78"/>
        <v>0</v>
      </c>
      <c r="T137" s="353">
        <f t="shared" si="76"/>
        <v>0</v>
      </c>
      <c r="W137" s="288">
        <f t="shared" si="71"/>
        <v>1849</v>
      </c>
      <c r="Y137" s="295" t="str">
        <f t="shared" si="79"/>
        <v>OK</v>
      </c>
      <c r="AB137" s="128"/>
    </row>
    <row r="138" spans="1:28" s="8" customFormat="1" ht="46.5" x14ac:dyDescent="0.2">
      <c r="A138" s="89">
        <v>93</v>
      </c>
      <c r="B138" s="89" t="s">
        <v>6</v>
      </c>
      <c r="C138" s="71" t="s">
        <v>125</v>
      </c>
      <c r="D138" s="91" t="s">
        <v>142</v>
      </c>
      <c r="E138" s="312">
        <v>194364718</v>
      </c>
      <c r="F138" s="313"/>
      <c r="G138" s="312">
        <v>7796118</v>
      </c>
      <c r="H138" s="312">
        <v>9279588</v>
      </c>
      <c r="I138" s="314">
        <v>0.75</v>
      </c>
      <c r="J138" s="345">
        <v>10903437.439999998</v>
      </c>
      <c r="K138" s="344">
        <f t="shared" si="80"/>
        <v>1.3985726537233014</v>
      </c>
      <c r="L138" s="312">
        <v>13483575.26</v>
      </c>
      <c r="M138" s="311">
        <f>IFERROR(L138/G138,"n/a")</f>
        <v>1.7295242657948482</v>
      </c>
      <c r="N138" s="354">
        <v>1262927.5999999996</v>
      </c>
      <c r="O138" s="329"/>
      <c r="P138" s="357">
        <f t="shared" si="77"/>
        <v>-5475126.9999999981</v>
      </c>
      <c r="Q138" s="312">
        <v>18958702.259999998</v>
      </c>
      <c r="R138" s="311">
        <f>IFERROR(Q138/G138,"n/a")</f>
        <v>2.4318131485439287</v>
      </c>
      <c r="S138" s="353">
        <f t="shared" si="78"/>
        <v>0</v>
      </c>
      <c r="T138" s="353">
        <f t="shared" si="76"/>
        <v>0</v>
      </c>
      <c r="W138" s="288">
        <f t="shared" si="71"/>
        <v>5475126.9999999981</v>
      </c>
      <c r="Y138" s="295" t="str">
        <f t="shared" si="79"/>
        <v>OK</v>
      </c>
      <c r="AB138" s="128"/>
    </row>
    <row r="139" spans="1:28" s="8" customFormat="1" ht="28.5" x14ac:dyDescent="0.2">
      <c r="A139" s="414" t="s">
        <v>214</v>
      </c>
      <c r="B139" s="414"/>
      <c r="C139" s="414"/>
      <c r="D139" s="414"/>
      <c r="E139" s="414"/>
      <c r="F139" s="414"/>
      <c r="G139" s="414"/>
      <c r="H139" s="414"/>
      <c r="I139" s="414"/>
      <c r="J139" s="414"/>
      <c r="K139" s="414"/>
      <c r="L139" s="414"/>
      <c r="M139" s="414"/>
      <c r="N139" s="414"/>
      <c r="O139" s="414"/>
      <c r="P139" s="414"/>
      <c r="Q139" s="414"/>
      <c r="R139" s="414"/>
      <c r="S139" s="414"/>
      <c r="T139" s="414"/>
      <c r="W139" s="288">
        <f t="shared" si="71"/>
        <v>0</v>
      </c>
      <c r="Y139" s="295" t="str">
        <f t="shared" si="79"/>
        <v>OK</v>
      </c>
    </row>
    <row r="140" spans="1:28" s="8" customFormat="1" ht="69.75" x14ac:dyDescent="0.2">
      <c r="A140" s="89">
        <v>114</v>
      </c>
      <c r="B140" s="89" t="s">
        <v>6</v>
      </c>
      <c r="C140" s="71" t="s">
        <v>106</v>
      </c>
      <c r="D140" s="91" t="s">
        <v>137</v>
      </c>
      <c r="E140" s="312">
        <v>37218825</v>
      </c>
      <c r="F140" s="313"/>
      <c r="G140" s="312">
        <v>14870313</v>
      </c>
      <c r="H140" s="312">
        <v>1186027</v>
      </c>
      <c r="I140" s="314">
        <v>0.75</v>
      </c>
      <c r="J140" s="345">
        <v>20425824.670000002</v>
      </c>
      <c r="K140" s="344">
        <f t="shared" si="80"/>
        <v>1.3735974938792479</v>
      </c>
      <c r="L140" s="312">
        <v>22820285.689999998</v>
      </c>
      <c r="M140" s="311">
        <f t="shared" ref="M140:M158" si="81">IFERROR(L140/G140,"n/a")</f>
        <v>1.534620400391034</v>
      </c>
      <c r="N140" s="354">
        <v>12390</v>
      </c>
      <c r="O140" s="329"/>
      <c r="P140" s="357">
        <f t="shared" si="77"/>
        <v>0</v>
      </c>
      <c r="Q140" s="312">
        <v>22820285.689999998</v>
      </c>
      <c r="R140" s="311">
        <f t="shared" ref="R140:R158" si="82">IFERROR(Q140/G140,"n/a")</f>
        <v>1.534620400391034</v>
      </c>
      <c r="S140" s="353">
        <f t="shared" si="78"/>
        <v>0</v>
      </c>
      <c r="T140" s="353">
        <f t="shared" si="76"/>
        <v>0</v>
      </c>
      <c r="W140" s="288">
        <f t="shared" si="71"/>
        <v>0</v>
      </c>
      <c r="Y140" s="295" t="str">
        <f t="shared" si="79"/>
        <v>OK</v>
      </c>
      <c r="AB140" s="128"/>
    </row>
    <row r="141" spans="1:28" s="8" customFormat="1" ht="69.75" x14ac:dyDescent="0.2">
      <c r="A141" s="89">
        <v>100</v>
      </c>
      <c r="B141" s="89" t="s">
        <v>6</v>
      </c>
      <c r="C141" s="71" t="s">
        <v>107</v>
      </c>
      <c r="D141" s="91" t="s">
        <v>137</v>
      </c>
      <c r="E141" s="312">
        <v>32030112</v>
      </c>
      <c r="F141" s="313"/>
      <c r="G141" s="312">
        <v>10390587</v>
      </c>
      <c r="H141" s="312">
        <v>0</v>
      </c>
      <c r="I141" s="314">
        <v>0.75</v>
      </c>
      <c r="J141" s="345">
        <v>7866245.1799999997</v>
      </c>
      <c r="K141" s="344">
        <f t="shared" si="80"/>
        <v>0.75705493635730103</v>
      </c>
      <c r="L141" s="312">
        <v>9465522.5300000012</v>
      </c>
      <c r="M141" s="311">
        <f t="shared" si="81"/>
        <v>0.91097091338535552</v>
      </c>
      <c r="N141" s="354">
        <v>20286</v>
      </c>
      <c r="O141" s="329"/>
      <c r="P141" s="357">
        <f t="shared" si="77"/>
        <v>-1730771.9299999997</v>
      </c>
      <c r="Q141" s="312">
        <v>11196294.460000001</v>
      </c>
      <c r="R141" s="311">
        <f t="shared" si="82"/>
        <v>1.0775420541688359</v>
      </c>
      <c r="S141" s="353">
        <f t="shared" si="78"/>
        <v>0</v>
      </c>
      <c r="T141" s="353">
        <f t="shared" si="76"/>
        <v>0</v>
      </c>
      <c r="W141" s="288">
        <f t="shared" si="71"/>
        <v>1730771.9299999997</v>
      </c>
      <c r="Y141" s="295" t="str">
        <f t="shared" si="79"/>
        <v>OK</v>
      </c>
      <c r="AB141" s="128"/>
    </row>
    <row r="142" spans="1:28" s="8" customFormat="1" ht="46.5" x14ac:dyDescent="0.2">
      <c r="A142" s="89">
        <v>97</v>
      </c>
      <c r="B142" s="89" t="s">
        <v>6</v>
      </c>
      <c r="C142" s="71" t="s">
        <v>108</v>
      </c>
      <c r="D142" s="91" t="s">
        <v>137</v>
      </c>
      <c r="E142" s="312">
        <v>19920206</v>
      </c>
      <c r="F142" s="313"/>
      <c r="G142" s="312">
        <v>1114247</v>
      </c>
      <c r="H142" s="312">
        <v>4250000.0000000037</v>
      </c>
      <c r="I142" s="314">
        <v>0.75</v>
      </c>
      <c r="J142" s="345">
        <v>902816.73</v>
      </c>
      <c r="K142" s="344">
        <f t="shared" si="80"/>
        <v>0.81024829324198311</v>
      </c>
      <c r="L142" s="312">
        <v>1513436.67</v>
      </c>
      <c r="M142" s="311">
        <f t="shared" si="81"/>
        <v>1.358259586967701</v>
      </c>
      <c r="N142" s="354">
        <v>1470</v>
      </c>
      <c r="O142" s="329"/>
      <c r="P142" s="357">
        <f t="shared" si="77"/>
        <v>-209127.45999999996</v>
      </c>
      <c r="Q142" s="312">
        <v>1722564.13</v>
      </c>
      <c r="R142" s="311">
        <f t="shared" si="82"/>
        <v>1.5459445975622998</v>
      </c>
      <c r="S142" s="353">
        <f t="shared" si="78"/>
        <v>0</v>
      </c>
      <c r="T142" s="353">
        <f t="shared" si="76"/>
        <v>0</v>
      </c>
      <c r="W142" s="288">
        <f t="shared" si="71"/>
        <v>209127.45999999996</v>
      </c>
      <c r="Y142" s="295" t="str">
        <f t="shared" si="79"/>
        <v>OK</v>
      </c>
      <c r="AB142" s="128"/>
    </row>
    <row r="143" spans="1:28" s="8" customFormat="1" ht="46.5" x14ac:dyDescent="0.2">
      <c r="A143" s="89">
        <v>112</v>
      </c>
      <c r="B143" s="89" t="s">
        <v>6</v>
      </c>
      <c r="C143" s="71" t="s">
        <v>109</v>
      </c>
      <c r="D143" s="91" t="s">
        <v>130</v>
      </c>
      <c r="E143" s="312">
        <v>5175000</v>
      </c>
      <c r="F143" s="313"/>
      <c r="G143" s="312">
        <v>669779</v>
      </c>
      <c r="H143" s="312">
        <v>273537</v>
      </c>
      <c r="I143" s="314">
        <v>0.75</v>
      </c>
      <c r="J143" s="345">
        <v>469223.93999999994</v>
      </c>
      <c r="K143" s="344">
        <f t="shared" si="80"/>
        <v>0.70056532079984579</v>
      </c>
      <c r="L143" s="312">
        <v>741466.83</v>
      </c>
      <c r="M143" s="311">
        <f t="shared" si="81"/>
        <v>1.1070320658008088</v>
      </c>
      <c r="N143" s="354">
        <v>0</v>
      </c>
      <c r="O143" s="329"/>
      <c r="P143" s="357">
        <f t="shared" si="77"/>
        <v>-305717.12</v>
      </c>
      <c r="Q143" s="312">
        <v>1047183.95</v>
      </c>
      <c r="R143" s="311">
        <f t="shared" si="82"/>
        <v>1.5634768334032567</v>
      </c>
      <c r="S143" s="353">
        <f t="shared" si="78"/>
        <v>0</v>
      </c>
      <c r="T143" s="353">
        <f t="shared" si="76"/>
        <v>0</v>
      </c>
      <c r="W143" s="288">
        <f t="shared" si="71"/>
        <v>305717.12</v>
      </c>
      <c r="Y143" s="295" t="str">
        <f t="shared" si="79"/>
        <v>OK</v>
      </c>
      <c r="AB143" s="128"/>
    </row>
    <row r="144" spans="1:28" s="8" customFormat="1" ht="69.75" x14ac:dyDescent="0.2">
      <c r="A144" s="89">
        <v>106</v>
      </c>
      <c r="B144" s="89" t="s">
        <v>6</v>
      </c>
      <c r="C144" s="71" t="s">
        <v>110</v>
      </c>
      <c r="D144" s="91" t="s">
        <v>130</v>
      </c>
      <c r="E144" s="312">
        <v>4232693</v>
      </c>
      <c r="F144" s="313"/>
      <c r="G144" s="312">
        <v>1211759</v>
      </c>
      <c r="H144" s="312">
        <v>223729</v>
      </c>
      <c r="I144" s="314">
        <v>0.75</v>
      </c>
      <c r="J144" s="345">
        <v>728709.36</v>
      </c>
      <c r="K144" s="344">
        <f t="shared" si="80"/>
        <v>0.60136492487367532</v>
      </c>
      <c r="L144" s="312">
        <v>908897.78</v>
      </c>
      <c r="M144" s="311">
        <f t="shared" si="81"/>
        <v>0.75006480661583697</v>
      </c>
      <c r="N144" s="354">
        <v>180188.42000000004</v>
      </c>
      <c r="O144" s="329"/>
      <c r="P144" s="357">
        <f t="shared" si="77"/>
        <v>-225136.20999999996</v>
      </c>
      <c r="Q144" s="312">
        <v>1134033.99</v>
      </c>
      <c r="R144" s="311">
        <f t="shared" si="82"/>
        <v>0.93585769942703123</v>
      </c>
      <c r="S144" s="353">
        <f t="shared" si="78"/>
        <v>0</v>
      </c>
      <c r="T144" s="353">
        <f t="shared" si="76"/>
        <v>0</v>
      </c>
      <c r="W144" s="288">
        <f t="shared" si="71"/>
        <v>225136.20999999996</v>
      </c>
      <c r="Y144" s="295" t="str">
        <f t="shared" si="79"/>
        <v>OK</v>
      </c>
      <c r="AB144" s="128"/>
    </row>
    <row r="145" spans="1:28" s="8" customFormat="1" ht="46.5" x14ac:dyDescent="0.2">
      <c r="A145" s="89">
        <v>110</v>
      </c>
      <c r="B145" s="89" t="s">
        <v>6</v>
      </c>
      <c r="C145" s="71" t="s">
        <v>111</v>
      </c>
      <c r="D145" s="91" t="s">
        <v>137</v>
      </c>
      <c r="E145" s="312">
        <v>1252128</v>
      </c>
      <c r="F145" s="313"/>
      <c r="G145" s="312">
        <v>545837</v>
      </c>
      <c r="H145" s="312">
        <v>0</v>
      </c>
      <c r="I145" s="314">
        <v>0.75</v>
      </c>
      <c r="J145" s="345">
        <v>593136.16</v>
      </c>
      <c r="K145" s="344">
        <f t="shared" si="80"/>
        <v>1.0866543675126459</v>
      </c>
      <c r="L145" s="312">
        <v>720756.74000000011</v>
      </c>
      <c r="M145" s="311">
        <f t="shared" si="81"/>
        <v>1.3204614930831</v>
      </c>
      <c r="N145" s="354">
        <v>2202.9000000000233</v>
      </c>
      <c r="O145" s="329"/>
      <c r="P145" s="357">
        <f t="shared" si="77"/>
        <v>-139085.99999999988</v>
      </c>
      <c r="Q145" s="312">
        <v>859842.74</v>
      </c>
      <c r="R145" s="311">
        <f t="shared" si="82"/>
        <v>1.5752738271681839</v>
      </c>
      <c r="S145" s="353">
        <f t="shared" si="78"/>
        <v>0</v>
      </c>
      <c r="T145" s="353">
        <f t="shared" si="76"/>
        <v>0</v>
      </c>
      <c r="W145" s="288">
        <f t="shared" si="71"/>
        <v>139085.99999999988</v>
      </c>
      <c r="Y145" s="295" t="str">
        <f t="shared" si="79"/>
        <v>OK</v>
      </c>
      <c r="AB145" s="128"/>
    </row>
    <row r="146" spans="1:28" s="8" customFormat="1" ht="116.25" x14ac:dyDescent="0.2">
      <c r="A146" s="89">
        <v>107</v>
      </c>
      <c r="B146" s="89" t="s">
        <v>6</v>
      </c>
      <c r="C146" s="71" t="s">
        <v>112</v>
      </c>
      <c r="D146" s="91" t="s">
        <v>137</v>
      </c>
      <c r="E146" s="312">
        <v>1323271</v>
      </c>
      <c r="F146" s="313"/>
      <c r="G146" s="312">
        <v>156573</v>
      </c>
      <c r="H146" s="312">
        <v>0</v>
      </c>
      <c r="I146" s="314">
        <v>0.75</v>
      </c>
      <c r="J146" s="345">
        <v>131276.74000000002</v>
      </c>
      <c r="K146" s="344">
        <f t="shared" si="80"/>
        <v>0.83843791713769311</v>
      </c>
      <c r="L146" s="312">
        <v>155790.31000000003</v>
      </c>
      <c r="M146" s="311">
        <f t="shared" si="81"/>
        <v>0.99500111768951238</v>
      </c>
      <c r="N146" s="354">
        <v>0</v>
      </c>
      <c r="O146" s="329"/>
      <c r="P146" s="357">
        <f t="shared" si="77"/>
        <v>-154839.00000000003</v>
      </c>
      <c r="Q146" s="312">
        <v>310629.31000000006</v>
      </c>
      <c r="R146" s="311">
        <f t="shared" si="82"/>
        <v>1.9839264113225143</v>
      </c>
      <c r="S146" s="353">
        <f t="shared" si="78"/>
        <v>0</v>
      </c>
      <c r="T146" s="353">
        <f t="shared" si="76"/>
        <v>0</v>
      </c>
      <c r="W146" s="288">
        <f t="shared" si="71"/>
        <v>154839.00000000003</v>
      </c>
      <c r="Y146" s="295" t="str">
        <f t="shared" si="79"/>
        <v>OK</v>
      </c>
      <c r="AB146" s="128"/>
    </row>
    <row r="147" spans="1:28" s="8" customFormat="1" ht="69.75" x14ac:dyDescent="0.2">
      <c r="A147" s="89">
        <v>109</v>
      </c>
      <c r="B147" s="89" t="s">
        <v>6</v>
      </c>
      <c r="C147" s="71" t="s">
        <v>113</v>
      </c>
      <c r="D147" s="91" t="s">
        <v>137</v>
      </c>
      <c r="E147" s="312">
        <v>318055</v>
      </c>
      <c r="F147" s="313"/>
      <c r="G147" s="312">
        <v>95417</v>
      </c>
      <c r="H147" s="312">
        <v>0</v>
      </c>
      <c r="I147" s="314">
        <v>0.75</v>
      </c>
      <c r="J147" s="345">
        <v>133513.73000000001</v>
      </c>
      <c r="K147" s="344">
        <f t="shared" si="80"/>
        <v>1.3992656444868317</v>
      </c>
      <c r="L147" s="312">
        <v>162982.41</v>
      </c>
      <c r="M147" s="311">
        <f t="shared" si="81"/>
        <v>1.7081066267017408</v>
      </c>
      <c r="N147" s="354">
        <v>0</v>
      </c>
      <c r="O147" s="329"/>
      <c r="P147" s="357">
        <f t="shared" si="77"/>
        <v>-45507.25</v>
      </c>
      <c r="Q147" s="312">
        <v>208489.66</v>
      </c>
      <c r="R147" s="311">
        <f t="shared" si="82"/>
        <v>2.1850368382992551</v>
      </c>
      <c r="S147" s="353">
        <f t="shared" si="78"/>
        <v>0</v>
      </c>
      <c r="T147" s="353">
        <f t="shared" si="76"/>
        <v>0</v>
      </c>
      <c r="W147" s="288">
        <f t="shared" si="71"/>
        <v>45507.25</v>
      </c>
      <c r="Y147" s="295" t="str">
        <f t="shared" si="79"/>
        <v>OK</v>
      </c>
      <c r="AB147" s="128"/>
    </row>
    <row r="148" spans="1:28" s="8" customFormat="1" ht="46.5" x14ac:dyDescent="0.2">
      <c r="A148" s="89">
        <v>103</v>
      </c>
      <c r="B148" s="89" t="s">
        <v>6</v>
      </c>
      <c r="C148" s="294" t="s">
        <v>114</v>
      </c>
      <c r="D148" s="91" t="s">
        <v>137</v>
      </c>
      <c r="E148" s="312">
        <v>6813045</v>
      </c>
      <c r="F148" s="313"/>
      <c r="G148" s="312">
        <v>1131332</v>
      </c>
      <c r="H148" s="312">
        <v>0</v>
      </c>
      <c r="I148" s="314">
        <v>0.75</v>
      </c>
      <c r="J148" s="345">
        <v>940376.31000000017</v>
      </c>
      <c r="K148" s="344">
        <f t="shared" si="80"/>
        <v>0.83121162488111378</v>
      </c>
      <c r="L148" s="312">
        <v>1143657.4100000001</v>
      </c>
      <c r="M148" s="311">
        <f t="shared" si="81"/>
        <v>1.0108946003472015</v>
      </c>
      <c r="N148" s="354">
        <v>0</v>
      </c>
      <c r="O148" s="329"/>
      <c r="P148" s="357">
        <f t="shared" si="77"/>
        <v>0</v>
      </c>
      <c r="Q148" s="312">
        <v>1143657.4100000001</v>
      </c>
      <c r="R148" s="311">
        <f t="shared" si="82"/>
        <v>1.0108946003472015</v>
      </c>
      <c r="S148" s="353">
        <f t="shared" si="78"/>
        <v>0</v>
      </c>
      <c r="T148" s="353">
        <f t="shared" si="76"/>
        <v>0</v>
      </c>
      <c r="W148" s="288">
        <f t="shared" si="71"/>
        <v>0</v>
      </c>
      <c r="Y148" s="295" t="str">
        <f t="shared" si="79"/>
        <v>OK</v>
      </c>
      <c r="AB148" s="128"/>
    </row>
    <row r="149" spans="1:28" s="8" customFormat="1" ht="46.5" x14ac:dyDescent="0.2">
      <c r="A149" s="89">
        <v>104</v>
      </c>
      <c r="B149" s="89" t="s">
        <v>6</v>
      </c>
      <c r="C149" s="71" t="s">
        <v>115</v>
      </c>
      <c r="D149" s="91" t="s">
        <v>137</v>
      </c>
      <c r="E149" s="312">
        <v>8526615</v>
      </c>
      <c r="F149" s="313"/>
      <c r="G149" s="312">
        <v>1181353</v>
      </c>
      <c r="H149" s="312">
        <v>0</v>
      </c>
      <c r="I149" s="314">
        <v>0.75</v>
      </c>
      <c r="J149" s="345">
        <v>1088778.6399999999</v>
      </c>
      <c r="K149" s="344">
        <f t="shared" si="80"/>
        <v>0.92163700435009677</v>
      </c>
      <c r="L149" s="312">
        <v>1280297.96</v>
      </c>
      <c r="M149" s="311">
        <f t="shared" si="81"/>
        <v>1.0837556259644661</v>
      </c>
      <c r="N149" s="354">
        <v>191519.32000000007</v>
      </c>
      <c r="O149" s="329"/>
      <c r="P149" s="357">
        <f t="shared" si="77"/>
        <v>-21159.790000000037</v>
      </c>
      <c r="Q149" s="312">
        <v>1301457.75</v>
      </c>
      <c r="R149" s="311">
        <f t="shared" si="82"/>
        <v>1.1016671138939842</v>
      </c>
      <c r="S149" s="353">
        <f t="shared" si="78"/>
        <v>0</v>
      </c>
      <c r="T149" s="353">
        <f t="shared" si="76"/>
        <v>0</v>
      </c>
      <c r="W149" s="288">
        <f t="shared" si="71"/>
        <v>21159.790000000037</v>
      </c>
      <c r="Y149" s="295" t="str">
        <f t="shared" si="79"/>
        <v>OK</v>
      </c>
      <c r="AB149" s="128"/>
    </row>
    <row r="150" spans="1:28" s="8" customFormat="1" ht="46.5" x14ac:dyDescent="0.2">
      <c r="A150" s="89">
        <v>111</v>
      </c>
      <c r="B150" s="89" t="s">
        <v>6</v>
      </c>
      <c r="C150" s="71" t="s">
        <v>116</v>
      </c>
      <c r="D150" s="91" t="s">
        <v>137</v>
      </c>
      <c r="E150" s="312">
        <v>1079960</v>
      </c>
      <c r="F150" s="313"/>
      <c r="G150" s="312">
        <v>269990</v>
      </c>
      <c r="H150" s="312">
        <v>0</v>
      </c>
      <c r="I150" s="314">
        <v>0.75</v>
      </c>
      <c r="J150" s="345">
        <v>431543.79000000004</v>
      </c>
      <c r="K150" s="344">
        <f t="shared" si="80"/>
        <v>1.5983695322048965</v>
      </c>
      <c r="L150" s="312">
        <v>445277.86000000004</v>
      </c>
      <c r="M150" s="311">
        <f t="shared" si="81"/>
        <v>1.649238342160821</v>
      </c>
      <c r="N150" s="354">
        <v>13734.070000000007</v>
      </c>
      <c r="O150" s="329"/>
      <c r="P150" s="357">
        <f t="shared" si="77"/>
        <v>0</v>
      </c>
      <c r="Q150" s="312">
        <v>445277.86000000004</v>
      </c>
      <c r="R150" s="311">
        <f t="shared" si="82"/>
        <v>1.649238342160821</v>
      </c>
      <c r="S150" s="353">
        <f t="shared" si="78"/>
        <v>0</v>
      </c>
      <c r="T150" s="353">
        <f t="shared" si="76"/>
        <v>0</v>
      </c>
      <c r="W150" s="288">
        <f t="shared" si="71"/>
        <v>0</v>
      </c>
      <c r="Y150" s="295" t="str">
        <f t="shared" si="79"/>
        <v>OK</v>
      </c>
      <c r="AB150" s="128"/>
    </row>
    <row r="151" spans="1:28" s="8" customFormat="1" ht="93" x14ac:dyDescent="0.2">
      <c r="A151" s="89">
        <v>113</v>
      </c>
      <c r="B151" s="89" t="s">
        <v>6</v>
      </c>
      <c r="C151" s="71" t="s">
        <v>117</v>
      </c>
      <c r="D151" s="91" t="s">
        <v>137</v>
      </c>
      <c r="E151" s="312">
        <v>2347738</v>
      </c>
      <c r="F151" s="313"/>
      <c r="G151" s="312">
        <v>586934</v>
      </c>
      <c r="H151" s="312">
        <v>0</v>
      </c>
      <c r="I151" s="314">
        <v>0.75</v>
      </c>
      <c r="J151" s="345">
        <v>985346.58999999985</v>
      </c>
      <c r="K151" s="344">
        <f t="shared" si="80"/>
        <v>1.6788030511096645</v>
      </c>
      <c r="L151" s="312">
        <v>1101801.42</v>
      </c>
      <c r="M151" s="311">
        <f t="shared" si="81"/>
        <v>1.8772151894420837</v>
      </c>
      <c r="N151" s="354">
        <v>0</v>
      </c>
      <c r="O151" s="329"/>
      <c r="P151" s="357">
        <f t="shared" si="77"/>
        <v>0</v>
      </c>
      <c r="Q151" s="312">
        <v>1101801.42</v>
      </c>
      <c r="R151" s="311">
        <f t="shared" si="82"/>
        <v>1.8772151894420837</v>
      </c>
      <c r="S151" s="353">
        <f t="shared" si="78"/>
        <v>0</v>
      </c>
      <c r="T151" s="353">
        <f t="shared" si="76"/>
        <v>0</v>
      </c>
      <c r="W151" s="288">
        <f t="shared" si="71"/>
        <v>0</v>
      </c>
      <c r="Y151" s="295" t="str">
        <f t="shared" si="79"/>
        <v>OK</v>
      </c>
      <c r="AB151" s="128"/>
    </row>
    <row r="152" spans="1:28" s="11" customFormat="1" ht="46.5" x14ac:dyDescent="0.2">
      <c r="A152" s="89">
        <v>96</v>
      </c>
      <c r="B152" s="89" t="s">
        <v>6</v>
      </c>
      <c r="C152" s="71" t="s">
        <v>197</v>
      </c>
      <c r="D152" s="91" t="s">
        <v>137</v>
      </c>
      <c r="E152" s="312">
        <v>47209260</v>
      </c>
      <c r="F152" s="313"/>
      <c r="G152" s="312">
        <v>4031880</v>
      </c>
      <c r="H152" s="312">
        <v>3167387</v>
      </c>
      <c r="I152" s="314">
        <v>0.75</v>
      </c>
      <c r="J152" s="345">
        <v>3374785.0900000003</v>
      </c>
      <c r="K152" s="344">
        <f t="shared" si="80"/>
        <v>0.83702518180104579</v>
      </c>
      <c r="L152" s="312">
        <v>3793908.3300000005</v>
      </c>
      <c r="M152" s="311">
        <f t="shared" si="81"/>
        <v>0.94097749188963975</v>
      </c>
      <c r="N152" s="354">
        <v>0</v>
      </c>
      <c r="O152" s="329"/>
      <c r="P152" s="357">
        <f t="shared" si="77"/>
        <v>-480323.89000000013</v>
      </c>
      <c r="Q152" s="312">
        <v>4274232.2200000007</v>
      </c>
      <c r="R152" s="311">
        <f t="shared" si="82"/>
        <v>1.0601089863785631</v>
      </c>
      <c r="S152" s="353">
        <f t="shared" si="78"/>
        <v>0</v>
      </c>
      <c r="T152" s="353">
        <f t="shared" si="76"/>
        <v>0</v>
      </c>
      <c r="W152" s="288">
        <f t="shared" si="71"/>
        <v>480323.89000000013</v>
      </c>
      <c r="X152" s="8"/>
      <c r="Y152" s="295" t="str">
        <f t="shared" si="79"/>
        <v>OK</v>
      </c>
      <c r="AB152" s="128"/>
    </row>
    <row r="153" spans="1:28" s="11" customFormat="1" ht="69.75" x14ac:dyDescent="0.2">
      <c r="A153" s="89">
        <v>108</v>
      </c>
      <c r="B153" s="89" t="s">
        <v>6</v>
      </c>
      <c r="C153" s="71" t="s">
        <v>118</v>
      </c>
      <c r="D153" s="91" t="s">
        <v>137</v>
      </c>
      <c r="E153" s="312">
        <v>4727073</v>
      </c>
      <c r="F153" s="313"/>
      <c r="G153" s="312">
        <v>350658</v>
      </c>
      <c r="H153" s="312">
        <v>0</v>
      </c>
      <c r="I153" s="314">
        <v>0.75</v>
      </c>
      <c r="J153" s="345">
        <v>645813.26</v>
      </c>
      <c r="K153" s="344">
        <f t="shared" si="80"/>
        <v>1.8417183124297749</v>
      </c>
      <c r="L153" s="312">
        <v>870550.84</v>
      </c>
      <c r="M153" s="311">
        <f t="shared" si="81"/>
        <v>2.4826207872057675</v>
      </c>
      <c r="N153" s="354">
        <v>840</v>
      </c>
      <c r="O153" s="329"/>
      <c r="P153" s="357">
        <f t="shared" si="77"/>
        <v>-241899.99999999988</v>
      </c>
      <c r="Q153" s="312">
        <v>1112450.8399999999</v>
      </c>
      <c r="R153" s="311">
        <f t="shared" si="82"/>
        <v>3.1724667339687098</v>
      </c>
      <c r="S153" s="353">
        <f t="shared" si="78"/>
        <v>0</v>
      </c>
      <c r="T153" s="353">
        <f t="shared" si="76"/>
        <v>0</v>
      </c>
      <c r="W153" s="288">
        <f t="shared" si="71"/>
        <v>241899.99999999988</v>
      </c>
      <c r="X153" s="8"/>
      <c r="Y153" s="295" t="str">
        <f t="shared" si="79"/>
        <v>OK</v>
      </c>
      <c r="AB153" s="128"/>
    </row>
    <row r="154" spans="1:28" s="8" customFormat="1" ht="69.75" x14ac:dyDescent="0.2">
      <c r="A154" s="89">
        <v>102</v>
      </c>
      <c r="B154" s="89" t="s">
        <v>6</v>
      </c>
      <c r="C154" s="71" t="s">
        <v>119</v>
      </c>
      <c r="D154" s="91" t="s">
        <v>140</v>
      </c>
      <c r="E154" s="312">
        <v>4609777</v>
      </c>
      <c r="F154" s="313"/>
      <c r="G154" s="312">
        <v>2250000</v>
      </c>
      <c r="H154" s="312">
        <v>0</v>
      </c>
      <c r="I154" s="314">
        <v>0.75</v>
      </c>
      <c r="J154" s="345">
        <v>1795010.3800000001</v>
      </c>
      <c r="K154" s="344">
        <f t="shared" si="80"/>
        <v>0.79778239111111116</v>
      </c>
      <c r="L154" s="312">
        <v>1802093.09</v>
      </c>
      <c r="M154" s="311">
        <f t="shared" si="81"/>
        <v>0.8009302622222223</v>
      </c>
      <c r="N154" s="354">
        <v>0</v>
      </c>
      <c r="O154" s="329"/>
      <c r="P154" s="357">
        <f t="shared" si="77"/>
        <v>-489462.24</v>
      </c>
      <c r="Q154" s="312">
        <v>2291555.33</v>
      </c>
      <c r="R154" s="311">
        <f t="shared" si="82"/>
        <v>1.0184690355555557</v>
      </c>
      <c r="S154" s="353">
        <f t="shared" si="78"/>
        <v>0</v>
      </c>
      <c r="T154" s="353">
        <f t="shared" si="76"/>
        <v>0</v>
      </c>
      <c r="W154" s="288">
        <f t="shared" si="71"/>
        <v>489462.24</v>
      </c>
      <c r="Y154" s="295" t="str">
        <f t="shared" si="79"/>
        <v>OK</v>
      </c>
      <c r="AB154" s="128"/>
    </row>
    <row r="155" spans="1:28" s="8" customFormat="1" ht="69.75" x14ac:dyDescent="0.2">
      <c r="A155" s="89">
        <v>101</v>
      </c>
      <c r="B155" s="89" t="s">
        <v>6</v>
      </c>
      <c r="C155" s="71" t="s">
        <v>120</v>
      </c>
      <c r="D155" s="91" t="s">
        <v>140</v>
      </c>
      <c r="E155" s="312">
        <v>16692798</v>
      </c>
      <c r="F155" s="313"/>
      <c r="G155" s="312">
        <v>1128055</v>
      </c>
      <c r="H155" s="312">
        <v>0</v>
      </c>
      <c r="I155" s="314">
        <v>0.75</v>
      </c>
      <c r="J155" s="345">
        <v>539779.44999999995</v>
      </c>
      <c r="K155" s="344">
        <f t="shared" si="80"/>
        <v>0.47850454986680607</v>
      </c>
      <c r="L155" s="312">
        <v>777952.51</v>
      </c>
      <c r="M155" s="311">
        <f t="shared" si="81"/>
        <v>0.68964058490055891</v>
      </c>
      <c r="N155" s="354">
        <v>0</v>
      </c>
      <c r="O155" s="329"/>
      <c r="P155" s="357">
        <f t="shared" si="77"/>
        <v>-379566.11999999988</v>
      </c>
      <c r="Q155" s="312">
        <v>1157518.6299999999</v>
      </c>
      <c r="R155" s="311">
        <f t="shared" si="82"/>
        <v>1.0261189658305667</v>
      </c>
      <c r="S155" s="353">
        <f t="shared" si="78"/>
        <v>0</v>
      </c>
      <c r="T155" s="353">
        <f t="shared" si="76"/>
        <v>0</v>
      </c>
      <c r="W155" s="288">
        <f t="shared" si="71"/>
        <v>379566.11999999988</v>
      </c>
      <c r="Y155" s="295" t="str">
        <f t="shared" si="79"/>
        <v>OK</v>
      </c>
      <c r="AB155" s="128"/>
    </row>
    <row r="156" spans="1:28" s="8" customFormat="1" ht="69.75" x14ac:dyDescent="0.2">
      <c r="A156" s="89">
        <v>99</v>
      </c>
      <c r="B156" s="89" t="s">
        <v>6</v>
      </c>
      <c r="C156" s="71" t="s">
        <v>121</v>
      </c>
      <c r="D156" s="91" t="s">
        <v>140</v>
      </c>
      <c r="E156" s="312">
        <v>38692398</v>
      </c>
      <c r="F156" s="313"/>
      <c r="G156" s="312">
        <v>6926217</v>
      </c>
      <c r="H156" s="312">
        <v>4900999</v>
      </c>
      <c r="I156" s="314">
        <v>0.75</v>
      </c>
      <c r="J156" s="345">
        <v>4708063.450000003</v>
      </c>
      <c r="K156" s="344">
        <f t="shared" si="80"/>
        <v>0.6797452996347072</v>
      </c>
      <c r="L156" s="312">
        <v>6696984.4700000053</v>
      </c>
      <c r="M156" s="311">
        <f t="shared" si="81"/>
        <v>0.96690364595853773</v>
      </c>
      <c r="N156" s="354">
        <v>473467.36000000406</v>
      </c>
      <c r="O156" s="329"/>
      <c r="P156" s="357">
        <f t="shared" si="77"/>
        <v>-2354836.5599999996</v>
      </c>
      <c r="Q156" s="312">
        <v>9051821.0300000049</v>
      </c>
      <c r="R156" s="311">
        <f t="shared" si="82"/>
        <v>1.3068924970153266</v>
      </c>
      <c r="S156" s="353">
        <f t="shared" si="78"/>
        <v>0</v>
      </c>
      <c r="T156" s="353">
        <f t="shared" si="76"/>
        <v>0</v>
      </c>
      <c r="W156" s="288">
        <f t="shared" si="71"/>
        <v>2354836.5599999996</v>
      </c>
      <c r="Y156" s="295" t="str">
        <f t="shared" si="79"/>
        <v>OK</v>
      </c>
      <c r="AB156" s="128"/>
    </row>
    <row r="157" spans="1:28" s="8" customFormat="1" ht="69.75" x14ac:dyDescent="0.2">
      <c r="A157" s="89">
        <v>105</v>
      </c>
      <c r="B157" s="89" t="s">
        <v>6</v>
      </c>
      <c r="C157" s="71" t="s">
        <v>122</v>
      </c>
      <c r="D157" s="91" t="s">
        <v>140</v>
      </c>
      <c r="E157" s="312">
        <v>9960103</v>
      </c>
      <c r="F157" s="313"/>
      <c r="G157" s="312">
        <v>643099</v>
      </c>
      <c r="H157" s="312">
        <v>0</v>
      </c>
      <c r="I157" s="314">
        <v>0.75</v>
      </c>
      <c r="J157" s="345">
        <v>56915.08</v>
      </c>
      <c r="K157" s="344">
        <f t="shared" si="80"/>
        <v>8.8501272743387885E-2</v>
      </c>
      <c r="L157" s="312">
        <v>548205.36</v>
      </c>
      <c r="M157" s="311">
        <f t="shared" si="81"/>
        <v>0.85244318526385521</v>
      </c>
      <c r="N157" s="354">
        <v>0</v>
      </c>
      <c r="O157" s="329"/>
      <c r="P157" s="357">
        <f t="shared" si="77"/>
        <v>-636000.00000000012</v>
      </c>
      <c r="Q157" s="312">
        <v>1184205.3600000001</v>
      </c>
      <c r="R157" s="311">
        <f t="shared" si="82"/>
        <v>1.8414044493927064</v>
      </c>
      <c r="S157" s="353">
        <f t="shared" si="78"/>
        <v>0</v>
      </c>
      <c r="T157" s="353">
        <f t="shared" si="76"/>
        <v>0</v>
      </c>
      <c r="W157" s="288">
        <f t="shared" si="71"/>
        <v>636000.00000000012</v>
      </c>
      <c r="Y157" s="295" t="str">
        <f t="shared" si="79"/>
        <v>OK</v>
      </c>
      <c r="AB157" s="128"/>
    </row>
    <row r="158" spans="1:28" s="8" customFormat="1" ht="46.5" x14ac:dyDescent="0.2">
      <c r="A158" s="89">
        <v>98</v>
      </c>
      <c r="B158" s="89" t="s">
        <v>6</v>
      </c>
      <c r="C158" s="71" t="s">
        <v>123</v>
      </c>
      <c r="D158" s="91" t="s">
        <v>140</v>
      </c>
      <c r="E158" s="312">
        <v>22765950</v>
      </c>
      <c r="F158" s="313"/>
      <c r="G158" s="312">
        <v>361337</v>
      </c>
      <c r="H158" s="312">
        <v>0</v>
      </c>
      <c r="I158" s="314">
        <v>0.75</v>
      </c>
      <c r="J158" s="345">
        <v>144676.38</v>
      </c>
      <c r="K158" s="344">
        <f t="shared" si="80"/>
        <v>0.40039182259220618</v>
      </c>
      <c r="L158" s="312">
        <v>392135.37</v>
      </c>
      <c r="M158" s="311">
        <f t="shared" si="81"/>
        <v>1.0852344764029147</v>
      </c>
      <c r="N158" s="354">
        <v>247458.99</v>
      </c>
      <c r="O158" s="329"/>
      <c r="P158" s="357">
        <f t="shared" si="77"/>
        <v>-278387.29000000004</v>
      </c>
      <c r="Q158" s="312">
        <v>670522.66</v>
      </c>
      <c r="R158" s="311">
        <f t="shared" si="82"/>
        <v>1.8556711878384999</v>
      </c>
      <c r="S158" s="353">
        <f t="shared" si="78"/>
        <v>0</v>
      </c>
      <c r="T158" s="353">
        <f t="shared" si="76"/>
        <v>0</v>
      </c>
      <c r="W158" s="288">
        <f t="shared" si="71"/>
        <v>278387.29000000004</v>
      </c>
      <c r="Y158" s="295" t="str">
        <f t="shared" si="79"/>
        <v>OK</v>
      </c>
      <c r="AB158" s="128"/>
    </row>
    <row r="159" spans="1:28" s="8" customFormat="1" ht="24.75" customHeight="1" x14ac:dyDescent="0.2">
      <c r="A159" s="21"/>
      <c r="B159" s="21"/>
      <c r="C159" s="22"/>
      <c r="D159" s="23"/>
      <c r="E159" s="19"/>
      <c r="F159" s="19"/>
      <c r="G159" s="19"/>
      <c r="H159" s="19"/>
      <c r="I159" s="19"/>
      <c r="J159" s="19"/>
      <c r="K159" s="19"/>
      <c r="L159" s="19"/>
      <c r="M159" s="19"/>
      <c r="N159" s="19"/>
      <c r="O159" s="19"/>
      <c r="P159" s="19"/>
      <c r="Q159" s="24"/>
      <c r="R159" s="24"/>
      <c r="S159" s="24"/>
      <c r="T159" s="24"/>
    </row>
    <row r="160" spans="1:28" s="8" customFormat="1" ht="44.25" customHeight="1" x14ac:dyDescent="0.2">
      <c r="A160" s="408" t="s">
        <v>15</v>
      </c>
      <c r="B160" s="408"/>
      <c r="C160" s="408"/>
      <c r="D160" s="408"/>
      <c r="E160" s="408"/>
      <c r="F160" s="408"/>
      <c r="G160" s="408"/>
      <c r="H160" s="408"/>
      <c r="I160" s="408"/>
      <c r="J160" s="408"/>
      <c r="K160" s="408"/>
      <c r="L160" s="408"/>
      <c r="M160" s="408"/>
      <c r="N160" s="408"/>
      <c r="O160" s="408"/>
      <c r="P160" s="408"/>
      <c r="Q160" s="408"/>
      <c r="R160" s="408"/>
      <c r="S160" s="408"/>
      <c r="T160" s="408"/>
    </row>
    <row r="161" spans="1:29" s="8" customFormat="1" ht="33" customHeight="1" x14ac:dyDescent="0.2">
      <c r="A161" s="16" t="s">
        <v>16</v>
      </c>
      <c r="C161" s="407" t="s">
        <v>366</v>
      </c>
      <c r="D161" s="407"/>
      <c r="E161" s="407"/>
      <c r="F161" s="407"/>
      <c r="G161" s="407"/>
      <c r="H161" s="407"/>
      <c r="I161" s="407"/>
      <c r="J161" s="407"/>
      <c r="K161" s="407"/>
      <c r="L161" s="407"/>
      <c r="M161" s="407"/>
      <c r="N161" s="407"/>
      <c r="O161" s="407"/>
      <c r="P161" s="407"/>
      <c r="Q161" s="407"/>
      <c r="R161" s="407"/>
      <c r="S161" s="407"/>
      <c r="T161" s="407"/>
    </row>
    <row r="162" spans="1:29" s="8" customFormat="1" ht="32.25" customHeight="1" x14ac:dyDescent="0.2">
      <c r="A162" s="16"/>
      <c r="D162" s="11"/>
    </row>
    <row r="163" spans="1:29" s="8" customFormat="1" ht="15.75" x14ac:dyDescent="0.2">
      <c r="A163" s="16"/>
      <c r="B163" s="16"/>
      <c r="D163" s="11"/>
    </row>
    <row r="164" spans="1:29" s="8" customFormat="1" ht="40.5" customHeight="1" x14ac:dyDescent="0.45">
      <c r="D164" s="11"/>
      <c r="E164" s="348" t="s">
        <v>352</v>
      </c>
      <c r="F164" s="349"/>
      <c r="G164" s="349"/>
      <c r="H164" s="349"/>
      <c r="I164" s="349"/>
      <c r="J164" s="347"/>
      <c r="K164" s="350"/>
      <c r="L164" s="350"/>
      <c r="M164" s="350"/>
      <c r="N164" s="350"/>
      <c r="O164" s="348" t="s">
        <v>353</v>
      </c>
      <c r="P164" s="350"/>
      <c r="Q164" s="350"/>
      <c r="R164" s="350"/>
      <c r="S164" s="350"/>
      <c r="T164" s="350"/>
      <c r="U164" s="350"/>
      <c r="V164" s="350"/>
      <c r="W164" s="350"/>
      <c r="X164" s="350"/>
      <c r="Y164" s="350"/>
      <c r="Z164" s="350"/>
      <c r="AA164" s="350"/>
      <c r="AC164" s="350"/>
    </row>
    <row r="165" spans="1:29" s="8" customFormat="1" x14ac:dyDescent="0.2">
      <c r="D165" s="11"/>
    </row>
    <row r="166" spans="1:29" s="8" customFormat="1" x14ac:dyDescent="0.2">
      <c r="D166" s="11"/>
    </row>
    <row r="167" spans="1:29" s="8" customFormat="1" ht="20.25" x14ac:dyDescent="0.3">
      <c r="B167" s="37"/>
      <c r="C167" s="346" t="s">
        <v>350</v>
      </c>
      <c r="D167" s="11"/>
    </row>
    <row r="168" spans="1:29" s="8" customFormat="1" ht="20.25" x14ac:dyDescent="0.3">
      <c r="A168" s="17"/>
      <c r="B168" s="17"/>
      <c r="C168" s="351" t="s">
        <v>351</v>
      </c>
      <c r="D168" s="11"/>
    </row>
    <row r="169" spans="1:29" s="8" customFormat="1" ht="16.5" x14ac:dyDescent="0.25">
      <c r="A169" s="18"/>
      <c r="B169" s="18"/>
      <c r="C169" s="37"/>
      <c r="D169" s="11"/>
    </row>
    <row r="170" spans="1:29" s="8" customFormat="1" x14ac:dyDescent="0.2">
      <c r="D170" s="11"/>
    </row>
    <row r="171" spans="1:29" s="8" customFormat="1" x14ac:dyDescent="0.2">
      <c r="D171" s="11"/>
    </row>
    <row r="172" spans="1:29" s="8" customFormat="1" x14ac:dyDescent="0.2">
      <c r="D172" s="11"/>
    </row>
    <row r="173" spans="1:29" s="8" customFormat="1" x14ac:dyDescent="0.2">
      <c r="D173" s="11"/>
    </row>
    <row r="174" spans="1:29" s="8" customFormat="1" x14ac:dyDescent="0.2"/>
    <row r="175" spans="1:29" s="8" customFormat="1" x14ac:dyDescent="0.2"/>
    <row r="176" spans="1:29" s="8" customFormat="1" x14ac:dyDescent="0.2"/>
    <row r="177" spans="4:20" s="8" customFormat="1" x14ac:dyDescent="0.2"/>
    <row r="178" spans="4:20" s="12" customFormat="1" ht="18.75" x14ac:dyDescent="0.3">
      <c r="D178" s="8"/>
    </row>
    <row r="179" spans="4:20" s="12" customFormat="1" ht="18.75" x14ac:dyDescent="0.3">
      <c r="D179" s="8"/>
      <c r="F179" s="14"/>
      <c r="G179" s="14"/>
      <c r="H179" s="14"/>
      <c r="I179" s="14"/>
      <c r="J179" s="14"/>
      <c r="K179" s="14"/>
      <c r="L179" s="14"/>
      <c r="M179" s="14"/>
      <c r="N179" s="14"/>
      <c r="O179" s="14"/>
      <c r="P179" s="14"/>
      <c r="Q179" s="14"/>
      <c r="R179" s="14"/>
      <c r="S179" s="14"/>
      <c r="T179" s="14"/>
    </row>
    <row r="180" spans="4:20" s="12" customFormat="1" ht="18.75" x14ac:dyDescent="0.3">
      <c r="D180" s="8"/>
      <c r="F180" s="13"/>
      <c r="G180" s="13"/>
      <c r="H180" s="13"/>
      <c r="I180" s="13"/>
      <c r="J180" s="13"/>
      <c r="K180" s="13"/>
      <c r="L180" s="13"/>
      <c r="M180" s="13"/>
      <c r="N180" s="13"/>
      <c r="O180" s="13"/>
      <c r="P180" s="13"/>
      <c r="Q180" s="13"/>
      <c r="R180" s="13"/>
      <c r="S180" s="13"/>
      <c r="T180" s="13"/>
    </row>
    <row r="181" spans="4:20" s="12" customFormat="1" ht="18.75" x14ac:dyDescent="0.3">
      <c r="D181" s="8"/>
      <c r="F181" s="15"/>
      <c r="G181" s="15"/>
      <c r="H181" s="15"/>
      <c r="I181" s="15"/>
      <c r="J181" s="15"/>
      <c r="K181" s="15"/>
      <c r="L181" s="15"/>
      <c r="M181" s="15"/>
      <c r="N181" s="15"/>
      <c r="O181" s="15"/>
      <c r="P181" s="15"/>
      <c r="Q181" s="15"/>
      <c r="R181" s="15"/>
      <c r="S181" s="15"/>
      <c r="T181" s="15"/>
    </row>
    <row r="182" spans="4:20" s="12" customFormat="1" ht="18.75" x14ac:dyDescent="0.3">
      <c r="D182" s="8"/>
    </row>
    <row r="183" spans="4:20" s="12" customFormat="1" ht="18.75" x14ac:dyDescent="0.3">
      <c r="D183" s="8"/>
    </row>
    <row r="184" spans="4:20" s="12" customFormat="1" ht="18.75" x14ac:dyDescent="0.3">
      <c r="D184" s="8"/>
    </row>
    <row r="185" spans="4:20" s="12" customFormat="1" ht="18.75" x14ac:dyDescent="0.3">
      <c r="D185" s="8"/>
    </row>
    <row r="186" spans="4:20" s="8" customFormat="1" x14ac:dyDescent="0.2"/>
    <row r="187" spans="4:20" s="8" customFormat="1" x14ac:dyDescent="0.2"/>
    <row r="188" spans="4:20" s="8" customFormat="1" x14ac:dyDescent="0.2"/>
    <row r="189" spans="4:20" s="8" customFormat="1" x14ac:dyDescent="0.2"/>
    <row r="190" spans="4:20" s="8" customFormat="1" x14ac:dyDescent="0.2"/>
    <row r="191" spans="4:20" s="8" customFormat="1" x14ac:dyDescent="0.2"/>
    <row r="192" spans="4:20"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sheetData>
  <sheetProtection formatCells="0" formatColumns="0" formatRows="0" autoFilter="0"/>
  <autoFilter ref="A28:AD158"/>
  <dataConsolidate/>
  <mergeCells count="68">
    <mergeCell ref="O2:U3"/>
    <mergeCell ref="A4:T4"/>
    <mergeCell ref="A8:A27"/>
    <mergeCell ref="B8:B27"/>
    <mergeCell ref="C8:C27"/>
    <mergeCell ref="D8:D27"/>
    <mergeCell ref="E8:E10"/>
    <mergeCell ref="F8:F10"/>
    <mergeCell ref="G8:G10"/>
    <mergeCell ref="C5:T5"/>
    <mergeCell ref="H8:H10"/>
    <mergeCell ref="I8:I10"/>
    <mergeCell ref="Q6:T6"/>
    <mergeCell ref="P8:P10"/>
    <mergeCell ref="Q9:T9"/>
    <mergeCell ref="L8:M9"/>
    <mergeCell ref="A112:T112"/>
    <mergeCell ref="M46:M49"/>
    <mergeCell ref="P46:P49"/>
    <mergeCell ref="J46:J49"/>
    <mergeCell ref="K46:K49"/>
    <mergeCell ref="J52:J53"/>
    <mergeCell ref="K52:K53"/>
    <mergeCell ref="I46:I49"/>
    <mergeCell ref="G46:G49"/>
    <mergeCell ref="H46:H49"/>
    <mergeCell ref="O8:O10"/>
    <mergeCell ref="A109:T109"/>
    <mergeCell ref="J8:K9"/>
    <mergeCell ref="Q8:T8"/>
    <mergeCell ref="A29:T29"/>
    <mergeCell ref="A41:T41"/>
    <mergeCell ref="A45:T45"/>
    <mergeCell ref="A88:T88"/>
    <mergeCell ref="N8:N10"/>
    <mergeCell ref="N52:N53"/>
    <mergeCell ref="A117:T117"/>
    <mergeCell ref="L46:L49"/>
    <mergeCell ref="A139:T139"/>
    <mergeCell ref="A135:T135"/>
    <mergeCell ref="A90:T90"/>
    <mergeCell ref="A100:T100"/>
    <mergeCell ref="A72:T72"/>
    <mergeCell ref="A80:T80"/>
    <mergeCell ref="O46:O49"/>
    <mergeCell ref="O52:O53"/>
    <mergeCell ref="R46:R49"/>
    <mergeCell ref="S46:S49"/>
    <mergeCell ref="T46:T49"/>
    <mergeCell ref="Q46:Q49"/>
    <mergeCell ref="F46:F49"/>
    <mergeCell ref="N46:N49"/>
    <mergeCell ref="C161:T161"/>
    <mergeCell ref="A160:T160"/>
    <mergeCell ref="R52:R53"/>
    <mergeCell ref="S52:S53"/>
    <mergeCell ref="T52:T53"/>
    <mergeCell ref="F52:F53"/>
    <mergeCell ref="G52:G53"/>
    <mergeCell ref="H52:H53"/>
    <mergeCell ref="I52:I53"/>
    <mergeCell ref="L52:L53"/>
    <mergeCell ref="Q52:Q53"/>
    <mergeCell ref="A57:T57"/>
    <mergeCell ref="A62:T62"/>
    <mergeCell ref="A67:T67"/>
    <mergeCell ref="M52:M53"/>
    <mergeCell ref="P52:P53"/>
  </mergeCells>
  <dataValidations count="2">
    <dataValidation type="list" errorStyle="warning" allowBlank="1" showInputMessage="1" showErrorMessage="1" errorTitle="Izvēle tikai no saraksta!" error="Lūdzu izvēlēties vienu no vērtībām sarakstā." sqref="F168:P1048576 Q165:T1048576 Q162:T163">
      <formula1>#REF!</formula1>
    </dataValidation>
    <dataValidation type="list" errorStyle="warning" allowBlank="1" showInputMessage="1" showErrorMessage="1" errorTitle="Izvēle tikai no saraksta!" error="Lūdzu izvēlēties vienu no vērtībām sarakstā." sqref="O164 K164:L164">
      <formula1>#REF!</formula1>
    </dataValidation>
  </dataValidations>
  <hyperlinks>
    <hyperlink ref="C168" r:id="rId1"/>
  </hyperlinks>
  <pageMargins left="0.23622047244094491" right="3.937007874015748E-2" top="0.74803149606299213" bottom="0.74803149606299213" header="0.31496062992125984" footer="0.31496062992125984"/>
  <pageSetup paperSize="9" scale="31" fitToHeight="0" orientation="portrait" r:id="rId2"/>
  <headerFooter>
    <oddFooter>&amp;L&amp;16&amp;F&amp;C&amp;16&amp;P no &amp;N</oddFooter>
  </headerFooter>
  <rowBreaks count="4" manualBreakCount="4">
    <brk id="44" max="18" man="1"/>
    <brk id="79" max="18" man="1"/>
    <brk id="111" max="18" man="1"/>
    <brk id="138"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AD284"/>
  <sheetViews>
    <sheetView view="pageBreakPreview" topLeftCell="C11" zoomScale="55" zoomScaleNormal="55" zoomScaleSheetLayoutView="55" zoomScalePageLayoutView="50" workbookViewId="0">
      <selection activeCell="I8" sqref="I8:I10"/>
    </sheetView>
  </sheetViews>
  <sheetFormatPr defaultColWidth="9" defaultRowHeight="12.75" outlineLevelRow="1" outlineLevelCol="1" x14ac:dyDescent="0.2"/>
  <cols>
    <col min="1" max="1" width="14.75" style="1" hidden="1" customWidth="1" collapsed="1"/>
    <col min="2" max="2" width="16.625" style="1" hidden="1" customWidth="1" outlineLevel="1"/>
    <col min="3" max="3" width="25.75" style="1" customWidth="1"/>
    <col min="4" max="4" width="10.375" style="1" customWidth="1"/>
    <col min="5" max="5" width="17.125" style="1" customWidth="1" collapsed="1"/>
    <col min="6" max="6" width="13.75" style="1" hidden="1" customWidth="1" outlineLevel="1"/>
    <col min="7" max="7" width="18" style="1" customWidth="1" collapsed="1"/>
    <col min="8" max="8" width="23.625" style="1" hidden="1" customWidth="1" outlineLevel="1"/>
    <col min="9" max="9" width="22.75" style="1" customWidth="1"/>
    <col min="10" max="10" width="21" style="1" customWidth="1"/>
    <col min="11" max="12" width="19.75" style="1" customWidth="1"/>
    <col min="13" max="13" width="18.75" style="1" customWidth="1"/>
    <col min="14" max="14" width="16.125" style="1" customWidth="1"/>
    <col min="15" max="15" width="15.5" style="1" customWidth="1"/>
    <col min="16" max="16" width="18.125" style="1" customWidth="1"/>
    <col min="17" max="17" width="20.375" style="1" customWidth="1" collapsed="1"/>
    <col min="18" max="18" width="19.625" style="1" hidden="1" customWidth="1" outlineLevel="1"/>
    <col min="19" max="19" width="9" style="1" hidden="1" customWidth="1" outlineLevel="1"/>
    <col min="20" max="20" width="15.625" style="1" hidden="1" customWidth="1" outlineLevel="1"/>
    <col min="21" max="22" width="9" style="1" hidden="1" customWidth="1" outlineLevel="1"/>
    <col min="23" max="23" width="9" style="1"/>
    <col min="24" max="24" width="18.25" style="1" bestFit="1" customWidth="1"/>
    <col min="25" max="25" width="10.625" style="1" bestFit="1" customWidth="1"/>
    <col min="26" max="26" width="9" style="1"/>
    <col min="27" max="27" width="10.625" style="1" bestFit="1" customWidth="1"/>
    <col min="28" max="16384" width="9" style="1"/>
  </cols>
  <sheetData>
    <row r="1" spans="1:25" ht="26.25" hidden="1" customHeight="1" x14ac:dyDescent="0.2"/>
    <row r="2" spans="1:25" ht="24.75" customHeight="1" x14ac:dyDescent="0.2"/>
    <row r="3" spans="1:25" ht="26.25" hidden="1" customHeight="1" x14ac:dyDescent="0.2"/>
    <row r="4" spans="1:25" ht="60" customHeight="1" x14ac:dyDescent="0.2">
      <c r="A4" s="420" t="s">
        <v>335</v>
      </c>
      <c r="B4" s="420"/>
      <c r="C4" s="420"/>
      <c r="D4" s="420"/>
      <c r="E4" s="420"/>
      <c r="F4" s="420"/>
      <c r="G4" s="420"/>
      <c r="H4" s="420"/>
      <c r="I4" s="420"/>
      <c r="J4" s="420"/>
      <c r="K4" s="420"/>
      <c r="L4" s="420"/>
      <c r="M4" s="420"/>
      <c r="N4" s="420"/>
      <c r="O4" s="420"/>
      <c r="P4" s="420"/>
      <c r="Q4" s="420"/>
      <c r="R4" s="32"/>
    </row>
    <row r="5" spans="1:25" ht="113.25" customHeight="1" x14ac:dyDescent="0.2">
      <c r="A5" s="327"/>
      <c r="B5" s="327"/>
      <c r="C5" s="422" t="s">
        <v>344</v>
      </c>
      <c r="D5" s="422"/>
      <c r="E5" s="422"/>
      <c r="F5" s="422"/>
      <c r="G5" s="422"/>
      <c r="H5" s="422"/>
      <c r="I5" s="422"/>
      <c r="J5" s="422"/>
      <c r="K5" s="422"/>
      <c r="L5" s="422"/>
      <c r="M5" s="422"/>
      <c r="N5" s="422"/>
      <c r="O5" s="422"/>
      <c r="P5" s="422"/>
      <c r="Q5" s="422"/>
      <c r="R5" s="32"/>
    </row>
    <row r="6" spans="1:25" ht="32.25" customHeight="1" x14ac:dyDescent="0.2">
      <c r="A6" s="327"/>
      <c r="B6" s="327"/>
      <c r="C6" s="307"/>
      <c r="D6" s="317"/>
      <c r="E6" s="318"/>
      <c r="F6" s="318"/>
      <c r="G6" s="318"/>
      <c r="H6" s="318"/>
      <c r="I6" s="318"/>
      <c r="J6" s="319"/>
      <c r="K6" s="319"/>
      <c r="L6" s="319"/>
      <c r="M6" s="316"/>
      <c r="N6" s="423"/>
      <c r="O6" s="423"/>
      <c r="P6" s="423"/>
      <c r="Q6" s="423"/>
      <c r="R6" s="32"/>
    </row>
    <row r="7" spans="1:25" s="3" customFormat="1" ht="27.75" customHeight="1" x14ac:dyDescent="0.3">
      <c r="A7" s="25"/>
      <c r="B7" s="25"/>
      <c r="C7" s="28" t="s">
        <v>341</v>
      </c>
      <c r="D7" s="2"/>
      <c r="E7" s="20"/>
      <c r="F7" s="29"/>
      <c r="G7" s="29"/>
      <c r="H7" s="29"/>
      <c r="I7" s="29"/>
      <c r="J7" s="29"/>
      <c r="K7" s="29"/>
      <c r="L7" s="29"/>
      <c r="M7" s="29"/>
      <c r="N7" s="31"/>
      <c r="O7" s="31"/>
      <c r="P7" s="31"/>
      <c r="Q7" s="31"/>
    </row>
    <row r="8" spans="1:25" s="4" customFormat="1" ht="72.75" customHeight="1" x14ac:dyDescent="0.2">
      <c r="A8" s="415" t="s">
        <v>18</v>
      </c>
      <c r="B8" s="415" t="s">
        <v>0</v>
      </c>
      <c r="C8" s="415" t="s">
        <v>17</v>
      </c>
      <c r="D8" s="421" t="s">
        <v>169</v>
      </c>
      <c r="E8" s="415" t="s">
        <v>194</v>
      </c>
      <c r="F8" s="415" t="s">
        <v>161</v>
      </c>
      <c r="G8" s="415" t="s">
        <v>329</v>
      </c>
      <c r="H8" s="415" t="s">
        <v>188</v>
      </c>
      <c r="I8" s="415" t="s">
        <v>336</v>
      </c>
      <c r="J8" s="415" t="s">
        <v>340</v>
      </c>
      <c r="K8" s="415" t="s">
        <v>342</v>
      </c>
      <c r="L8" s="375" t="s">
        <v>343</v>
      </c>
      <c r="M8" s="415" t="s">
        <v>325</v>
      </c>
      <c r="N8" s="381" t="s">
        <v>327</v>
      </c>
      <c r="O8" s="381"/>
      <c r="P8" s="381"/>
      <c r="Q8" s="381"/>
    </row>
    <row r="9" spans="1:25" s="4" customFormat="1" ht="70.5" customHeight="1" x14ac:dyDescent="0.2">
      <c r="A9" s="415"/>
      <c r="B9" s="415"/>
      <c r="C9" s="415"/>
      <c r="D9" s="421"/>
      <c r="E9" s="415"/>
      <c r="F9" s="415"/>
      <c r="G9" s="415"/>
      <c r="H9" s="415"/>
      <c r="I9" s="415"/>
      <c r="J9" s="415"/>
      <c r="K9" s="415"/>
      <c r="L9" s="376"/>
      <c r="M9" s="415"/>
      <c r="N9" s="424" t="s">
        <v>326</v>
      </c>
      <c r="O9" s="424"/>
      <c r="P9" s="424"/>
      <c r="Q9" s="424"/>
    </row>
    <row r="10" spans="1:25" s="4" customFormat="1" ht="116.25" customHeight="1" x14ac:dyDescent="0.2">
      <c r="A10" s="415"/>
      <c r="B10" s="415"/>
      <c r="C10" s="415"/>
      <c r="D10" s="421"/>
      <c r="E10" s="415"/>
      <c r="F10" s="415"/>
      <c r="G10" s="415"/>
      <c r="H10" s="415"/>
      <c r="I10" s="415"/>
      <c r="J10" s="415"/>
      <c r="K10" s="415"/>
      <c r="L10" s="377"/>
      <c r="M10" s="415"/>
      <c r="N10" s="328" t="s">
        <v>186</v>
      </c>
      <c r="O10" s="326" t="s">
        <v>171</v>
      </c>
      <c r="P10" s="41" t="s">
        <v>185</v>
      </c>
      <c r="Q10" s="41" t="s">
        <v>184</v>
      </c>
    </row>
    <row r="11" spans="1:25" s="4" customFormat="1" ht="29.25" customHeight="1" x14ac:dyDescent="0.2">
      <c r="A11" s="415"/>
      <c r="B11" s="415"/>
      <c r="C11" s="415"/>
      <c r="D11" s="421"/>
      <c r="E11" s="279" t="s">
        <v>317</v>
      </c>
      <c r="F11" s="328"/>
      <c r="G11" s="285">
        <f>SUM(G12:G27)</f>
        <v>1076947646</v>
      </c>
      <c r="H11" s="285">
        <f>SUM(H12:H27)</f>
        <v>267691617.85153958</v>
      </c>
      <c r="I11" s="284">
        <v>0.75</v>
      </c>
      <c r="J11" s="285">
        <f t="shared" ref="J11:M11" si="0">SUM(J12:J27)</f>
        <v>1165397596.5588231</v>
      </c>
      <c r="K11" s="284"/>
      <c r="L11" s="285">
        <f>L16+L18+L19</f>
        <v>17744555.07</v>
      </c>
      <c r="M11" s="285">
        <f t="shared" si="0"/>
        <v>126409481.26968849</v>
      </c>
      <c r="N11" s="285">
        <f>SUM(N12:N27)</f>
        <v>1291496671.5602767</v>
      </c>
      <c r="O11" s="326"/>
      <c r="P11" s="285">
        <v>0</v>
      </c>
      <c r="Q11" s="285">
        <v>0</v>
      </c>
      <c r="X11" s="321"/>
    </row>
    <row r="12" spans="1:25" s="4" customFormat="1" ht="21.95" customHeight="1" outlineLevel="1" x14ac:dyDescent="0.35">
      <c r="A12" s="415"/>
      <c r="B12" s="415"/>
      <c r="C12" s="415"/>
      <c r="D12" s="421"/>
      <c r="E12" s="78" t="s">
        <v>143</v>
      </c>
      <c r="F12" s="71" t="s">
        <v>143</v>
      </c>
      <c r="G12" s="332">
        <f>G30+G31+G33+G32+G34+G35+G36+G37+G38+G39+G40</f>
        <v>83094259</v>
      </c>
      <c r="H12" s="332">
        <f>H30+H31+H33+H32+H34+H35+H36+H37+H38+H39+H40</f>
        <v>34255265.871961921</v>
      </c>
      <c r="I12" s="329">
        <v>0.75</v>
      </c>
      <c r="J12" s="332">
        <f t="shared" ref="J12" si="1">J30+J31+J33+J32+J34+J35+J36+J37+J38+J39+J40</f>
        <v>110688484.80000001</v>
      </c>
      <c r="K12" s="334">
        <f t="shared" ref="K12:K27" si="2">J12/G12</f>
        <v>1.3320834210700405</v>
      </c>
      <c r="L12" s="337">
        <f>IF(J12&gt;(G12*I12),0,(G12*I12)-J12)</f>
        <v>0</v>
      </c>
      <c r="M12" s="332">
        <f t="shared" ref="M12:M27" si="3">IF(N12-J12&lt;0,0,N12-J12)</f>
        <v>6123971.4747249186</v>
      </c>
      <c r="N12" s="332">
        <f>N30+N31+N33+N32+N34+N35+N36+N37+N38+N39+N40</f>
        <v>116812456.27472493</v>
      </c>
      <c r="O12" s="329">
        <f t="shared" ref="O12:O27" si="4">N12/G12</f>
        <v>1.405782513503429</v>
      </c>
      <c r="P12" s="332">
        <f t="shared" ref="P12:P27" si="5">N12-(G12*I12)</f>
        <v>54491762.024724931</v>
      </c>
      <c r="Q12" s="332">
        <f t="shared" ref="Q12:Q27" si="6">N12-(G12*0.65)</f>
        <v>62801187.924724929</v>
      </c>
      <c r="R12" s="35"/>
      <c r="X12" s="308"/>
      <c r="Y12" s="308"/>
    </row>
    <row r="13" spans="1:25" s="4" customFormat="1" ht="21.95" customHeight="1" outlineLevel="1" x14ac:dyDescent="0.35">
      <c r="A13" s="415"/>
      <c r="B13" s="415"/>
      <c r="C13" s="415"/>
      <c r="D13" s="421"/>
      <c r="E13" s="78" t="s">
        <v>144</v>
      </c>
      <c r="F13" s="78" t="s">
        <v>144</v>
      </c>
      <c r="G13" s="332">
        <f>G42+G43+G44</f>
        <v>23975988</v>
      </c>
      <c r="H13" s="332">
        <f>H42+H43+H44</f>
        <v>10538992.077308552</v>
      </c>
      <c r="I13" s="329">
        <v>0.75</v>
      </c>
      <c r="J13" s="332">
        <f t="shared" ref="J13" si="7">J42+J43+J44</f>
        <v>20615526.23</v>
      </c>
      <c r="K13" s="334">
        <f t="shared" si="2"/>
        <v>0.85984053003363203</v>
      </c>
      <c r="L13" s="337">
        <f t="shared" ref="L13:L27" si="8">IF(J13&gt;(G13*I13),0,(G13*I13)-J13)</f>
        <v>0</v>
      </c>
      <c r="M13" s="332">
        <f t="shared" si="3"/>
        <v>6396445.0523529463</v>
      </c>
      <c r="N13" s="332">
        <f>N42+N43+N44</f>
        <v>27011971.282352947</v>
      </c>
      <c r="O13" s="329">
        <f t="shared" si="4"/>
        <v>1.1266259927371063</v>
      </c>
      <c r="P13" s="332">
        <f t="shared" si="5"/>
        <v>9029980.2823529467</v>
      </c>
      <c r="Q13" s="332">
        <f t="shared" si="6"/>
        <v>11427579.082352946</v>
      </c>
      <c r="R13" s="35"/>
      <c r="X13" s="308"/>
      <c r="Y13" s="308"/>
    </row>
    <row r="14" spans="1:25" s="4" customFormat="1" ht="21.95" customHeight="1" outlineLevel="1" x14ac:dyDescent="0.35">
      <c r="A14" s="415"/>
      <c r="B14" s="415"/>
      <c r="C14" s="415"/>
      <c r="D14" s="421"/>
      <c r="E14" s="78" t="s">
        <v>145</v>
      </c>
      <c r="F14" s="71" t="s">
        <v>145</v>
      </c>
      <c r="G14" s="332">
        <f>G46+G47+G48+G49+G50+G51+G52+G53+G54+G55+G56</f>
        <v>79669032</v>
      </c>
      <c r="H14" s="332">
        <f>H46+H47+H48+H49+H50+H51+H52+H53+H54+H55+H56</f>
        <v>18066349.449242234</v>
      </c>
      <c r="I14" s="329">
        <v>0.85</v>
      </c>
      <c r="J14" s="332">
        <f t="shared" ref="J14" si="9">J46+J47+J48+J49+J50+J51+J52+J53+J54+J55+J56</f>
        <v>138046395.49882349</v>
      </c>
      <c r="K14" s="334">
        <f t="shared" si="2"/>
        <v>1.7327484975444849</v>
      </c>
      <c r="L14" s="337">
        <f t="shared" si="8"/>
        <v>0</v>
      </c>
      <c r="M14" s="332">
        <f t="shared" si="3"/>
        <v>1194594.3877589405</v>
      </c>
      <c r="N14" s="332">
        <f>N46+N47+N48+N49+N50+N51+N52+N53+N54+N55+N56</f>
        <v>139240989.88658243</v>
      </c>
      <c r="O14" s="329">
        <f t="shared" si="4"/>
        <v>1.7477429609861763</v>
      </c>
      <c r="P14" s="332">
        <f t="shared" si="5"/>
        <v>71522312.686582431</v>
      </c>
      <c r="Q14" s="332">
        <f t="shared" si="6"/>
        <v>87456119.086582422</v>
      </c>
      <c r="R14" s="35"/>
      <c r="X14" s="308"/>
      <c r="Y14" s="308"/>
    </row>
    <row r="15" spans="1:25" s="4" customFormat="1" ht="21.95" customHeight="1" outlineLevel="1" x14ac:dyDescent="0.35">
      <c r="A15" s="415"/>
      <c r="B15" s="415"/>
      <c r="C15" s="415"/>
      <c r="D15" s="421"/>
      <c r="E15" s="78" t="s">
        <v>146</v>
      </c>
      <c r="F15" s="78" t="s">
        <v>146</v>
      </c>
      <c r="G15" s="332">
        <f>G58+G59+G60+G61</f>
        <v>7012838</v>
      </c>
      <c r="H15" s="332">
        <f>H58+H59+H60+H61</f>
        <v>1123274.1675711775</v>
      </c>
      <c r="I15" s="329">
        <v>0.85</v>
      </c>
      <c r="J15" s="332">
        <f t="shared" ref="J15" si="10">J58+J59+J60+J61</f>
        <v>7965558.2700000014</v>
      </c>
      <c r="K15" s="334">
        <f t="shared" si="2"/>
        <v>1.135853739955208</v>
      </c>
      <c r="L15" s="337">
        <f t="shared" si="8"/>
        <v>0</v>
      </c>
      <c r="M15" s="332">
        <f t="shared" si="3"/>
        <v>0</v>
      </c>
      <c r="N15" s="332">
        <f>N58+N59+N60+N61</f>
        <v>7843234.5999999996</v>
      </c>
      <c r="O15" s="329">
        <f t="shared" si="4"/>
        <v>1.1184109200868464</v>
      </c>
      <c r="P15" s="332">
        <f t="shared" si="5"/>
        <v>1882322.2999999998</v>
      </c>
      <c r="Q15" s="332">
        <f t="shared" si="6"/>
        <v>3284889.8999999994</v>
      </c>
      <c r="R15" s="35"/>
      <c r="X15" s="308"/>
      <c r="Y15" s="308"/>
    </row>
    <row r="16" spans="1:25" s="4" customFormat="1" ht="21.95" customHeight="1" outlineLevel="1" x14ac:dyDescent="0.35">
      <c r="A16" s="415"/>
      <c r="B16" s="415"/>
      <c r="C16" s="415"/>
      <c r="D16" s="421"/>
      <c r="E16" s="320" t="s">
        <v>147</v>
      </c>
      <c r="F16" s="71" t="s">
        <v>147</v>
      </c>
      <c r="G16" s="332">
        <f>G63+G64+G65+G66</f>
        <v>56161288</v>
      </c>
      <c r="H16" s="332">
        <f>H63+H64+H65+H66</f>
        <v>17465636.620791227</v>
      </c>
      <c r="I16" s="329">
        <v>0.75</v>
      </c>
      <c r="J16" s="332">
        <f t="shared" ref="J16" si="11">J63+J64+J65+J66</f>
        <v>27185384.589999996</v>
      </c>
      <c r="K16" s="335">
        <f t="shared" si="2"/>
        <v>0.4840591367847546</v>
      </c>
      <c r="L16" s="336">
        <f t="shared" si="8"/>
        <v>14935581.410000004</v>
      </c>
      <c r="M16" s="332">
        <f t="shared" si="3"/>
        <v>23608950.153958663</v>
      </c>
      <c r="N16" s="332">
        <f>N63+N64+N65+N66</f>
        <v>50794334.743958659</v>
      </c>
      <c r="O16" s="329">
        <f t="shared" si="4"/>
        <v>0.9044367847111815</v>
      </c>
      <c r="P16" s="332">
        <f t="shared" si="5"/>
        <v>8673368.7439586595</v>
      </c>
      <c r="Q16" s="332">
        <f t="shared" si="6"/>
        <v>14289497.543958656</v>
      </c>
      <c r="R16" s="35"/>
      <c r="X16" s="308"/>
      <c r="Y16" s="308"/>
    </row>
    <row r="17" spans="1:25" s="4" customFormat="1" ht="21.95" customHeight="1" outlineLevel="1" x14ac:dyDescent="0.35">
      <c r="A17" s="415"/>
      <c r="B17" s="415"/>
      <c r="C17" s="415"/>
      <c r="D17" s="421"/>
      <c r="E17" s="71" t="s">
        <v>148</v>
      </c>
      <c r="F17" s="78" t="s">
        <v>148</v>
      </c>
      <c r="G17" s="332">
        <f>G68+G69+G70+G71</f>
        <v>31678051</v>
      </c>
      <c r="H17" s="332">
        <f>H68+H69+H70+H71</f>
        <v>12019298.103321806</v>
      </c>
      <c r="I17" s="329">
        <v>0.75</v>
      </c>
      <c r="J17" s="332">
        <f t="shared" ref="J17" si="12">J68+J69+J70+J71</f>
        <v>31663371.649999999</v>
      </c>
      <c r="K17" s="334">
        <f t="shared" si="2"/>
        <v>0.99953660817074885</v>
      </c>
      <c r="L17" s="337">
        <f t="shared" si="8"/>
        <v>0</v>
      </c>
      <c r="M17" s="332">
        <f t="shared" si="3"/>
        <v>8230926.4223717973</v>
      </c>
      <c r="N17" s="332">
        <f>N68+N69+N70+N71</f>
        <v>39894298.072371796</v>
      </c>
      <c r="O17" s="329">
        <f t="shared" si="4"/>
        <v>1.2593671899944789</v>
      </c>
      <c r="P17" s="332">
        <f t="shared" si="5"/>
        <v>16135759.822371796</v>
      </c>
      <c r="Q17" s="332">
        <f t="shared" si="6"/>
        <v>19303564.922371794</v>
      </c>
      <c r="R17" s="35"/>
      <c r="X17" s="308"/>
      <c r="Y17" s="308"/>
    </row>
    <row r="18" spans="1:25" s="4" customFormat="1" ht="21.95" customHeight="1" outlineLevel="1" x14ac:dyDescent="0.35">
      <c r="A18" s="415"/>
      <c r="B18" s="415"/>
      <c r="C18" s="415"/>
      <c r="D18" s="421"/>
      <c r="E18" s="298" t="s">
        <v>149</v>
      </c>
      <c r="F18" s="71" t="s">
        <v>149</v>
      </c>
      <c r="G18" s="332">
        <f>G73+G74+G75+G76+G77+G78+G79</f>
        <v>109957466</v>
      </c>
      <c r="H18" s="332">
        <f>H73+H74+H75+H76+H77+H78+H79</f>
        <v>26405878.707944859</v>
      </c>
      <c r="I18" s="329">
        <v>0.75</v>
      </c>
      <c r="J18" s="332">
        <f t="shared" ref="J18" si="13">J73+J74+J75+J76+J77+J78+J79</f>
        <v>83483212.239999995</v>
      </c>
      <c r="K18" s="334">
        <f t="shared" si="2"/>
        <v>0.75923186734768877</v>
      </c>
      <c r="L18" s="337">
        <f t="shared" si="8"/>
        <v>0</v>
      </c>
      <c r="M18" s="332">
        <f t="shared" si="3"/>
        <v>18137182.410050333</v>
      </c>
      <c r="N18" s="332">
        <f>N73+N74+N75+N76+N77+N78+N79</f>
        <v>101620394.65005033</v>
      </c>
      <c r="O18" s="329">
        <f t="shared" si="4"/>
        <v>0.92417912440843564</v>
      </c>
      <c r="P18" s="332">
        <f t="shared" si="5"/>
        <v>19152295.150050327</v>
      </c>
      <c r="Q18" s="332">
        <f t="shared" si="6"/>
        <v>30148041.750050321</v>
      </c>
      <c r="R18" s="35"/>
      <c r="X18" s="308"/>
      <c r="Y18" s="308"/>
    </row>
    <row r="19" spans="1:25" s="4" customFormat="1" ht="21.95" customHeight="1" outlineLevel="1" x14ac:dyDescent="0.35">
      <c r="A19" s="415"/>
      <c r="B19" s="415"/>
      <c r="C19" s="415"/>
      <c r="D19" s="421"/>
      <c r="E19" s="320" t="s">
        <v>150</v>
      </c>
      <c r="F19" s="78" t="s">
        <v>150</v>
      </c>
      <c r="G19" s="332">
        <f>G81+G82+G83+G84+G85+G86+G87</f>
        <v>35200539</v>
      </c>
      <c r="H19" s="332">
        <f>H81+H82+H83+H84+H85+H86+H87</f>
        <v>12102145.191502687</v>
      </c>
      <c r="I19" s="329">
        <v>0.85</v>
      </c>
      <c r="J19" s="332">
        <f t="shared" ref="J19" si="14">J81+J82+J83+J84+J85+J86+J87</f>
        <v>27111484.490000002</v>
      </c>
      <c r="K19" s="335">
        <f t="shared" si="2"/>
        <v>0.7702008338565498</v>
      </c>
      <c r="L19" s="336">
        <f t="shared" si="8"/>
        <v>2808973.6599999964</v>
      </c>
      <c r="M19" s="332">
        <f t="shared" si="3"/>
        <v>14650285.685574196</v>
      </c>
      <c r="N19" s="332">
        <f>N81+N82+N83+N84+N85+N86+N87</f>
        <v>41761770.175574198</v>
      </c>
      <c r="O19" s="315">
        <f t="shared" si="4"/>
        <v>1.1863957587573928</v>
      </c>
      <c r="P19" s="332">
        <f t="shared" si="5"/>
        <v>11841312.0255742</v>
      </c>
      <c r="Q19" s="332">
        <f t="shared" si="6"/>
        <v>18881419.825574197</v>
      </c>
      <c r="R19" s="35"/>
      <c r="X19" s="308"/>
      <c r="Y19" s="308"/>
    </row>
    <row r="20" spans="1:25" s="4" customFormat="1" ht="21.95" customHeight="1" outlineLevel="1" x14ac:dyDescent="0.35">
      <c r="A20" s="415"/>
      <c r="B20" s="415"/>
      <c r="C20" s="415"/>
      <c r="D20" s="421"/>
      <c r="E20" s="78" t="s">
        <v>151</v>
      </c>
      <c r="F20" s="78" t="s">
        <v>151</v>
      </c>
      <c r="G20" s="332">
        <f>G89</f>
        <v>72852630</v>
      </c>
      <c r="H20" s="332">
        <f>H89</f>
        <v>14363011</v>
      </c>
      <c r="I20" s="329">
        <v>0.75</v>
      </c>
      <c r="J20" s="332">
        <f t="shared" ref="J20" si="15">J89</f>
        <v>174790578.25999999</v>
      </c>
      <c r="K20" s="334">
        <f t="shared" si="2"/>
        <v>2.3992349797117822</v>
      </c>
      <c r="L20" s="337">
        <f t="shared" si="8"/>
        <v>0</v>
      </c>
      <c r="M20" s="332">
        <f t="shared" si="3"/>
        <v>6489777.1129409969</v>
      </c>
      <c r="N20" s="332">
        <f>N89</f>
        <v>181280355.37294099</v>
      </c>
      <c r="O20" s="329">
        <f t="shared" si="4"/>
        <v>2.4883158696253105</v>
      </c>
      <c r="P20" s="332">
        <f t="shared" si="5"/>
        <v>126640882.87294099</v>
      </c>
      <c r="Q20" s="332">
        <f t="shared" si="6"/>
        <v>133926145.87294099</v>
      </c>
      <c r="R20" s="35"/>
      <c r="X20" s="308"/>
      <c r="Y20" s="308"/>
    </row>
    <row r="21" spans="1:25" s="4" customFormat="1" ht="21.95" customHeight="1" outlineLevel="1" x14ac:dyDescent="0.35">
      <c r="A21" s="415"/>
      <c r="B21" s="415"/>
      <c r="C21" s="415"/>
      <c r="D21" s="421"/>
      <c r="E21" s="78" t="s">
        <v>152</v>
      </c>
      <c r="F21" s="78" t="s">
        <v>152</v>
      </c>
      <c r="G21" s="332">
        <f>G91+G92+G93+G94+G95+G96+G97+G98+G99</f>
        <v>306148623</v>
      </c>
      <c r="H21" s="332">
        <f>H91+H92+H93+H94+H95+H96+H97+H98+H99</f>
        <v>57183035.877791017</v>
      </c>
      <c r="I21" s="329">
        <v>0.75</v>
      </c>
      <c r="J21" s="332">
        <f t="shared" ref="J21" si="16">J91+J92+J93+J94+J95+J96+J97+J98+J99</f>
        <v>256070037.84999999</v>
      </c>
      <c r="K21" s="334">
        <f t="shared" si="2"/>
        <v>0.83642394122412889</v>
      </c>
      <c r="L21" s="337">
        <f t="shared" si="8"/>
        <v>0</v>
      </c>
      <c r="M21" s="332">
        <f t="shared" si="3"/>
        <v>19342524.544454724</v>
      </c>
      <c r="N21" s="332">
        <f>N91+N92+N93+N94+N95+N96+N97+N98+N99</f>
        <v>275412562.39445472</v>
      </c>
      <c r="O21" s="329">
        <f t="shared" si="4"/>
        <v>0.89960411938372398</v>
      </c>
      <c r="P21" s="332">
        <f t="shared" si="5"/>
        <v>45801095.144454718</v>
      </c>
      <c r="Q21" s="332">
        <f t="shared" si="6"/>
        <v>76415957.4444547</v>
      </c>
      <c r="R21" s="35"/>
      <c r="X21" s="308"/>
      <c r="Y21" s="308"/>
    </row>
    <row r="22" spans="1:25" s="4" customFormat="1" ht="21.95" customHeight="1" outlineLevel="1" x14ac:dyDescent="0.35">
      <c r="A22" s="415"/>
      <c r="B22" s="415"/>
      <c r="C22" s="415"/>
      <c r="D22" s="421"/>
      <c r="E22" s="78" t="s">
        <v>153</v>
      </c>
      <c r="F22" s="78" t="s">
        <v>153</v>
      </c>
      <c r="G22" s="332">
        <f>G101+G102+G103+G104+G105+G106+G107+G108</f>
        <v>49376694</v>
      </c>
      <c r="H22" s="332">
        <f>H101+H102+H103+H104+H105+H106+H107+H108</f>
        <v>6973974</v>
      </c>
      <c r="I22" s="329">
        <v>0.85</v>
      </c>
      <c r="J22" s="332">
        <f t="shared" ref="J22" si="17">J101+J102+J103+J104+J105+J106+J107+J108</f>
        <v>59273743.409999989</v>
      </c>
      <c r="K22" s="334">
        <f t="shared" si="2"/>
        <v>1.2004396934715797</v>
      </c>
      <c r="L22" s="337">
        <f t="shared" si="8"/>
        <v>0</v>
      </c>
      <c r="M22" s="332">
        <f t="shared" si="3"/>
        <v>0</v>
      </c>
      <c r="N22" s="332">
        <f>N101+N102+N103+N104+N105+N106+N107+N108</f>
        <v>59085660.81176468</v>
      </c>
      <c r="O22" s="329">
        <f t="shared" si="4"/>
        <v>1.1966305563463742</v>
      </c>
      <c r="P22" s="332">
        <f t="shared" si="5"/>
        <v>17115470.911764681</v>
      </c>
      <c r="Q22" s="332">
        <f t="shared" si="6"/>
        <v>26990809.711764678</v>
      </c>
      <c r="R22" s="35"/>
      <c r="X22" s="308"/>
      <c r="Y22" s="308"/>
    </row>
    <row r="23" spans="1:25" s="4" customFormat="1" ht="21.95" customHeight="1" outlineLevel="1" x14ac:dyDescent="0.35">
      <c r="A23" s="415"/>
      <c r="B23" s="415"/>
      <c r="C23" s="415"/>
      <c r="D23" s="421"/>
      <c r="E23" s="78" t="s">
        <v>154</v>
      </c>
      <c r="F23" s="78" t="s">
        <v>154</v>
      </c>
      <c r="G23" s="332">
        <f>G110+G111</f>
        <v>48708012</v>
      </c>
      <c r="H23" s="332">
        <f>H110+H111</f>
        <v>0</v>
      </c>
      <c r="I23" s="329">
        <v>0.85</v>
      </c>
      <c r="J23" s="332">
        <f t="shared" ref="J23" si="18">J110+J111</f>
        <v>59343809.379999995</v>
      </c>
      <c r="K23" s="334">
        <f t="shared" si="2"/>
        <v>1.2183582729674944</v>
      </c>
      <c r="L23" s="337">
        <f t="shared" si="8"/>
        <v>0</v>
      </c>
      <c r="M23" s="332">
        <f t="shared" si="3"/>
        <v>195866.61511179805</v>
      </c>
      <c r="N23" s="332">
        <f>N110+N111</f>
        <v>59539675.995111793</v>
      </c>
      <c r="O23" s="329">
        <f t="shared" si="4"/>
        <v>1.2223795131509738</v>
      </c>
      <c r="P23" s="332">
        <f t="shared" si="5"/>
        <v>18137865.795111798</v>
      </c>
      <c r="Q23" s="332">
        <f t="shared" si="6"/>
        <v>27879468.195111793</v>
      </c>
      <c r="R23" s="35"/>
      <c r="X23" s="308"/>
      <c r="Y23" s="308"/>
    </row>
    <row r="24" spans="1:25" s="4" customFormat="1" ht="21.95" customHeight="1" outlineLevel="1" x14ac:dyDescent="0.35">
      <c r="A24" s="415"/>
      <c r="B24" s="415"/>
      <c r="C24" s="415"/>
      <c r="D24" s="421"/>
      <c r="E24" s="294" t="s">
        <v>155</v>
      </c>
      <c r="F24" s="78" t="s">
        <v>155</v>
      </c>
      <c r="G24" s="332">
        <f>G113+G114+G115+G116</f>
        <v>80534872</v>
      </c>
      <c r="H24" s="332">
        <f>H113+H114+H115+H116</f>
        <v>16924211.699999999</v>
      </c>
      <c r="I24" s="329">
        <v>0.85</v>
      </c>
      <c r="J24" s="332">
        <f t="shared" ref="J24" si="19">J113+J114+J115+J116</f>
        <v>69205745.459999979</v>
      </c>
      <c r="K24" s="334">
        <f t="shared" si="2"/>
        <v>0.85932644755429644</v>
      </c>
      <c r="L24" s="337">
        <f t="shared" si="8"/>
        <v>0</v>
      </c>
      <c r="M24" s="332">
        <f t="shared" si="3"/>
        <v>9915940.5052848011</v>
      </c>
      <c r="N24" s="332">
        <f>N113+N114+N115+N116</f>
        <v>79121685.96528478</v>
      </c>
      <c r="O24" s="329">
        <f t="shared" si="4"/>
        <v>0.98245249542688518</v>
      </c>
      <c r="P24" s="332">
        <f t="shared" si="5"/>
        <v>10667044.765284777</v>
      </c>
      <c r="Q24" s="332">
        <f t="shared" si="6"/>
        <v>26774019.165284775</v>
      </c>
      <c r="R24" s="35"/>
      <c r="X24" s="308"/>
      <c r="Y24" s="308"/>
    </row>
    <row r="25" spans="1:25" s="4" customFormat="1" ht="21.95" customHeight="1" outlineLevel="1" x14ac:dyDescent="0.35">
      <c r="A25" s="415"/>
      <c r="B25" s="415"/>
      <c r="C25" s="415"/>
      <c r="D25" s="421"/>
      <c r="E25" s="78" t="s">
        <v>156</v>
      </c>
      <c r="F25" s="78" t="s">
        <v>156</v>
      </c>
      <c r="G25" s="332">
        <f>G118+G119+G120+G121+G122+G123+G124+G125+G126+G127+G128+G129+G130+G131+G132+G133+G134</f>
        <v>36865959</v>
      </c>
      <c r="H25" s="332">
        <f>H118+H119+H120+H121+H122+H123+H124+H125+H126+H127+H128+H129+H130+H131+H132+H133+H134</f>
        <v>14473760.993476558</v>
      </c>
      <c r="I25" s="329">
        <v>0.75</v>
      </c>
      <c r="J25" s="332">
        <f t="shared" ref="J25" si="20">J118+J119+J120+J121+J122+J123+J124+J125+J126+J127+J128+J129+J130+J131+J132+J133+J134</f>
        <v>33544927.100000005</v>
      </c>
      <c r="K25" s="334">
        <f t="shared" si="2"/>
        <v>0.90991603120917064</v>
      </c>
      <c r="L25" s="337">
        <f t="shared" si="8"/>
        <v>0</v>
      </c>
      <c r="M25" s="332">
        <f t="shared" si="3"/>
        <v>3767573.8882352971</v>
      </c>
      <c r="N25" s="332">
        <f>N118+N119+N120+N121+N122+N123+N124+N125+N126+N127+N128+N129+N130+N131+N132+N133+N134</f>
        <v>37312500.988235302</v>
      </c>
      <c r="O25" s="329">
        <f t="shared" si="4"/>
        <v>1.0121125829992732</v>
      </c>
      <c r="P25" s="332">
        <f t="shared" si="5"/>
        <v>9663031.7382353023</v>
      </c>
      <c r="Q25" s="332">
        <f t="shared" si="6"/>
        <v>13349627.638235301</v>
      </c>
      <c r="R25" s="35"/>
      <c r="X25" s="308"/>
      <c r="Y25" s="308"/>
    </row>
    <row r="26" spans="1:25" s="4" customFormat="1" ht="21.95" customHeight="1" outlineLevel="1" x14ac:dyDescent="0.35">
      <c r="A26" s="415"/>
      <c r="B26" s="415"/>
      <c r="C26" s="415"/>
      <c r="D26" s="421"/>
      <c r="E26" s="78" t="s">
        <v>157</v>
      </c>
      <c r="F26" s="78" t="s">
        <v>157</v>
      </c>
      <c r="G26" s="332">
        <f>G136+G137+G138</f>
        <v>7796118</v>
      </c>
      <c r="H26" s="332">
        <f>H136+H137+H138</f>
        <v>11795105</v>
      </c>
      <c r="I26" s="329">
        <v>0.75</v>
      </c>
      <c r="J26" s="332">
        <f t="shared" ref="J26" si="21">J136+J137+J138</f>
        <v>12230041.810000001</v>
      </c>
      <c r="K26" s="334">
        <f t="shared" si="2"/>
        <v>1.5687348254605691</v>
      </c>
      <c r="L26" s="337">
        <f t="shared" si="8"/>
        <v>0</v>
      </c>
      <c r="M26" s="332">
        <f t="shared" si="3"/>
        <v>6777924.5429411735</v>
      </c>
      <c r="N26" s="332">
        <f>N136+N137+N138</f>
        <v>19007966.352941174</v>
      </c>
      <c r="O26" s="329">
        <f t="shared" si="4"/>
        <v>2.4381322028400767</v>
      </c>
      <c r="P26" s="332">
        <f t="shared" si="5"/>
        <v>13160877.852941174</v>
      </c>
      <c r="Q26" s="332">
        <f t="shared" si="6"/>
        <v>13940489.652941175</v>
      </c>
      <c r="R26" s="35"/>
      <c r="X26" s="308"/>
      <c r="Y26" s="308"/>
    </row>
    <row r="27" spans="1:25" s="4" customFormat="1" ht="21.95" customHeight="1" outlineLevel="1" x14ac:dyDescent="0.35">
      <c r="A27" s="415"/>
      <c r="B27" s="415"/>
      <c r="C27" s="415"/>
      <c r="D27" s="421"/>
      <c r="E27" s="78" t="s">
        <v>158</v>
      </c>
      <c r="F27" s="78" t="s">
        <v>158</v>
      </c>
      <c r="G27" s="332">
        <f>G140+G141+G142+G143+G144+G145+G146+G147+G148+G149+G150+G151+G152+G153+G154+G155+G156+G157+G158</f>
        <v>47915277</v>
      </c>
      <c r="H27" s="332">
        <f>H140+H141+H142+H143+H144+H145+H146+H147+H148+H149+H150+H151+H152+H153+H154+H155+H156+H157+H158</f>
        <v>14001679.090627547</v>
      </c>
      <c r="I27" s="329">
        <v>0.75</v>
      </c>
      <c r="J27" s="332">
        <f t="shared" ref="J27" si="22">J140+J141+J142+J143+J144+J145+J146+J147+J148+J149+J150+J151+J152+J153+J154+J155+J156+J157+J158</f>
        <v>54179295.520000003</v>
      </c>
      <c r="K27" s="334">
        <f t="shared" si="2"/>
        <v>1.1307311344563447</v>
      </c>
      <c r="L27" s="337">
        <f t="shared" si="8"/>
        <v>0</v>
      </c>
      <c r="M27" s="332">
        <f t="shared" si="3"/>
        <v>1577518.4739279002</v>
      </c>
      <c r="N27" s="332">
        <f>N140+N141+N142+N143+N144+N145+N146+N147+N148+N149+N150+N151+N152+N153+N154+N155+N156+N157+N158</f>
        <v>55756813.993927903</v>
      </c>
      <c r="O27" s="329">
        <f t="shared" si="4"/>
        <v>1.1636542139561856</v>
      </c>
      <c r="P27" s="332">
        <f t="shared" si="5"/>
        <v>19820356.243927903</v>
      </c>
      <c r="Q27" s="332">
        <f t="shared" si="6"/>
        <v>24611883.943927903</v>
      </c>
      <c r="R27" s="35"/>
      <c r="X27" s="308"/>
      <c r="Y27" s="308"/>
    </row>
    <row r="28" spans="1:25" s="6" customFormat="1" ht="15" customHeight="1" x14ac:dyDescent="0.2">
      <c r="A28" s="297" t="s">
        <v>1</v>
      </c>
      <c r="B28" s="297" t="s">
        <v>1</v>
      </c>
      <c r="C28" s="297" t="s">
        <v>1</v>
      </c>
      <c r="D28" s="297" t="s">
        <v>2</v>
      </c>
      <c r="E28" s="297" t="s">
        <v>3</v>
      </c>
      <c r="F28" s="297" t="s">
        <v>4</v>
      </c>
      <c r="G28" s="297" t="s">
        <v>4</v>
      </c>
      <c r="H28" s="297" t="s">
        <v>7</v>
      </c>
      <c r="I28" s="297" t="s">
        <v>5</v>
      </c>
      <c r="J28" s="297" t="s">
        <v>7</v>
      </c>
      <c r="K28" s="297" t="s">
        <v>8</v>
      </c>
      <c r="L28" s="297"/>
      <c r="M28" s="297" t="s">
        <v>9</v>
      </c>
      <c r="N28" s="297" t="s">
        <v>6</v>
      </c>
      <c r="O28" s="297" t="s">
        <v>10</v>
      </c>
      <c r="P28" s="297" t="s">
        <v>11</v>
      </c>
      <c r="Q28" s="297" t="s">
        <v>12</v>
      </c>
    </row>
    <row r="29" spans="1:25" s="6" customFormat="1" ht="40.5" customHeight="1" x14ac:dyDescent="0.2">
      <c r="A29" s="414" t="s">
        <v>203</v>
      </c>
      <c r="B29" s="414"/>
      <c r="C29" s="414"/>
      <c r="D29" s="414"/>
      <c r="E29" s="414"/>
      <c r="F29" s="414"/>
      <c r="G29" s="414"/>
      <c r="H29" s="414"/>
      <c r="I29" s="414"/>
      <c r="J29" s="414"/>
      <c r="K29" s="414"/>
      <c r="L29" s="414"/>
      <c r="M29" s="414"/>
      <c r="N29" s="414"/>
      <c r="O29" s="414"/>
      <c r="P29" s="414"/>
      <c r="Q29" s="414"/>
    </row>
    <row r="30" spans="1:25" s="8" customFormat="1" ht="46.5" x14ac:dyDescent="0.2">
      <c r="A30" s="89">
        <v>9</v>
      </c>
      <c r="B30" s="90" t="s">
        <v>1</v>
      </c>
      <c r="C30" s="71" t="s">
        <v>20</v>
      </c>
      <c r="D30" s="91" t="s">
        <v>126</v>
      </c>
      <c r="E30" s="332">
        <v>76512873</v>
      </c>
      <c r="F30" s="332"/>
      <c r="G30" s="332">
        <v>11617160</v>
      </c>
      <c r="H30" s="332">
        <v>0</v>
      </c>
      <c r="I30" s="331">
        <v>0.75</v>
      </c>
      <c r="J30" s="332">
        <f>22280823.57</f>
        <v>22280823.57</v>
      </c>
      <c r="K30" s="329">
        <f t="shared" ref="K30:K40" si="23">IFERROR(J30/G30,"n/a")</f>
        <v>1.9179234485881231</v>
      </c>
      <c r="L30" s="329"/>
      <c r="M30" s="332">
        <f t="shared" ref="M30:M40" si="24">IF(N30-J30&lt;0,0,N30-J30)</f>
        <v>0</v>
      </c>
      <c r="N30" s="332">
        <v>21283601.73</v>
      </c>
      <c r="O30" s="329">
        <f t="shared" ref="O30:O40" si="25">IFERROR(N30/G30,"n/a")</f>
        <v>1.8320830332026072</v>
      </c>
      <c r="P30" s="332">
        <f t="shared" ref="P30:P40" si="26">IFERROR(N30-(G30*I30),"n/a")</f>
        <v>12570731.73</v>
      </c>
      <c r="Q30" s="332">
        <f t="shared" ref="Q30:Q40" si="27">IFERROR(N30-(G30*0.65),"n/a")</f>
        <v>13732447.73</v>
      </c>
      <c r="T30" s="288">
        <f>N30-J30</f>
        <v>-997221.83999999985</v>
      </c>
      <c r="V30" s="295" t="str">
        <f>IF(J30&gt;N30,"Nav labi","OK")</f>
        <v>Nav labi</v>
      </c>
    </row>
    <row r="31" spans="1:25" s="8" customFormat="1" ht="69.75" x14ac:dyDescent="0.2">
      <c r="A31" s="89">
        <v>1</v>
      </c>
      <c r="B31" s="90" t="s">
        <v>1</v>
      </c>
      <c r="C31" s="71" t="s">
        <v>21</v>
      </c>
      <c r="D31" s="91" t="s">
        <v>126</v>
      </c>
      <c r="E31" s="332">
        <v>64029231</v>
      </c>
      <c r="F31" s="332"/>
      <c r="G31" s="332">
        <v>9721734</v>
      </c>
      <c r="H31" s="332">
        <v>0</v>
      </c>
      <c r="I31" s="331">
        <v>0.75</v>
      </c>
      <c r="J31" s="332">
        <v>3330366.82</v>
      </c>
      <c r="K31" s="329">
        <f t="shared" si="23"/>
        <v>0.34256921861881839</v>
      </c>
      <c r="L31" s="329"/>
      <c r="M31" s="332">
        <f t="shared" si="24"/>
        <v>0</v>
      </c>
      <c r="N31" s="332">
        <v>3325142.9176470581</v>
      </c>
      <c r="O31" s="329">
        <f t="shared" si="25"/>
        <v>0.34203187596441725</v>
      </c>
      <c r="P31" s="332">
        <f t="shared" si="26"/>
        <v>-3966157.5823529419</v>
      </c>
      <c r="Q31" s="332">
        <f t="shared" si="27"/>
        <v>-2993984.1823529424</v>
      </c>
      <c r="T31" s="288">
        <f t="shared" ref="T31:T94" si="28">N31-J31</f>
        <v>-5223.9023529416882</v>
      </c>
      <c r="V31" s="295" t="str">
        <f t="shared" ref="V31:V94" si="29">IF(J31&gt;N31,"Nav labi","OK")</f>
        <v>Nav labi</v>
      </c>
    </row>
    <row r="32" spans="1:25" s="8" customFormat="1" ht="46.5" x14ac:dyDescent="0.2">
      <c r="A32" s="89">
        <v>2</v>
      </c>
      <c r="B32" s="90" t="s">
        <v>1</v>
      </c>
      <c r="C32" s="71" t="s">
        <v>22</v>
      </c>
      <c r="D32" s="91" t="s">
        <v>126</v>
      </c>
      <c r="E32" s="332">
        <v>34000000</v>
      </c>
      <c r="F32" s="332"/>
      <c r="G32" s="332">
        <v>5116765</v>
      </c>
      <c r="H32" s="332">
        <v>9049303</v>
      </c>
      <c r="I32" s="331">
        <v>0.75</v>
      </c>
      <c r="J32" s="332">
        <v>0</v>
      </c>
      <c r="K32" s="329">
        <f t="shared" si="23"/>
        <v>0</v>
      </c>
      <c r="L32" s="329"/>
      <c r="M32" s="332">
        <f t="shared" si="24"/>
        <v>0</v>
      </c>
      <c r="N32" s="332">
        <v>0</v>
      </c>
      <c r="O32" s="329">
        <f t="shared" si="25"/>
        <v>0</v>
      </c>
      <c r="P32" s="332">
        <f t="shared" si="26"/>
        <v>-3837573.75</v>
      </c>
      <c r="Q32" s="332">
        <f t="shared" si="27"/>
        <v>-3325897.25</v>
      </c>
      <c r="R32" s="10"/>
      <c r="T32" s="288">
        <f t="shared" si="28"/>
        <v>0</v>
      </c>
      <c r="V32" s="295" t="str">
        <f t="shared" si="29"/>
        <v>OK</v>
      </c>
    </row>
    <row r="33" spans="1:24" s="8" customFormat="1" ht="69.75" x14ac:dyDescent="0.2">
      <c r="A33" s="89">
        <v>8</v>
      </c>
      <c r="B33" s="90" t="s">
        <v>1</v>
      </c>
      <c r="C33" s="71" t="s">
        <v>23</v>
      </c>
      <c r="D33" s="91" t="s">
        <v>126</v>
      </c>
      <c r="E33" s="332">
        <v>122252616</v>
      </c>
      <c r="F33" s="332"/>
      <c r="G33" s="332">
        <v>17499122</v>
      </c>
      <c r="H33" s="332">
        <v>0</v>
      </c>
      <c r="I33" s="331">
        <v>0.75</v>
      </c>
      <c r="J33" s="332">
        <v>23110406.190000009</v>
      </c>
      <c r="K33" s="329">
        <f t="shared" si="23"/>
        <v>1.3206608988725268</v>
      </c>
      <c r="L33" s="329"/>
      <c r="M33" s="332">
        <f t="shared" si="24"/>
        <v>5062766.7099999897</v>
      </c>
      <c r="N33" s="332">
        <v>28173172.899999999</v>
      </c>
      <c r="O33" s="329">
        <f t="shared" si="25"/>
        <v>1.6099763691001181</v>
      </c>
      <c r="P33" s="332">
        <f t="shared" si="26"/>
        <v>15048831.399999999</v>
      </c>
      <c r="Q33" s="332">
        <f t="shared" si="27"/>
        <v>16798743.599999998</v>
      </c>
      <c r="T33" s="288">
        <f t="shared" si="28"/>
        <v>5062766.7099999897</v>
      </c>
      <c r="V33" s="295" t="str">
        <f t="shared" si="29"/>
        <v>OK</v>
      </c>
    </row>
    <row r="34" spans="1:24" s="8" customFormat="1" ht="69.75" x14ac:dyDescent="0.2">
      <c r="A34" s="89">
        <v>4</v>
      </c>
      <c r="B34" s="90" t="s">
        <v>1</v>
      </c>
      <c r="C34" s="71" t="s">
        <v>24</v>
      </c>
      <c r="D34" s="91" t="s">
        <v>126</v>
      </c>
      <c r="E34" s="332">
        <v>32552786</v>
      </c>
      <c r="F34" s="332"/>
      <c r="G34" s="332">
        <v>4809228</v>
      </c>
      <c r="H34" s="332">
        <v>7663112</v>
      </c>
      <c r="I34" s="331">
        <v>0.75</v>
      </c>
      <c r="J34" s="332">
        <v>1568648.8800000006</v>
      </c>
      <c r="K34" s="329">
        <f t="shared" si="23"/>
        <v>0.32617477898739683</v>
      </c>
      <c r="L34" s="329"/>
      <c r="M34" s="332">
        <f t="shared" si="24"/>
        <v>722792.70823529339</v>
      </c>
      <c r="N34" s="332">
        <v>2291441.588235294</v>
      </c>
      <c r="O34" s="329">
        <f t="shared" si="25"/>
        <v>0.47646765514866296</v>
      </c>
      <c r="P34" s="332">
        <f t="shared" si="26"/>
        <v>-1315479.411764706</v>
      </c>
      <c r="Q34" s="332">
        <f t="shared" si="27"/>
        <v>-834556.61176470621</v>
      </c>
      <c r="T34" s="288">
        <f t="shared" si="28"/>
        <v>722792.70823529339</v>
      </c>
      <c r="V34" s="295" t="str">
        <f t="shared" si="29"/>
        <v>OK</v>
      </c>
    </row>
    <row r="35" spans="1:24" s="8" customFormat="1" ht="69.75" x14ac:dyDescent="0.2">
      <c r="A35" s="89">
        <v>10</v>
      </c>
      <c r="B35" s="95" t="s">
        <v>1</v>
      </c>
      <c r="C35" s="71" t="s">
        <v>25</v>
      </c>
      <c r="D35" s="91" t="s">
        <v>127</v>
      </c>
      <c r="E35" s="332">
        <v>81614203</v>
      </c>
      <c r="F35" s="332"/>
      <c r="G35" s="332">
        <v>13643805</v>
      </c>
      <c r="H35" s="332">
        <v>0</v>
      </c>
      <c r="I35" s="331">
        <v>0.75</v>
      </c>
      <c r="J35" s="332">
        <v>36965872.270000003</v>
      </c>
      <c r="K35" s="329">
        <f t="shared" si="23"/>
        <v>2.7093521396707154</v>
      </c>
      <c r="L35" s="329"/>
      <c r="M35" s="332">
        <f t="shared" si="24"/>
        <v>1572020.583137244</v>
      </c>
      <c r="N35" s="332">
        <v>38537892.853137247</v>
      </c>
      <c r="O35" s="329">
        <f t="shared" si="25"/>
        <v>2.8245707742918671</v>
      </c>
      <c r="P35" s="332">
        <f t="shared" si="26"/>
        <v>28305039.103137247</v>
      </c>
      <c r="Q35" s="332">
        <f t="shared" si="27"/>
        <v>29669419.603137247</v>
      </c>
      <c r="T35" s="288">
        <f t="shared" si="28"/>
        <v>1572020.583137244</v>
      </c>
      <c r="V35" s="295" t="str">
        <f t="shared" si="29"/>
        <v>OK</v>
      </c>
    </row>
    <row r="36" spans="1:24" s="8" customFormat="1" ht="69.75" x14ac:dyDescent="0.2">
      <c r="A36" s="89">
        <v>3</v>
      </c>
      <c r="B36" s="95" t="s">
        <v>1</v>
      </c>
      <c r="C36" s="71" t="s">
        <v>26</v>
      </c>
      <c r="D36" s="91" t="s">
        <v>127</v>
      </c>
      <c r="E36" s="332">
        <v>42352941</v>
      </c>
      <c r="F36" s="332"/>
      <c r="G36" s="332">
        <v>6352941</v>
      </c>
      <c r="H36" s="332">
        <v>17250001</v>
      </c>
      <c r="I36" s="331">
        <v>0.75</v>
      </c>
      <c r="J36" s="332">
        <v>2513661.41</v>
      </c>
      <c r="K36" s="329">
        <f t="shared" si="23"/>
        <v>0.39566893663895197</v>
      </c>
      <c r="L36" s="329"/>
      <c r="M36" s="332">
        <f t="shared" si="24"/>
        <v>507183.29588235263</v>
      </c>
      <c r="N36" s="332">
        <v>3020844.7058823528</v>
      </c>
      <c r="O36" s="329">
        <f t="shared" si="25"/>
        <v>0.47550334654175958</v>
      </c>
      <c r="P36" s="332">
        <f t="shared" si="26"/>
        <v>-1743861.0441176472</v>
      </c>
      <c r="Q36" s="332">
        <f t="shared" si="27"/>
        <v>-1108566.9441176476</v>
      </c>
      <c r="T36" s="288">
        <f t="shared" si="28"/>
        <v>507183.29588235263</v>
      </c>
      <c r="V36" s="295" t="str">
        <f t="shared" si="29"/>
        <v>OK</v>
      </c>
    </row>
    <row r="37" spans="1:24" s="8" customFormat="1" ht="46.5" x14ac:dyDescent="0.2">
      <c r="A37" s="89">
        <v>11</v>
      </c>
      <c r="B37" s="95" t="s">
        <v>1</v>
      </c>
      <c r="C37" s="71" t="s">
        <v>27</v>
      </c>
      <c r="D37" s="91" t="s">
        <v>127</v>
      </c>
      <c r="E37" s="332">
        <v>142117362</v>
      </c>
      <c r="F37" s="332"/>
      <c r="G37" s="332">
        <v>9000000</v>
      </c>
      <c r="H37" s="332">
        <v>0</v>
      </c>
      <c r="I37" s="331">
        <v>0.75</v>
      </c>
      <c r="J37" s="332">
        <v>11762610.220000001</v>
      </c>
      <c r="K37" s="329">
        <f t="shared" si="23"/>
        <v>1.3069566911111112</v>
      </c>
      <c r="L37" s="329"/>
      <c r="M37" s="332">
        <f t="shared" si="24"/>
        <v>0</v>
      </c>
      <c r="N37" s="332">
        <v>11092906.880000001</v>
      </c>
      <c r="O37" s="329">
        <f t="shared" si="25"/>
        <v>1.2325452088888891</v>
      </c>
      <c r="P37" s="332">
        <f t="shared" si="26"/>
        <v>4342906.8800000008</v>
      </c>
      <c r="Q37" s="332">
        <f t="shared" si="27"/>
        <v>5242906.8800000008</v>
      </c>
      <c r="T37" s="288">
        <f t="shared" si="28"/>
        <v>-669703.33999999985</v>
      </c>
      <c r="V37" s="295" t="str">
        <f t="shared" si="29"/>
        <v>Nav labi</v>
      </c>
    </row>
    <row r="38" spans="1:24" s="8" customFormat="1" ht="69.75" x14ac:dyDescent="0.2">
      <c r="A38" s="89">
        <v>7</v>
      </c>
      <c r="B38" s="95" t="s">
        <v>1</v>
      </c>
      <c r="C38" s="71" t="s">
        <v>28</v>
      </c>
      <c r="D38" s="91" t="s">
        <v>127</v>
      </c>
      <c r="E38" s="332">
        <v>21176470</v>
      </c>
      <c r="F38" s="332"/>
      <c r="G38" s="332">
        <v>3736236</v>
      </c>
      <c r="H38" s="332">
        <v>0</v>
      </c>
      <c r="I38" s="331">
        <v>0.75</v>
      </c>
      <c r="J38" s="332">
        <v>6863895.0399999982</v>
      </c>
      <c r="K38" s="329">
        <f t="shared" si="23"/>
        <v>1.8371149574063304</v>
      </c>
      <c r="L38" s="329"/>
      <c r="M38" s="332">
        <f t="shared" si="24"/>
        <v>0</v>
      </c>
      <c r="N38" s="332">
        <v>6817600.2950819666</v>
      </c>
      <c r="O38" s="329">
        <f t="shared" si="25"/>
        <v>1.824724213106979</v>
      </c>
      <c r="P38" s="332">
        <f t="shared" si="26"/>
        <v>4015423.2950819666</v>
      </c>
      <c r="Q38" s="332">
        <f t="shared" si="27"/>
        <v>4389046.8950819671</v>
      </c>
      <c r="T38" s="288">
        <f t="shared" si="28"/>
        <v>-46294.744918031618</v>
      </c>
      <c r="V38" s="295" t="str">
        <f t="shared" si="29"/>
        <v>Nav labi</v>
      </c>
    </row>
    <row r="39" spans="1:24" s="8" customFormat="1" ht="69.75" x14ac:dyDescent="0.2">
      <c r="A39" s="89">
        <v>5</v>
      </c>
      <c r="B39" s="95" t="s">
        <v>1</v>
      </c>
      <c r="C39" s="71" t="s">
        <v>29</v>
      </c>
      <c r="D39" s="91" t="s">
        <v>127</v>
      </c>
      <c r="E39" s="332">
        <v>5648462</v>
      </c>
      <c r="F39" s="332"/>
      <c r="G39" s="332">
        <v>847269</v>
      </c>
      <c r="H39" s="332">
        <v>292849.87196192326</v>
      </c>
      <c r="I39" s="331">
        <v>0.75</v>
      </c>
      <c r="J39" s="332">
        <v>1397923.81</v>
      </c>
      <c r="K39" s="329">
        <f t="shared" si="23"/>
        <v>1.6499173344002909</v>
      </c>
      <c r="L39" s="329"/>
      <c r="M39" s="332">
        <f t="shared" si="24"/>
        <v>1285.072352941148</v>
      </c>
      <c r="N39" s="332">
        <v>1399208.8823529412</v>
      </c>
      <c r="O39" s="329">
        <f t="shared" si="25"/>
        <v>1.6514340573689599</v>
      </c>
      <c r="P39" s="332">
        <f t="shared" si="26"/>
        <v>763757.1323529412</v>
      </c>
      <c r="Q39" s="332">
        <f t="shared" si="27"/>
        <v>848484.03235294123</v>
      </c>
      <c r="T39" s="288">
        <f t="shared" si="28"/>
        <v>1285.072352941148</v>
      </c>
      <c r="V39" s="295" t="str">
        <f t="shared" si="29"/>
        <v>OK</v>
      </c>
    </row>
    <row r="40" spans="1:24" s="8" customFormat="1" ht="69.75" x14ac:dyDescent="0.2">
      <c r="A40" s="89">
        <v>6</v>
      </c>
      <c r="B40" s="95" t="s">
        <v>1</v>
      </c>
      <c r="C40" s="71" t="s">
        <v>30</v>
      </c>
      <c r="D40" s="91" t="s">
        <v>127</v>
      </c>
      <c r="E40" s="332">
        <v>8127343</v>
      </c>
      <c r="F40" s="332"/>
      <c r="G40" s="332">
        <v>749999</v>
      </c>
      <c r="H40" s="332">
        <v>0</v>
      </c>
      <c r="I40" s="331">
        <v>0.75</v>
      </c>
      <c r="J40" s="332">
        <v>894276.59000000008</v>
      </c>
      <c r="K40" s="329">
        <f t="shared" si="23"/>
        <v>1.1923703764938354</v>
      </c>
      <c r="L40" s="329"/>
      <c r="M40" s="332">
        <f t="shared" si="24"/>
        <v>0</v>
      </c>
      <c r="N40" s="332">
        <v>870643.52238805965</v>
      </c>
      <c r="O40" s="329">
        <f t="shared" si="25"/>
        <v>1.1608595776635164</v>
      </c>
      <c r="P40" s="332">
        <f t="shared" si="26"/>
        <v>308144.27238805965</v>
      </c>
      <c r="Q40" s="332">
        <f t="shared" si="27"/>
        <v>383144.17238805961</v>
      </c>
      <c r="T40" s="288">
        <f t="shared" si="28"/>
        <v>-23633.067611940438</v>
      </c>
      <c r="V40" s="295" t="str">
        <f t="shared" si="29"/>
        <v>Nav labi</v>
      </c>
    </row>
    <row r="41" spans="1:24" s="8" customFormat="1" ht="28.5" x14ac:dyDescent="0.2">
      <c r="A41" s="414" t="s">
        <v>217</v>
      </c>
      <c r="B41" s="414"/>
      <c r="C41" s="414"/>
      <c r="D41" s="414"/>
      <c r="E41" s="414"/>
      <c r="F41" s="414"/>
      <c r="G41" s="414"/>
      <c r="H41" s="414"/>
      <c r="I41" s="414"/>
      <c r="J41" s="414"/>
      <c r="K41" s="414"/>
      <c r="L41" s="414"/>
      <c r="M41" s="414"/>
      <c r="N41" s="414"/>
      <c r="O41" s="414"/>
      <c r="P41" s="414"/>
      <c r="Q41" s="414"/>
      <c r="T41" s="288">
        <f t="shared" si="28"/>
        <v>0</v>
      </c>
      <c r="V41" s="295" t="str">
        <f t="shared" si="29"/>
        <v>OK</v>
      </c>
    </row>
    <row r="42" spans="1:24" s="8" customFormat="1" ht="69.75" x14ac:dyDescent="0.2">
      <c r="A42" s="89">
        <v>12</v>
      </c>
      <c r="B42" s="89" t="s">
        <v>2</v>
      </c>
      <c r="C42" s="71" t="s">
        <v>31</v>
      </c>
      <c r="D42" s="91" t="s">
        <v>128</v>
      </c>
      <c r="E42" s="332">
        <v>51734253</v>
      </c>
      <c r="F42" s="332"/>
      <c r="G42" s="332">
        <v>8821904</v>
      </c>
      <c r="H42" s="332">
        <v>2682212</v>
      </c>
      <c r="I42" s="331">
        <v>0.75</v>
      </c>
      <c r="J42" s="332">
        <v>2299626.4900000002</v>
      </c>
      <c r="K42" s="329">
        <f>IFERROR(J42/G42,"n/a")</f>
        <v>0.26067235485672935</v>
      </c>
      <c r="L42" s="329"/>
      <c r="M42" s="332">
        <f>IF(N42-J42&lt;0,0,N42-J42)</f>
        <v>6583088.6864705887</v>
      </c>
      <c r="N42" s="332">
        <v>8882715.1764705889</v>
      </c>
      <c r="O42" s="329">
        <f>IFERROR(N42/G42,"n/a")</f>
        <v>1.0068932031532636</v>
      </c>
      <c r="P42" s="332">
        <f>IFERROR(N42-(G42*I42),"n/a")</f>
        <v>2266287.1764705889</v>
      </c>
      <c r="Q42" s="332">
        <f>IFERROR(N42-(G42*0.65),"n/a")</f>
        <v>3148477.5764705883</v>
      </c>
      <c r="T42" s="288">
        <f t="shared" si="28"/>
        <v>6583088.6864705887</v>
      </c>
      <c r="V42" s="295" t="str">
        <f t="shared" si="29"/>
        <v>OK</v>
      </c>
    </row>
    <row r="43" spans="1:24" s="8" customFormat="1" ht="69.75" x14ac:dyDescent="0.2">
      <c r="A43" s="89">
        <v>14</v>
      </c>
      <c r="B43" s="89" t="s">
        <v>2</v>
      </c>
      <c r="C43" s="71" t="s">
        <v>162</v>
      </c>
      <c r="D43" s="91" t="s">
        <v>129</v>
      </c>
      <c r="E43" s="332">
        <v>139640840</v>
      </c>
      <c r="F43" s="332"/>
      <c r="G43" s="332">
        <v>13754084</v>
      </c>
      <c r="H43" s="332">
        <v>7130936.6605614899</v>
      </c>
      <c r="I43" s="331">
        <v>0.75</v>
      </c>
      <c r="J43" s="332">
        <v>15828448.540000003</v>
      </c>
      <c r="K43" s="329">
        <f>IFERROR(J43/G43,"n/a")</f>
        <v>1.1508180799244794</v>
      </c>
      <c r="L43" s="329"/>
      <c r="M43" s="332">
        <f>IF(N43-J43&lt;0,0,N43-J43)</f>
        <v>0</v>
      </c>
      <c r="N43" s="332">
        <v>15641804.89411765</v>
      </c>
      <c r="O43" s="329">
        <f>IFERROR(N43/G43,"n/a")</f>
        <v>1.1372480271399861</v>
      </c>
      <c r="P43" s="332">
        <f>IFERROR(N43-(G43*I43),"n/a")</f>
        <v>5326241.8941176496</v>
      </c>
      <c r="Q43" s="332">
        <f>IFERROR(N43-(G43*0.65),"n/a")</f>
        <v>6701650.29411765</v>
      </c>
      <c r="T43" s="288">
        <f t="shared" si="28"/>
        <v>-186643.64588235319</v>
      </c>
      <c r="V43" s="295" t="str">
        <f t="shared" si="29"/>
        <v>Nav labi</v>
      </c>
    </row>
    <row r="44" spans="1:24" s="27" customFormat="1" ht="69.75" x14ac:dyDescent="0.2">
      <c r="A44" s="89">
        <v>13</v>
      </c>
      <c r="B44" s="89" t="s">
        <v>2</v>
      </c>
      <c r="C44" s="71" t="s">
        <v>32</v>
      </c>
      <c r="D44" s="91" t="s">
        <v>129</v>
      </c>
      <c r="E44" s="332">
        <v>11900000</v>
      </c>
      <c r="F44" s="332"/>
      <c r="G44" s="332">
        <v>1400000</v>
      </c>
      <c r="H44" s="332">
        <v>725843.41674706095</v>
      </c>
      <c r="I44" s="331">
        <v>0.75</v>
      </c>
      <c r="J44" s="332">
        <v>2487451.2000000002</v>
      </c>
      <c r="K44" s="329">
        <f>IFERROR(J44/G44,"n/a")</f>
        <v>1.7767508571428572</v>
      </c>
      <c r="L44" s="329"/>
      <c r="M44" s="332">
        <f>IF(N44-J44&lt;0,0,N44-J44)</f>
        <v>1.1764706112444401E-2</v>
      </c>
      <c r="N44" s="332">
        <v>2487451.2117647063</v>
      </c>
      <c r="O44" s="329">
        <f>IFERROR(N44/G44,"n/a")</f>
        <v>1.7767508655462187</v>
      </c>
      <c r="P44" s="332">
        <f>IFERROR(N44-(G44*I44),"n/a")</f>
        <v>1437451.2117647063</v>
      </c>
      <c r="Q44" s="332">
        <f>IFERROR(N44-(G44*0.65),"n/a")</f>
        <v>1577451.2117647063</v>
      </c>
      <c r="T44" s="288">
        <f t="shared" si="28"/>
        <v>1.1764706112444401E-2</v>
      </c>
      <c r="V44" s="295" t="str">
        <f t="shared" si="29"/>
        <v>OK</v>
      </c>
    </row>
    <row r="45" spans="1:24" s="27" customFormat="1" ht="28.5" x14ac:dyDescent="0.2">
      <c r="A45" s="414" t="s">
        <v>218</v>
      </c>
      <c r="B45" s="414"/>
      <c r="C45" s="414"/>
      <c r="D45" s="414"/>
      <c r="E45" s="414"/>
      <c r="F45" s="414"/>
      <c r="G45" s="414"/>
      <c r="H45" s="414"/>
      <c r="I45" s="414"/>
      <c r="J45" s="414"/>
      <c r="K45" s="414"/>
      <c r="L45" s="414"/>
      <c r="M45" s="414"/>
      <c r="N45" s="414"/>
      <c r="O45" s="414"/>
      <c r="P45" s="414"/>
      <c r="Q45" s="414"/>
      <c r="T45" s="288">
        <f t="shared" si="28"/>
        <v>0</v>
      </c>
      <c r="V45" s="295" t="str">
        <f t="shared" si="29"/>
        <v>OK</v>
      </c>
    </row>
    <row r="46" spans="1:24" s="8" customFormat="1" ht="46.5" x14ac:dyDescent="0.2">
      <c r="A46" s="89">
        <v>18</v>
      </c>
      <c r="B46" s="89" t="s">
        <v>3</v>
      </c>
      <c r="C46" s="71" t="s">
        <v>33</v>
      </c>
      <c r="D46" s="91" t="s">
        <v>127</v>
      </c>
      <c r="E46" s="332">
        <v>25882353</v>
      </c>
      <c r="F46" s="411"/>
      <c r="G46" s="410">
        <v>15955365.4</v>
      </c>
      <c r="H46" s="410">
        <v>3136162.7714382587</v>
      </c>
      <c r="I46" s="412">
        <v>0.85</v>
      </c>
      <c r="J46" s="410">
        <v>22312236.858149264</v>
      </c>
      <c r="K46" s="409">
        <f>IFERROR(J46/G46,"n/a")</f>
        <v>1.3984159120636162</v>
      </c>
      <c r="L46" s="329"/>
      <c r="M46" s="413">
        <v>0</v>
      </c>
      <c r="N46" s="413">
        <v>22312236.858149264</v>
      </c>
      <c r="O46" s="409">
        <f>IFERROR(N46/G46,"n/a")</f>
        <v>1.3984159120636162</v>
      </c>
      <c r="P46" s="413">
        <f>IFERROR(N46-(G46*I46),"n/a")</f>
        <v>8750176.2681492642</v>
      </c>
      <c r="Q46" s="413">
        <f>IFERROR(N46-(G46*0.65),"n/a")</f>
        <v>11941249.348149264</v>
      </c>
      <c r="T46" s="288">
        <f t="shared" si="28"/>
        <v>0</v>
      </c>
      <c r="V46" s="295" t="str">
        <f t="shared" si="29"/>
        <v>OK</v>
      </c>
    </row>
    <row r="47" spans="1:24" s="8" customFormat="1" ht="46.5" x14ac:dyDescent="0.2">
      <c r="A47" s="89">
        <v>19</v>
      </c>
      <c r="B47" s="89" t="s">
        <v>3</v>
      </c>
      <c r="C47" s="71" t="s">
        <v>34</v>
      </c>
      <c r="D47" s="91" t="s">
        <v>127</v>
      </c>
      <c r="E47" s="332">
        <v>8235294</v>
      </c>
      <c r="F47" s="411"/>
      <c r="G47" s="410"/>
      <c r="H47" s="410"/>
      <c r="I47" s="412"/>
      <c r="J47" s="410"/>
      <c r="K47" s="409"/>
      <c r="L47" s="329"/>
      <c r="M47" s="413"/>
      <c r="N47" s="413"/>
      <c r="O47" s="409"/>
      <c r="P47" s="413"/>
      <c r="Q47" s="413"/>
      <c r="T47" s="288">
        <f t="shared" si="28"/>
        <v>0</v>
      </c>
      <c r="V47" s="295" t="str">
        <f t="shared" si="29"/>
        <v>OK</v>
      </c>
      <c r="X47" s="128"/>
    </row>
    <row r="48" spans="1:24" s="8" customFormat="1" ht="46.5" x14ac:dyDescent="0.2">
      <c r="A48" s="89">
        <v>20</v>
      </c>
      <c r="B48" s="89" t="s">
        <v>3</v>
      </c>
      <c r="C48" s="71" t="s">
        <v>35</v>
      </c>
      <c r="D48" s="91" t="s">
        <v>127</v>
      </c>
      <c r="E48" s="332">
        <v>12254724</v>
      </c>
      <c r="F48" s="411"/>
      <c r="G48" s="410"/>
      <c r="H48" s="410"/>
      <c r="I48" s="412"/>
      <c r="J48" s="410"/>
      <c r="K48" s="409"/>
      <c r="L48" s="329"/>
      <c r="M48" s="413"/>
      <c r="N48" s="413"/>
      <c r="O48" s="409"/>
      <c r="P48" s="413"/>
      <c r="Q48" s="413"/>
      <c r="T48" s="288">
        <f t="shared" si="28"/>
        <v>0</v>
      </c>
      <c r="V48" s="295" t="str">
        <f t="shared" si="29"/>
        <v>OK</v>
      </c>
    </row>
    <row r="49" spans="1:22" s="9" customFormat="1" ht="69.75" x14ac:dyDescent="0.2">
      <c r="A49" s="89">
        <v>21</v>
      </c>
      <c r="B49" s="89" t="s">
        <v>3</v>
      </c>
      <c r="C49" s="71" t="s">
        <v>36</v>
      </c>
      <c r="D49" s="91" t="s">
        <v>127</v>
      </c>
      <c r="E49" s="332">
        <v>14117647</v>
      </c>
      <c r="F49" s="411"/>
      <c r="G49" s="410"/>
      <c r="H49" s="410"/>
      <c r="I49" s="412"/>
      <c r="J49" s="410"/>
      <c r="K49" s="409"/>
      <c r="L49" s="329"/>
      <c r="M49" s="413"/>
      <c r="N49" s="413"/>
      <c r="O49" s="409"/>
      <c r="P49" s="413"/>
      <c r="Q49" s="413"/>
      <c r="T49" s="288">
        <f t="shared" si="28"/>
        <v>0</v>
      </c>
      <c r="V49" s="295" t="str">
        <f t="shared" si="29"/>
        <v>OK</v>
      </c>
    </row>
    <row r="50" spans="1:22" s="8" customFormat="1" ht="46.5" x14ac:dyDescent="0.2">
      <c r="A50" s="89">
        <v>17</v>
      </c>
      <c r="B50" s="89" t="s">
        <v>3</v>
      </c>
      <c r="C50" s="71" t="s">
        <v>37</v>
      </c>
      <c r="D50" s="91" t="s">
        <v>127</v>
      </c>
      <c r="E50" s="332">
        <v>29565515</v>
      </c>
      <c r="F50" s="330"/>
      <c r="G50" s="332">
        <v>7712947</v>
      </c>
      <c r="H50" s="332">
        <v>1532852.3333420665</v>
      </c>
      <c r="I50" s="331">
        <v>0.85</v>
      </c>
      <c r="J50" s="332">
        <v>16036736.700000007</v>
      </c>
      <c r="K50" s="329">
        <f>IFERROR(J50/G50,"n/a")</f>
        <v>2.0791970565855058</v>
      </c>
      <c r="L50" s="329"/>
      <c r="M50" s="332">
        <f>IF(N50-J50&lt;0,0,N50-J50)</f>
        <v>222291.48181817681</v>
      </c>
      <c r="N50" s="332">
        <v>16259028.181818184</v>
      </c>
      <c r="O50" s="329">
        <f>IFERROR(N50/G50,"n/a")</f>
        <v>2.1080176204786811</v>
      </c>
      <c r="P50" s="332">
        <f t="shared" ref="P50:P56" si="30">IFERROR(N50-(G50*I50),"n/a")</f>
        <v>9703023.2318181843</v>
      </c>
      <c r="Q50" s="332">
        <f t="shared" ref="Q50:Q56" si="31">IFERROR(N50-(G50*0.65),"n/a")</f>
        <v>11245612.631818183</v>
      </c>
      <c r="T50" s="288">
        <f t="shared" si="28"/>
        <v>222291.48181817681</v>
      </c>
      <c r="V50" s="295" t="str">
        <f t="shared" si="29"/>
        <v>OK</v>
      </c>
    </row>
    <row r="51" spans="1:22" s="8" customFormat="1" ht="46.5" x14ac:dyDescent="0.2">
      <c r="A51" s="89">
        <v>15</v>
      </c>
      <c r="B51" s="89" t="s">
        <v>3</v>
      </c>
      <c r="C51" s="71" t="s">
        <v>38</v>
      </c>
      <c r="D51" s="91" t="s">
        <v>127</v>
      </c>
      <c r="E51" s="332">
        <v>32823529</v>
      </c>
      <c r="F51" s="330"/>
      <c r="G51" s="332">
        <v>8657815</v>
      </c>
      <c r="H51" s="332">
        <v>1701767.2497470386</v>
      </c>
      <c r="I51" s="331">
        <v>0.85</v>
      </c>
      <c r="J51" s="332">
        <v>3603255.8300000005</v>
      </c>
      <c r="K51" s="329">
        <f>IFERROR(J51/G51,"n/a")</f>
        <v>0.4161853573909815</v>
      </c>
      <c r="L51" s="329"/>
      <c r="M51" s="332">
        <f>IF(N51-J51&lt;0,0,N51-J51)</f>
        <v>902065.72294117557</v>
      </c>
      <c r="N51" s="332">
        <v>4505321.5529411761</v>
      </c>
      <c r="O51" s="329">
        <f>IFERROR(N51/G51,"n/a")</f>
        <v>0.5203762788811237</v>
      </c>
      <c r="P51" s="332">
        <f t="shared" si="30"/>
        <v>-2853821.1970588239</v>
      </c>
      <c r="Q51" s="332">
        <f t="shared" si="31"/>
        <v>-1122258.1970588239</v>
      </c>
      <c r="T51" s="288">
        <f t="shared" si="28"/>
        <v>902065.72294117557</v>
      </c>
      <c r="V51" s="295" t="str">
        <f t="shared" si="29"/>
        <v>OK</v>
      </c>
    </row>
    <row r="52" spans="1:22" s="8" customFormat="1" ht="46.5" x14ac:dyDescent="0.2">
      <c r="A52" s="89">
        <v>22</v>
      </c>
      <c r="B52" s="89" t="s">
        <v>3</v>
      </c>
      <c r="C52" s="71" t="s">
        <v>39</v>
      </c>
      <c r="D52" s="91" t="s">
        <v>127</v>
      </c>
      <c r="E52" s="332">
        <v>70588236</v>
      </c>
      <c r="F52" s="411"/>
      <c r="G52" s="410">
        <v>22220807.399999999</v>
      </c>
      <c r="H52" s="410">
        <v>4574643.1444812873</v>
      </c>
      <c r="I52" s="412">
        <v>0.85</v>
      </c>
      <c r="J52" s="410">
        <v>32546308.600674231</v>
      </c>
      <c r="K52" s="409">
        <f>IFERROR(J52/G52,"n/a")</f>
        <v>1.4646771386297257</v>
      </c>
      <c r="L52" s="329"/>
      <c r="M52" s="413">
        <f t="shared" ref="M52" si="32">N52-J52</f>
        <v>0</v>
      </c>
      <c r="N52" s="413">
        <v>32546308.600674231</v>
      </c>
      <c r="O52" s="409">
        <f>IFERROR(N52/G52,"n/a")</f>
        <v>1.4646771386297257</v>
      </c>
      <c r="P52" s="410">
        <f t="shared" si="30"/>
        <v>13658622.310674231</v>
      </c>
      <c r="Q52" s="410">
        <f t="shared" si="31"/>
        <v>18102783.790674232</v>
      </c>
      <c r="T52" s="288">
        <f t="shared" si="28"/>
        <v>0</v>
      </c>
      <c r="V52" s="295" t="str">
        <f t="shared" si="29"/>
        <v>OK</v>
      </c>
    </row>
    <row r="53" spans="1:22" s="8" customFormat="1" ht="69.75" x14ac:dyDescent="0.2">
      <c r="A53" s="89">
        <v>23</v>
      </c>
      <c r="B53" s="89" t="s">
        <v>3</v>
      </c>
      <c r="C53" s="71" t="s">
        <v>40</v>
      </c>
      <c r="D53" s="91" t="s">
        <v>127</v>
      </c>
      <c r="E53" s="332">
        <v>17647059</v>
      </c>
      <c r="F53" s="411"/>
      <c r="G53" s="410"/>
      <c r="H53" s="410"/>
      <c r="I53" s="412"/>
      <c r="J53" s="410"/>
      <c r="K53" s="409"/>
      <c r="L53" s="329"/>
      <c r="M53" s="413"/>
      <c r="N53" s="413"/>
      <c r="O53" s="409"/>
      <c r="P53" s="410">
        <f t="shared" si="30"/>
        <v>0</v>
      </c>
      <c r="Q53" s="410">
        <f t="shared" si="31"/>
        <v>0</v>
      </c>
      <c r="T53" s="288">
        <f t="shared" si="28"/>
        <v>0</v>
      </c>
      <c r="V53" s="295" t="str">
        <f t="shared" si="29"/>
        <v>OK</v>
      </c>
    </row>
    <row r="54" spans="1:22" s="8" customFormat="1" ht="46.5" x14ac:dyDescent="0.2">
      <c r="A54" s="89">
        <v>16</v>
      </c>
      <c r="B54" s="89" t="s">
        <v>3</v>
      </c>
      <c r="C54" s="71" t="s">
        <v>41</v>
      </c>
      <c r="D54" s="91" t="s">
        <v>127</v>
      </c>
      <c r="E54" s="332">
        <v>7294119</v>
      </c>
      <c r="F54" s="104"/>
      <c r="G54" s="332">
        <v>1201009</v>
      </c>
      <c r="H54" s="332">
        <v>378170.56093902828</v>
      </c>
      <c r="I54" s="331">
        <v>0.85</v>
      </c>
      <c r="J54" s="332">
        <v>2276687.8200000003</v>
      </c>
      <c r="K54" s="329">
        <f>IFERROR(J54/G54,"n/a")</f>
        <v>1.8956459277157793</v>
      </c>
      <c r="L54" s="329"/>
      <c r="M54" s="332">
        <f>IF(N54-J54&lt;0,0,N54-J54)</f>
        <v>9855.0233734934591</v>
      </c>
      <c r="N54" s="332">
        <v>2286542.8433734938</v>
      </c>
      <c r="O54" s="329">
        <f>IFERROR(N54/G54,"n/a")</f>
        <v>1.9038515476349418</v>
      </c>
      <c r="P54" s="332">
        <f t="shared" si="30"/>
        <v>1265685.1933734939</v>
      </c>
      <c r="Q54" s="332">
        <f t="shared" si="31"/>
        <v>1505886.9933734937</v>
      </c>
      <c r="T54" s="288">
        <f t="shared" si="28"/>
        <v>9855.0233734934591</v>
      </c>
      <c r="V54" s="295" t="str">
        <f t="shared" si="29"/>
        <v>OK</v>
      </c>
    </row>
    <row r="55" spans="1:22" s="8" customFormat="1" ht="69.75" x14ac:dyDescent="0.2">
      <c r="A55" s="89">
        <v>25</v>
      </c>
      <c r="B55" s="89" t="s">
        <v>3</v>
      </c>
      <c r="C55" s="71" t="s">
        <v>42</v>
      </c>
      <c r="D55" s="91" t="s">
        <v>127</v>
      </c>
      <c r="E55" s="332">
        <v>60620418</v>
      </c>
      <c r="F55" s="104"/>
      <c r="G55" s="332">
        <v>10034796</v>
      </c>
      <c r="H55" s="332">
        <v>3143014</v>
      </c>
      <c r="I55" s="331">
        <v>0.85</v>
      </c>
      <c r="J55" s="332">
        <v>32996595.120000008</v>
      </c>
      <c r="K55" s="329">
        <f>IFERROR(J55/G55,"n/a")</f>
        <v>3.2882178292413724</v>
      </c>
      <c r="L55" s="329"/>
      <c r="M55" s="332">
        <f>IF(N55-J55&lt;0,0,N55-J55)</f>
        <v>0</v>
      </c>
      <c r="N55" s="332">
        <v>32996595.120000008</v>
      </c>
      <c r="O55" s="329">
        <f>IFERROR(N55/G55,"n/a")</f>
        <v>3.2882178292413724</v>
      </c>
      <c r="P55" s="332">
        <f t="shared" si="30"/>
        <v>24467018.520000011</v>
      </c>
      <c r="Q55" s="332">
        <f t="shared" si="31"/>
        <v>26473977.720000006</v>
      </c>
      <c r="T55" s="288">
        <f t="shared" si="28"/>
        <v>0</v>
      </c>
      <c r="V55" s="295" t="str">
        <f t="shared" si="29"/>
        <v>OK</v>
      </c>
    </row>
    <row r="56" spans="1:22" s="8" customFormat="1" ht="69.75" x14ac:dyDescent="0.2">
      <c r="A56" s="89">
        <v>24</v>
      </c>
      <c r="B56" s="89" t="s">
        <v>3</v>
      </c>
      <c r="C56" s="71" t="s">
        <v>43</v>
      </c>
      <c r="D56" s="91" t="s">
        <v>129</v>
      </c>
      <c r="E56" s="332">
        <v>75552110.395380691</v>
      </c>
      <c r="F56" s="104"/>
      <c r="G56" s="332">
        <v>13886292.199999999</v>
      </c>
      <c r="H56" s="332">
        <v>3599739.3892945535</v>
      </c>
      <c r="I56" s="331">
        <v>0.85</v>
      </c>
      <c r="J56" s="332">
        <v>28274574.569999989</v>
      </c>
      <c r="K56" s="329">
        <f>IFERROR(J56/G56,"n/a")</f>
        <v>2.0361500509113579</v>
      </c>
      <c r="L56" s="329"/>
      <c r="M56" s="332">
        <f>IF(N56-J56&lt;0,0,N56-J56)</f>
        <v>60382.159626115113</v>
      </c>
      <c r="N56" s="332">
        <v>28334956.729626104</v>
      </c>
      <c r="O56" s="329">
        <f>IFERROR(N56/G56,"n/a")</f>
        <v>2.0404983793748848</v>
      </c>
      <c r="P56" s="332">
        <f t="shared" si="30"/>
        <v>16531608.359626105</v>
      </c>
      <c r="Q56" s="332">
        <f t="shared" si="31"/>
        <v>19308866.799626105</v>
      </c>
      <c r="T56" s="288">
        <f t="shared" si="28"/>
        <v>60382.159626115113</v>
      </c>
      <c r="V56" s="295" t="str">
        <f t="shared" si="29"/>
        <v>OK</v>
      </c>
    </row>
    <row r="57" spans="1:22" s="8" customFormat="1" ht="28.5" x14ac:dyDescent="0.2">
      <c r="A57" s="414" t="s">
        <v>219</v>
      </c>
      <c r="B57" s="414"/>
      <c r="C57" s="414"/>
      <c r="D57" s="414"/>
      <c r="E57" s="414"/>
      <c r="F57" s="414"/>
      <c r="G57" s="414"/>
      <c r="H57" s="414"/>
      <c r="I57" s="414"/>
      <c r="J57" s="414"/>
      <c r="K57" s="414"/>
      <c r="L57" s="414"/>
      <c r="M57" s="414"/>
      <c r="N57" s="414"/>
      <c r="O57" s="414"/>
      <c r="P57" s="414"/>
      <c r="Q57" s="414"/>
      <c r="T57" s="288">
        <f t="shared" si="28"/>
        <v>0</v>
      </c>
      <c r="V57" s="295" t="str">
        <f t="shared" si="29"/>
        <v>OK</v>
      </c>
    </row>
    <row r="58" spans="1:22" s="8" customFormat="1" ht="116.25" x14ac:dyDescent="0.2">
      <c r="A58" s="89">
        <v>26</v>
      </c>
      <c r="B58" s="89" t="s">
        <v>3</v>
      </c>
      <c r="C58" s="71" t="s">
        <v>44</v>
      </c>
      <c r="D58" s="91" t="s">
        <v>130</v>
      </c>
      <c r="E58" s="332">
        <v>11169393</v>
      </c>
      <c r="F58" s="332"/>
      <c r="G58" s="332">
        <v>3672987</v>
      </c>
      <c r="H58" s="332">
        <v>590386</v>
      </c>
      <c r="I58" s="331">
        <v>0.85</v>
      </c>
      <c r="J58" s="332">
        <v>4248093.5300000012</v>
      </c>
      <c r="K58" s="329">
        <f>IFERROR(J58/G58,"n/a")</f>
        <v>1.1565773388253215</v>
      </c>
      <c r="L58" s="329"/>
      <c r="M58" s="332">
        <f>IF(N58-J58&lt;0,0,N58-J58)</f>
        <v>0</v>
      </c>
      <c r="N58" s="332">
        <v>4027890.1882352945</v>
      </c>
      <c r="O58" s="329">
        <f>IFERROR(N58/G58,"n/a")</f>
        <v>1.0966252230773739</v>
      </c>
      <c r="P58" s="332">
        <f>IFERROR(N58-(G58*I58),"n/a")</f>
        <v>905851.23823529482</v>
      </c>
      <c r="Q58" s="332">
        <f>IFERROR(N58-(G58*0.65),"n/a")</f>
        <v>1640448.6382352943</v>
      </c>
      <c r="R58" s="10"/>
      <c r="T58" s="288">
        <f t="shared" si="28"/>
        <v>-220203.34176470665</v>
      </c>
      <c r="V58" s="295" t="str">
        <f t="shared" si="29"/>
        <v>Nav labi</v>
      </c>
    </row>
    <row r="59" spans="1:22" s="8" customFormat="1" ht="93" x14ac:dyDescent="0.2">
      <c r="A59" s="89">
        <v>27</v>
      </c>
      <c r="B59" s="89" t="s">
        <v>3</v>
      </c>
      <c r="C59" s="71" t="s">
        <v>45</v>
      </c>
      <c r="D59" s="91" t="s">
        <v>131</v>
      </c>
      <c r="E59" s="332">
        <v>8181615</v>
      </c>
      <c r="F59" s="332"/>
      <c r="G59" s="332">
        <v>3132164</v>
      </c>
      <c r="H59" s="332">
        <v>453602</v>
      </c>
      <c r="I59" s="331">
        <v>0.85</v>
      </c>
      <c r="J59" s="332">
        <v>3340587.5300000003</v>
      </c>
      <c r="K59" s="329">
        <f>IFERROR(J59/G59,"n/a")</f>
        <v>1.0665429811465812</v>
      </c>
      <c r="L59" s="329"/>
      <c r="M59" s="332">
        <f>IF(N59-J59&lt;0,0,N59-J59)</f>
        <v>97879.658235293813</v>
      </c>
      <c r="N59" s="332">
        <v>3438467.1882352941</v>
      </c>
      <c r="O59" s="329">
        <f>IFERROR(N59/G59,"n/a")</f>
        <v>1.0977928321235075</v>
      </c>
      <c r="P59" s="332">
        <f>IFERROR(N59-(G59*I59),"n/a")</f>
        <v>776127.78823529417</v>
      </c>
      <c r="Q59" s="332">
        <f>IFERROR(N59-(G59*0.65),"n/a")</f>
        <v>1402560.588235294</v>
      </c>
      <c r="T59" s="288">
        <f t="shared" si="28"/>
        <v>97879.658235293813</v>
      </c>
      <c r="V59" s="295" t="str">
        <f t="shared" si="29"/>
        <v>OK</v>
      </c>
    </row>
    <row r="60" spans="1:22" s="8" customFormat="1" ht="46.5" x14ac:dyDescent="0.5">
      <c r="A60" s="89">
        <v>29</v>
      </c>
      <c r="B60" s="89" t="s">
        <v>3</v>
      </c>
      <c r="C60" s="71" t="s">
        <v>46</v>
      </c>
      <c r="D60" s="91" t="s">
        <v>131</v>
      </c>
      <c r="E60" s="332">
        <v>1500000</v>
      </c>
      <c r="F60" s="332"/>
      <c r="G60" s="332">
        <v>207687</v>
      </c>
      <c r="H60" s="332">
        <v>79286.167571177386</v>
      </c>
      <c r="I60" s="331">
        <v>0.85</v>
      </c>
      <c r="J60" s="332">
        <v>376877.21</v>
      </c>
      <c r="K60" s="329">
        <f>IFERROR(J60/G60,"n/a")</f>
        <v>1.8146403482163063</v>
      </c>
      <c r="L60" s="329"/>
      <c r="M60" s="332">
        <f>IF(N60-J60&lt;0,0,N60-J60)</f>
        <v>1.3529411749914289E-2</v>
      </c>
      <c r="N60" s="332">
        <v>376877.22352941177</v>
      </c>
      <c r="O60" s="329">
        <f>IFERROR(N60/G60,"n/a")</f>
        <v>1.8146404133595833</v>
      </c>
      <c r="P60" s="332">
        <f>IFERROR(N60-(G60*I60),"n/a")</f>
        <v>200343.27352941179</v>
      </c>
      <c r="Q60" s="332">
        <f>IFERROR(N60-(G60*0.65),"n/a")</f>
        <v>241880.67352941175</v>
      </c>
      <c r="R60" s="30"/>
      <c r="T60" s="288">
        <f t="shared" si="28"/>
        <v>1.3529411749914289E-2</v>
      </c>
      <c r="V60" s="296" t="str">
        <f t="shared" si="29"/>
        <v>OK</v>
      </c>
    </row>
    <row r="61" spans="1:22" s="8" customFormat="1" ht="139.5" x14ac:dyDescent="0.2">
      <c r="A61" s="89">
        <v>28</v>
      </c>
      <c r="B61" s="89" t="s">
        <v>3</v>
      </c>
      <c r="C61" s="71" t="s">
        <v>47</v>
      </c>
      <c r="D61" s="91" t="s">
        <v>131</v>
      </c>
      <c r="E61" s="332">
        <v>400000</v>
      </c>
      <c r="F61" s="332"/>
      <c r="G61" s="332">
        <v>0</v>
      </c>
      <c r="H61" s="332">
        <v>0</v>
      </c>
      <c r="I61" s="331">
        <v>0.85</v>
      </c>
      <c r="J61" s="332">
        <v>0</v>
      </c>
      <c r="K61" s="329" t="str">
        <f>IFERROR(J61/G61,"n/a")</f>
        <v>n/a</v>
      </c>
      <c r="L61" s="329"/>
      <c r="M61" s="332">
        <f>IF(N61-J61&lt;0,0,N61-J61)</f>
        <v>0</v>
      </c>
      <c r="N61" s="332">
        <v>0</v>
      </c>
      <c r="O61" s="329" t="str">
        <f>IFERROR(N61/G61,"n/a")</f>
        <v>n/a</v>
      </c>
      <c r="P61" s="332">
        <f>IFERROR(N61-(G61*I61),"n/a")</f>
        <v>0</v>
      </c>
      <c r="Q61" s="332">
        <f>IFERROR(N61-(G61*0.65),"n/a")</f>
        <v>0</v>
      </c>
      <c r="T61" s="288">
        <f t="shared" si="28"/>
        <v>0</v>
      </c>
      <c r="V61" s="295" t="str">
        <f t="shared" si="29"/>
        <v>OK</v>
      </c>
    </row>
    <row r="62" spans="1:22" s="8" customFormat="1" ht="28.5" x14ac:dyDescent="0.2">
      <c r="A62" s="414" t="s">
        <v>220</v>
      </c>
      <c r="B62" s="414"/>
      <c r="C62" s="414"/>
      <c r="D62" s="414"/>
      <c r="E62" s="414"/>
      <c r="F62" s="414"/>
      <c r="G62" s="414"/>
      <c r="H62" s="414"/>
      <c r="I62" s="414"/>
      <c r="J62" s="414"/>
      <c r="K62" s="414"/>
      <c r="L62" s="414"/>
      <c r="M62" s="414"/>
      <c r="N62" s="414"/>
      <c r="O62" s="414"/>
      <c r="P62" s="414"/>
      <c r="Q62" s="414"/>
      <c r="T62" s="288">
        <f t="shared" si="28"/>
        <v>0</v>
      </c>
      <c r="V62" s="295" t="str">
        <f t="shared" si="29"/>
        <v>OK</v>
      </c>
    </row>
    <row r="63" spans="1:22" s="9" customFormat="1" ht="69.75" x14ac:dyDescent="0.2">
      <c r="A63" s="89">
        <v>31</v>
      </c>
      <c r="B63" s="89" t="s">
        <v>4</v>
      </c>
      <c r="C63" s="298" t="s">
        <v>49</v>
      </c>
      <c r="D63" s="91" t="s">
        <v>127</v>
      </c>
      <c r="E63" s="332">
        <v>176471763</v>
      </c>
      <c r="F63" s="332"/>
      <c r="G63" s="332">
        <v>30007856</v>
      </c>
      <c r="H63" s="332">
        <v>11926141.999999985</v>
      </c>
      <c r="I63" s="331">
        <v>0.75</v>
      </c>
      <c r="J63" s="332">
        <v>7750473.4399999995</v>
      </c>
      <c r="K63" s="329">
        <f>IFERROR(J63/G63,"n/a")</f>
        <v>0.25828147935660578</v>
      </c>
      <c r="L63" s="329"/>
      <c r="M63" s="332">
        <f>IF(N63-J63&lt;0,0,N63-J63)</f>
        <v>11516843.548235295</v>
      </c>
      <c r="N63" s="332">
        <v>19267316.988235295</v>
      </c>
      <c r="O63" s="329">
        <f>IFERROR(N63/G63,"n/a")</f>
        <v>0.64207576136846611</v>
      </c>
      <c r="P63" s="332">
        <f>IFERROR(N63-(G63*I63),"n/a")</f>
        <v>-3238575.0117647052</v>
      </c>
      <c r="Q63" s="332">
        <f>IFERROR(N63-(G63*0.65),"n/a")</f>
        <v>-237789.41176470742</v>
      </c>
      <c r="T63" s="288">
        <f t="shared" si="28"/>
        <v>11516843.548235295</v>
      </c>
      <c r="V63" s="295" t="str">
        <f t="shared" si="29"/>
        <v>OK</v>
      </c>
    </row>
    <row r="64" spans="1:22" s="9" customFormat="1" ht="46.5" x14ac:dyDescent="0.2">
      <c r="A64" s="89">
        <v>30</v>
      </c>
      <c r="B64" s="89" t="s">
        <v>4</v>
      </c>
      <c r="C64" s="71" t="s">
        <v>50</v>
      </c>
      <c r="D64" s="91" t="s">
        <v>127</v>
      </c>
      <c r="E64" s="332">
        <v>115127027</v>
      </c>
      <c r="F64" s="332"/>
      <c r="G64" s="332">
        <v>19412881</v>
      </c>
      <c r="H64" s="332">
        <v>3192016</v>
      </c>
      <c r="I64" s="331">
        <v>0.75</v>
      </c>
      <c r="J64" s="332">
        <f>4983913.89</f>
        <v>4983913.8899999997</v>
      </c>
      <c r="K64" s="329">
        <f>IFERROR(J64/G64,"n/a")</f>
        <v>0.25673231551772246</v>
      </c>
      <c r="L64" s="329"/>
      <c r="M64" s="332">
        <f>IF(N64-J64&lt;0,0,N64-J64)</f>
        <v>2686885.8452941207</v>
      </c>
      <c r="N64" s="332">
        <f>7678145.03529412-7345.3</f>
        <v>7670799.7352941204</v>
      </c>
      <c r="O64" s="329">
        <f>IFERROR(N64/G64,"n/a")</f>
        <v>0.39513968767923319</v>
      </c>
      <c r="P64" s="332">
        <f>IFERROR(N64-(G64*I64),"n/a")</f>
        <v>-6888861.0147058796</v>
      </c>
      <c r="Q64" s="332">
        <f>IFERROR(N64-(G64*0.65),"n/a")</f>
        <v>-4947572.91470588</v>
      </c>
      <c r="T64" s="288">
        <f t="shared" si="28"/>
        <v>2686885.8452941207</v>
      </c>
      <c r="V64" s="295" t="str">
        <f t="shared" si="29"/>
        <v>OK</v>
      </c>
    </row>
    <row r="65" spans="1:22" s="8" customFormat="1" ht="69.75" x14ac:dyDescent="0.2">
      <c r="A65" s="89">
        <v>33</v>
      </c>
      <c r="B65" s="89" t="s">
        <v>4</v>
      </c>
      <c r="C65" s="71" t="s">
        <v>51</v>
      </c>
      <c r="D65" s="91" t="s">
        <v>129</v>
      </c>
      <c r="E65" s="332">
        <v>55289876.350825503</v>
      </c>
      <c r="F65" s="332"/>
      <c r="G65" s="332">
        <v>3250551</v>
      </c>
      <c r="H65" s="332">
        <v>1914863.8170615549</v>
      </c>
      <c r="I65" s="331">
        <v>0.75</v>
      </c>
      <c r="J65" s="332">
        <v>11586418.449999999</v>
      </c>
      <c r="K65" s="329">
        <f>IFERROR(J65/G65,"n/a")</f>
        <v>3.5644475198204857</v>
      </c>
      <c r="L65" s="329"/>
      <c r="M65" s="332">
        <f>IF(N65-J65&lt;0,0,N65-J65)</f>
        <v>8487875.1704292521</v>
      </c>
      <c r="N65" s="332">
        <v>20074293.620429251</v>
      </c>
      <c r="O65" s="329">
        <f>IFERROR(N65/G65,"n/a")</f>
        <v>6.1756587176848639</v>
      </c>
      <c r="P65" s="332">
        <f>IFERROR(N65-(G65*I65),"n/a")</f>
        <v>17636380.370429251</v>
      </c>
      <c r="Q65" s="332">
        <f>IFERROR(N65-(G65*0.65),"n/a")</f>
        <v>17961435.470429253</v>
      </c>
      <c r="T65" s="288">
        <f t="shared" si="28"/>
        <v>8487875.1704292521</v>
      </c>
      <c r="V65" s="295" t="str">
        <f t="shared" si="29"/>
        <v>OK</v>
      </c>
    </row>
    <row r="66" spans="1:22" s="8" customFormat="1" ht="93" x14ac:dyDescent="0.2">
      <c r="A66" s="89">
        <v>32</v>
      </c>
      <c r="B66" s="89" t="s">
        <v>4</v>
      </c>
      <c r="C66" s="71" t="s">
        <v>195</v>
      </c>
      <c r="D66" s="91" t="s">
        <v>128</v>
      </c>
      <c r="E66" s="332">
        <v>8344235</v>
      </c>
      <c r="F66" s="332"/>
      <c r="G66" s="332">
        <v>3490000</v>
      </c>
      <c r="H66" s="332">
        <v>432614.80372968857</v>
      </c>
      <c r="I66" s="331">
        <v>0.75</v>
      </c>
      <c r="J66" s="332">
        <v>2864578.81</v>
      </c>
      <c r="K66" s="329">
        <f>IFERROR(J66/G66,"n/a")</f>
        <v>0.8207962206303725</v>
      </c>
      <c r="L66" s="329"/>
      <c r="M66" s="332">
        <f>IF(N66-J66&lt;0,0,N66-J66)</f>
        <v>917345.59000000032</v>
      </c>
      <c r="N66" s="332">
        <v>3781924.4000000004</v>
      </c>
      <c r="O66" s="329">
        <f>IFERROR(N66/G66,"n/a")</f>
        <v>1.0836459598853869</v>
      </c>
      <c r="P66" s="332">
        <f>IFERROR(N66-(G66*I66),"n/a")</f>
        <v>1164424.4000000004</v>
      </c>
      <c r="Q66" s="332">
        <f>IFERROR(N66-(G66*0.65),"n/a")</f>
        <v>1513424.4000000004</v>
      </c>
      <c r="T66" s="288">
        <f t="shared" si="28"/>
        <v>917345.59000000032</v>
      </c>
      <c r="V66" s="295" t="str">
        <f t="shared" si="29"/>
        <v>OK</v>
      </c>
    </row>
    <row r="67" spans="1:22" s="8" customFormat="1" ht="28.5" x14ac:dyDescent="0.2">
      <c r="A67" s="414" t="s">
        <v>204</v>
      </c>
      <c r="B67" s="414"/>
      <c r="C67" s="414"/>
      <c r="D67" s="414"/>
      <c r="E67" s="414"/>
      <c r="F67" s="414"/>
      <c r="G67" s="414"/>
      <c r="H67" s="414"/>
      <c r="I67" s="414"/>
      <c r="J67" s="414"/>
      <c r="K67" s="414"/>
      <c r="L67" s="414"/>
      <c r="M67" s="414"/>
      <c r="N67" s="414"/>
      <c r="O67" s="414"/>
      <c r="P67" s="414"/>
      <c r="Q67" s="414"/>
      <c r="T67" s="288">
        <f t="shared" si="28"/>
        <v>0</v>
      </c>
      <c r="V67" s="295" t="str">
        <f t="shared" si="29"/>
        <v>OK</v>
      </c>
    </row>
    <row r="68" spans="1:22" s="8" customFormat="1" ht="93" x14ac:dyDescent="0.2">
      <c r="A68" s="89">
        <v>37</v>
      </c>
      <c r="B68" s="89" t="s">
        <v>4</v>
      </c>
      <c r="C68" s="71" t="s">
        <v>48</v>
      </c>
      <c r="D68" s="91" t="s">
        <v>132</v>
      </c>
      <c r="E68" s="332">
        <v>85830850</v>
      </c>
      <c r="F68" s="332"/>
      <c r="G68" s="332">
        <v>5745006</v>
      </c>
      <c r="H68" s="332">
        <v>2015156</v>
      </c>
      <c r="I68" s="331">
        <v>0.75</v>
      </c>
      <c r="J68" s="332">
        <v>15321631.33</v>
      </c>
      <c r="K68" s="329">
        <f>IFERROR(J68/G68,"n/a")</f>
        <v>2.6669478378264531</v>
      </c>
      <c r="L68" s="329"/>
      <c r="M68" s="332">
        <f>IF(N68-J68&lt;0,0,N68-J68)</f>
        <v>1381731.9033333361</v>
      </c>
      <c r="N68" s="332">
        <v>16703363.233333336</v>
      </c>
      <c r="O68" s="329">
        <f>IFERROR(N68/G68,"n/a")</f>
        <v>2.9074579266467846</v>
      </c>
      <c r="P68" s="332">
        <f>IFERROR(N68-(G68*I68),"n/a")</f>
        <v>12394608.733333336</v>
      </c>
      <c r="Q68" s="332">
        <f>IFERROR(N68-(G68*0.65),"n/a")</f>
        <v>12969109.333333336</v>
      </c>
      <c r="T68" s="288">
        <f t="shared" si="28"/>
        <v>1381731.9033333361</v>
      </c>
      <c r="V68" s="295" t="str">
        <f t="shared" si="29"/>
        <v>OK</v>
      </c>
    </row>
    <row r="69" spans="1:22" s="8" customFormat="1" ht="69.75" x14ac:dyDescent="0.2">
      <c r="A69" s="89">
        <v>34</v>
      </c>
      <c r="B69" s="89" t="s">
        <v>4</v>
      </c>
      <c r="C69" s="71" t="s">
        <v>52</v>
      </c>
      <c r="D69" s="91" t="s">
        <v>132</v>
      </c>
      <c r="E69" s="332">
        <v>150000673</v>
      </c>
      <c r="F69" s="332"/>
      <c r="G69" s="332">
        <v>9387264</v>
      </c>
      <c r="H69" s="332">
        <v>3290568</v>
      </c>
      <c r="I69" s="331">
        <v>0.75</v>
      </c>
      <c r="J69" s="332">
        <v>3512881.6799999997</v>
      </c>
      <c r="K69" s="329">
        <f>IFERROR(J69/G69,"n/a")</f>
        <v>0.3742178423873026</v>
      </c>
      <c r="L69" s="329"/>
      <c r="M69" s="332">
        <f>IF(N69-J69&lt;0,0,N69-J69)</f>
        <v>4222759.7815384623</v>
      </c>
      <c r="N69" s="332">
        <v>7735641.461538462</v>
      </c>
      <c r="O69" s="329">
        <f>IFERROR(N69/G69,"n/a")</f>
        <v>0.82405709070699007</v>
      </c>
      <c r="P69" s="332">
        <f>IFERROR(N69-(G69*I69),"n/a")</f>
        <v>695193.46153846197</v>
      </c>
      <c r="Q69" s="332">
        <f>IFERROR(N69-(G69*0.65),"n/a")</f>
        <v>1633919.8615384614</v>
      </c>
      <c r="T69" s="288">
        <f t="shared" si="28"/>
        <v>4222759.7815384623</v>
      </c>
      <c r="V69" s="295" t="str">
        <f t="shared" si="29"/>
        <v>OK</v>
      </c>
    </row>
    <row r="70" spans="1:22" s="8" customFormat="1" ht="46.5" x14ac:dyDescent="0.2">
      <c r="A70" s="89">
        <v>35</v>
      </c>
      <c r="B70" s="89" t="s">
        <v>4</v>
      </c>
      <c r="C70" s="298" t="s">
        <v>53</v>
      </c>
      <c r="D70" s="91" t="s">
        <v>133</v>
      </c>
      <c r="E70" s="332">
        <v>112941177</v>
      </c>
      <c r="F70" s="332"/>
      <c r="G70" s="332">
        <v>16545781</v>
      </c>
      <c r="H70" s="332">
        <v>5939202.9987374237</v>
      </c>
      <c r="I70" s="331">
        <v>0.75</v>
      </c>
      <c r="J70" s="332">
        <f>9756689.85</f>
        <v>9756689.8499999996</v>
      </c>
      <c r="K70" s="329">
        <f>IFERROR(J70/G70,"n/a")</f>
        <v>0.5896784110704717</v>
      </c>
      <c r="L70" s="329"/>
      <c r="M70" s="332">
        <f>IF(N70-J70&lt;0,0,N70-J70)</f>
        <v>2630496.7774999999</v>
      </c>
      <c r="N70" s="332">
        <f>13073489.1375-686302.51</f>
        <v>12387186.627499999</v>
      </c>
      <c r="O70" s="329">
        <f>IFERROR(N70/G70,"n/a")</f>
        <v>0.74866134318470667</v>
      </c>
      <c r="P70" s="332">
        <f>IFERROR(N70-(G70*I70),"n/a")</f>
        <v>-22149.122500000522</v>
      </c>
      <c r="Q70" s="332">
        <f>IFERROR(N70-(G70*0.65),"n/a")</f>
        <v>1632428.9774999991</v>
      </c>
      <c r="T70" s="288">
        <f t="shared" si="28"/>
        <v>2630496.7774999999</v>
      </c>
      <c r="V70" s="295" t="str">
        <f t="shared" si="29"/>
        <v>OK</v>
      </c>
    </row>
    <row r="71" spans="1:22" s="8" customFormat="1" ht="46.5" x14ac:dyDescent="0.2">
      <c r="A71" s="89">
        <v>36</v>
      </c>
      <c r="B71" s="89" t="s">
        <v>4</v>
      </c>
      <c r="C71" s="71" t="s">
        <v>54</v>
      </c>
      <c r="D71" s="91" t="s">
        <v>133</v>
      </c>
      <c r="E71" s="332">
        <v>14725610</v>
      </c>
      <c r="F71" s="332"/>
      <c r="G71" s="332">
        <v>0</v>
      </c>
      <c r="H71" s="332">
        <v>774371.10458438157</v>
      </c>
      <c r="I71" s="331">
        <v>0.75</v>
      </c>
      <c r="J71" s="332">
        <v>3072168.7900000005</v>
      </c>
      <c r="K71" s="329" t="str">
        <f>IFERROR(J71/G71,"n/a")</f>
        <v>n/a</v>
      </c>
      <c r="L71" s="329"/>
      <c r="M71" s="332">
        <f>IF(N71-J71&lt;0,0,N71-J71)</f>
        <v>0</v>
      </c>
      <c r="N71" s="332">
        <v>3068106.7500000005</v>
      </c>
      <c r="O71" s="329" t="str">
        <f>IFERROR(N71/G71,"n/a")</f>
        <v>n/a</v>
      </c>
      <c r="P71" s="332">
        <f>IFERROR(N71-(G71*I71),"n/a")</f>
        <v>3068106.7500000005</v>
      </c>
      <c r="Q71" s="332">
        <f>IFERROR(N71-(G71*0.65),"n/a")</f>
        <v>3068106.7500000005</v>
      </c>
      <c r="T71" s="288">
        <f t="shared" si="28"/>
        <v>-4062.0400000000373</v>
      </c>
      <c r="V71" s="295" t="str">
        <f t="shared" si="29"/>
        <v>Nav labi</v>
      </c>
    </row>
    <row r="72" spans="1:22" s="8" customFormat="1" ht="28.5" x14ac:dyDescent="0.2">
      <c r="A72" s="414" t="s">
        <v>205</v>
      </c>
      <c r="B72" s="414"/>
      <c r="C72" s="414"/>
      <c r="D72" s="414"/>
      <c r="E72" s="414"/>
      <c r="F72" s="414"/>
      <c r="G72" s="414"/>
      <c r="H72" s="414"/>
      <c r="I72" s="414"/>
      <c r="J72" s="414"/>
      <c r="K72" s="414"/>
      <c r="L72" s="414"/>
      <c r="M72" s="414"/>
      <c r="N72" s="414"/>
      <c r="O72" s="414"/>
      <c r="P72" s="414"/>
      <c r="Q72" s="414"/>
      <c r="T72" s="288">
        <f t="shared" si="28"/>
        <v>0</v>
      </c>
      <c r="V72" s="295" t="str">
        <f t="shared" si="29"/>
        <v>OK</v>
      </c>
    </row>
    <row r="73" spans="1:22" s="8" customFormat="1" ht="93" x14ac:dyDescent="0.2">
      <c r="A73" s="89">
        <v>40</v>
      </c>
      <c r="B73" s="89" t="s">
        <v>5</v>
      </c>
      <c r="C73" s="294" t="s">
        <v>55</v>
      </c>
      <c r="D73" s="91" t="s">
        <v>129</v>
      </c>
      <c r="E73" s="332">
        <v>34044477</v>
      </c>
      <c r="F73" s="332"/>
      <c r="G73" s="332">
        <v>6056264</v>
      </c>
      <c r="H73" s="332">
        <v>2679997</v>
      </c>
      <c r="I73" s="331">
        <v>0.75</v>
      </c>
      <c r="J73" s="332">
        <v>3091291.2399999998</v>
      </c>
      <c r="K73" s="329">
        <f t="shared" ref="K73:K79" si="33">IFERROR(J73/G73,"n/a")</f>
        <v>0.51042874617090661</v>
      </c>
      <c r="L73" s="329"/>
      <c r="M73" s="332">
        <f t="shared" ref="M73:M79" si="34">IF(N73-J73&lt;0,0,N73-J73)</f>
        <v>1745374.465882354</v>
      </c>
      <c r="N73" s="332">
        <v>4836665.7058823537</v>
      </c>
      <c r="O73" s="329">
        <f t="shared" ref="O73:O79" si="35">IFERROR(N73/G73,"n/a")</f>
        <v>0.7986220062207251</v>
      </c>
      <c r="P73" s="332">
        <f t="shared" ref="P73:P79" si="36">IFERROR(N73-(G73*I73),"n/a")</f>
        <v>294467.70588235371</v>
      </c>
      <c r="Q73" s="332">
        <f t="shared" ref="Q73:Q79" si="37">IFERROR(N73-(G73*0.65),"n/a")</f>
        <v>900094.10588235362</v>
      </c>
      <c r="T73" s="288">
        <f t="shared" si="28"/>
        <v>1745374.465882354</v>
      </c>
      <c r="V73" s="295" t="str">
        <f t="shared" si="29"/>
        <v>OK</v>
      </c>
    </row>
    <row r="74" spans="1:22" s="8" customFormat="1" ht="69.75" x14ac:dyDescent="0.2">
      <c r="A74" s="89">
        <v>39</v>
      </c>
      <c r="B74" s="89" t="s">
        <v>5</v>
      </c>
      <c r="C74" s="71" t="s">
        <v>56</v>
      </c>
      <c r="D74" s="91" t="s">
        <v>134</v>
      </c>
      <c r="E74" s="332">
        <v>43390019</v>
      </c>
      <c r="F74" s="332"/>
      <c r="G74" s="332">
        <v>15186507</v>
      </c>
      <c r="H74" s="332">
        <v>2249596.9460619083</v>
      </c>
      <c r="I74" s="331">
        <v>0.75</v>
      </c>
      <c r="J74" s="332">
        <v>12368584.490000002</v>
      </c>
      <c r="K74" s="329">
        <f t="shared" si="33"/>
        <v>0.81444564507164174</v>
      </c>
      <c r="L74" s="329"/>
      <c r="M74" s="332">
        <f t="shared" si="34"/>
        <v>1682767.8041176442</v>
      </c>
      <c r="N74" s="332">
        <v>14051352.294117646</v>
      </c>
      <c r="O74" s="329">
        <f t="shared" si="35"/>
        <v>0.9252524161163358</v>
      </c>
      <c r="P74" s="332">
        <f t="shared" si="36"/>
        <v>2661472.0441176463</v>
      </c>
      <c r="Q74" s="332">
        <f t="shared" si="37"/>
        <v>4180122.7441176455</v>
      </c>
      <c r="T74" s="288">
        <f t="shared" si="28"/>
        <v>1682767.8041176442</v>
      </c>
      <c r="V74" s="295" t="str">
        <f t="shared" si="29"/>
        <v>OK</v>
      </c>
    </row>
    <row r="75" spans="1:22" s="8" customFormat="1" ht="93" x14ac:dyDescent="0.2">
      <c r="A75" s="89">
        <v>42</v>
      </c>
      <c r="B75" s="89" t="s">
        <v>5</v>
      </c>
      <c r="C75" s="71" t="s">
        <v>61</v>
      </c>
      <c r="D75" s="91" t="s">
        <v>129</v>
      </c>
      <c r="E75" s="332">
        <v>4000000</v>
      </c>
      <c r="F75" s="332"/>
      <c r="G75" s="332">
        <v>1964706</v>
      </c>
      <c r="H75" s="332">
        <v>0</v>
      </c>
      <c r="I75" s="331">
        <v>0.75</v>
      </c>
      <c r="J75" s="332">
        <v>1693246.39</v>
      </c>
      <c r="K75" s="329">
        <f t="shared" si="33"/>
        <v>0.86183194330347634</v>
      </c>
      <c r="L75" s="329"/>
      <c r="M75" s="332">
        <f t="shared" si="34"/>
        <v>1180533.9276470596</v>
      </c>
      <c r="N75" s="332">
        <v>2873780.3176470594</v>
      </c>
      <c r="O75" s="329">
        <f t="shared" si="35"/>
        <v>1.4627024692992536</v>
      </c>
      <c r="P75" s="332">
        <f t="shared" si="36"/>
        <v>1400250.8176470594</v>
      </c>
      <c r="Q75" s="332">
        <f t="shared" si="37"/>
        <v>1596721.4176470593</v>
      </c>
      <c r="T75" s="288">
        <f t="shared" si="28"/>
        <v>1180533.9276470596</v>
      </c>
      <c r="V75" s="295" t="str">
        <f t="shared" si="29"/>
        <v>OK</v>
      </c>
    </row>
    <row r="76" spans="1:22" s="8" customFormat="1" ht="69.75" x14ac:dyDescent="0.2">
      <c r="A76" s="89">
        <v>43</v>
      </c>
      <c r="B76" s="89" t="s">
        <v>5</v>
      </c>
      <c r="C76" s="71" t="s">
        <v>65</v>
      </c>
      <c r="D76" s="91" t="s">
        <v>136</v>
      </c>
      <c r="E76" s="332">
        <v>70717732.736073375</v>
      </c>
      <c r="F76" s="332"/>
      <c r="G76" s="332">
        <v>8041664.4461944811</v>
      </c>
      <c r="H76" s="332">
        <v>2146457</v>
      </c>
      <c r="I76" s="331">
        <v>0.75</v>
      </c>
      <c r="J76" s="332">
        <v>3639332.97</v>
      </c>
      <c r="K76" s="329">
        <f t="shared" si="33"/>
        <v>0.45255966527205999</v>
      </c>
      <c r="L76" s="329"/>
      <c r="M76" s="332">
        <f t="shared" si="34"/>
        <v>3820760.779695122</v>
      </c>
      <c r="N76" s="332">
        <v>7460093.7496951222</v>
      </c>
      <c r="O76" s="329">
        <f t="shared" si="35"/>
        <v>0.9276803079274748</v>
      </c>
      <c r="P76" s="332">
        <f t="shared" si="36"/>
        <v>1428845.4150492614</v>
      </c>
      <c r="Q76" s="332">
        <f t="shared" si="37"/>
        <v>2233011.8596687093</v>
      </c>
      <c r="R76" s="10"/>
      <c r="T76" s="288">
        <f t="shared" si="28"/>
        <v>3820760.779695122</v>
      </c>
      <c r="V76" s="295" t="str">
        <f t="shared" si="29"/>
        <v>OK</v>
      </c>
    </row>
    <row r="77" spans="1:22" s="8" customFormat="1" ht="46.5" x14ac:dyDescent="0.2">
      <c r="A77" s="89">
        <v>38</v>
      </c>
      <c r="B77" s="89" t="s">
        <v>5</v>
      </c>
      <c r="C77" s="71" t="s">
        <v>66</v>
      </c>
      <c r="D77" s="91" t="s">
        <v>136</v>
      </c>
      <c r="E77" s="332">
        <v>94567990</v>
      </c>
      <c r="F77" s="332"/>
      <c r="G77" s="332">
        <v>18913598</v>
      </c>
      <c r="H77" s="332">
        <v>4902967.6857516551</v>
      </c>
      <c r="I77" s="331">
        <v>0.75</v>
      </c>
      <c r="J77" s="332">
        <f>15428698.3</f>
        <v>15428698.300000001</v>
      </c>
      <c r="K77" s="329">
        <f t="shared" si="33"/>
        <v>0.81574633763496507</v>
      </c>
      <c r="L77" s="329"/>
      <c r="M77" s="332">
        <f t="shared" si="34"/>
        <v>2311948.9566667005</v>
      </c>
      <c r="N77" s="332">
        <f>17815948.1666667-75300.91</f>
        <v>17740647.256666701</v>
      </c>
      <c r="O77" s="329">
        <f t="shared" si="35"/>
        <v>0.93798373300874327</v>
      </c>
      <c r="P77" s="332">
        <f t="shared" si="36"/>
        <v>3555448.7566667013</v>
      </c>
      <c r="Q77" s="332">
        <f t="shared" si="37"/>
        <v>5446808.5566667002</v>
      </c>
      <c r="T77" s="288">
        <f t="shared" si="28"/>
        <v>2311948.9566667005</v>
      </c>
      <c r="V77" s="295" t="str">
        <f t="shared" si="29"/>
        <v>OK</v>
      </c>
    </row>
    <row r="78" spans="1:22" s="8" customFormat="1" ht="69.75" x14ac:dyDescent="0.2">
      <c r="A78" s="89">
        <v>44</v>
      </c>
      <c r="B78" s="89" t="s">
        <v>5</v>
      </c>
      <c r="C78" s="71" t="s">
        <v>67</v>
      </c>
      <c r="D78" s="91" t="s">
        <v>129</v>
      </c>
      <c r="E78" s="332">
        <v>282004866.82961953</v>
      </c>
      <c r="F78" s="332"/>
      <c r="G78" s="332">
        <v>56868726.553805523</v>
      </c>
      <c r="H78" s="332">
        <v>14426860.076131295</v>
      </c>
      <c r="I78" s="331">
        <v>0.75</v>
      </c>
      <c r="J78" s="332">
        <v>41506012.390000001</v>
      </c>
      <c r="K78" s="329">
        <f t="shared" si="33"/>
        <v>0.72985654691475621</v>
      </c>
      <c r="L78" s="329"/>
      <c r="M78" s="332">
        <f t="shared" si="34"/>
        <v>8291588.8078061491</v>
      </c>
      <c r="N78" s="332">
        <v>49797601.19780615</v>
      </c>
      <c r="O78" s="329">
        <f t="shared" si="35"/>
        <v>0.87565880608722391</v>
      </c>
      <c r="P78" s="332">
        <f t="shared" si="36"/>
        <v>7146056.2824520096</v>
      </c>
      <c r="Q78" s="332">
        <f t="shared" si="37"/>
        <v>12832928.937832557</v>
      </c>
      <c r="R78" s="10"/>
      <c r="T78" s="288">
        <f t="shared" si="28"/>
        <v>8291588.8078061491</v>
      </c>
      <c r="V78" s="295" t="str">
        <f t="shared" si="29"/>
        <v>OK</v>
      </c>
    </row>
    <row r="79" spans="1:22" s="8" customFormat="1" ht="69.75" x14ac:dyDescent="0.2">
      <c r="A79" s="89">
        <v>41</v>
      </c>
      <c r="B79" s="89" t="s">
        <v>5</v>
      </c>
      <c r="C79" s="71" t="s">
        <v>68</v>
      </c>
      <c r="D79" s="91" t="s">
        <v>129</v>
      </c>
      <c r="E79" s="332">
        <v>29257750</v>
      </c>
      <c r="F79" s="332"/>
      <c r="G79" s="332">
        <v>2926000</v>
      </c>
      <c r="H79" s="332">
        <v>0</v>
      </c>
      <c r="I79" s="331">
        <v>0.75</v>
      </c>
      <c r="J79" s="332">
        <f>5756046.46</f>
        <v>5756046.46</v>
      </c>
      <c r="K79" s="329">
        <f t="shared" si="33"/>
        <v>1.9672065823650033</v>
      </c>
      <c r="L79" s="329"/>
      <c r="M79" s="332">
        <f t="shared" si="34"/>
        <v>0</v>
      </c>
      <c r="N79" s="332">
        <f>6137054.85823529-1276800.73</f>
        <v>4860254.1282352898</v>
      </c>
      <c r="O79" s="329">
        <f t="shared" si="35"/>
        <v>1.6610574600940839</v>
      </c>
      <c r="P79" s="332">
        <f t="shared" si="36"/>
        <v>2665754.1282352898</v>
      </c>
      <c r="Q79" s="332">
        <f t="shared" si="37"/>
        <v>2958354.1282352898</v>
      </c>
      <c r="T79" s="288">
        <f t="shared" si="28"/>
        <v>-895792.33176471014</v>
      </c>
      <c r="V79" s="295" t="str">
        <f t="shared" si="29"/>
        <v>Nav labi</v>
      </c>
    </row>
    <row r="80" spans="1:22" s="8" customFormat="1" ht="28.5" x14ac:dyDescent="0.2">
      <c r="A80" s="414" t="s">
        <v>206</v>
      </c>
      <c r="B80" s="414"/>
      <c r="C80" s="414"/>
      <c r="D80" s="414"/>
      <c r="E80" s="414"/>
      <c r="F80" s="414"/>
      <c r="G80" s="414"/>
      <c r="H80" s="414"/>
      <c r="I80" s="414"/>
      <c r="J80" s="414"/>
      <c r="K80" s="414"/>
      <c r="L80" s="414"/>
      <c r="M80" s="414"/>
      <c r="N80" s="414"/>
      <c r="O80" s="414"/>
      <c r="P80" s="414"/>
      <c r="Q80" s="414"/>
      <c r="T80" s="288">
        <f t="shared" si="28"/>
        <v>0</v>
      </c>
      <c r="V80" s="295" t="str">
        <f t="shared" si="29"/>
        <v>OK</v>
      </c>
    </row>
    <row r="81" spans="1:26" s="8" customFormat="1" ht="69.75" x14ac:dyDescent="0.2">
      <c r="A81" s="89">
        <v>49</v>
      </c>
      <c r="B81" s="89" t="s">
        <v>5</v>
      </c>
      <c r="C81" s="71" t="s">
        <v>57</v>
      </c>
      <c r="D81" s="91" t="s">
        <v>135</v>
      </c>
      <c r="E81" s="332">
        <v>423470</v>
      </c>
      <c r="F81" s="332"/>
      <c r="G81" s="332">
        <v>0</v>
      </c>
      <c r="H81" s="332">
        <v>338911.19150268601</v>
      </c>
      <c r="I81" s="331">
        <v>0.85</v>
      </c>
      <c r="J81" s="332">
        <v>167381.69999999998</v>
      </c>
      <c r="K81" s="329" t="str">
        <f t="shared" ref="K81:K87" si="38">IFERROR(J81/G81,"n/a")</f>
        <v>n/a</v>
      </c>
      <c r="L81" s="329"/>
      <c r="M81" s="332">
        <f t="shared" ref="M81:M87" si="39">IF(N81-J81&lt;0,0,N81-J81)</f>
        <v>53168.540000000008</v>
      </c>
      <c r="N81" s="332">
        <v>220550.24</v>
      </c>
      <c r="O81" s="329" t="str">
        <f t="shared" ref="O81:O87" si="40">IFERROR(N81/G81,"n/a")</f>
        <v>n/a</v>
      </c>
      <c r="P81" s="332">
        <f t="shared" ref="P81:P87" si="41">IFERROR(N81-(G81*I81),"n/a")</f>
        <v>220550.24</v>
      </c>
      <c r="Q81" s="332">
        <f t="shared" ref="Q81:Q87" si="42">IFERROR(N81-(G81*0.65),"n/a")</f>
        <v>220550.24</v>
      </c>
      <c r="T81" s="288">
        <f t="shared" si="28"/>
        <v>53168.540000000008</v>
      </c>
      <c r="V81" s="296" t="str">
        <f t="shared" si="29"/>
        <v>OK</v>
      </c>
    </row>
    <row r="82" spans="1:26" s="27" customFormat="1" ht="69.75" x14ac:dyDescent="0.2">
      <c r="A82" s="89">
        <v>46</v>
      </c>
      <c r="B82" s="89" t="s">
        <v>5</v>
      </c>
      <c r="C82" s="71" t="s">
        <v>58</v>
      </c>
      <c r="D82" s="91" t="s">
        <v>135</v>
      </c>
      <c r="E82" s="332">
        <v>54484011</v>
      </c>
      <c r="F82" s="332"/>
      <c r="G82" s="332">
        <v>3720862.9344055778</v>
      </c>
      <c r="H82" s="332">
        <v>1642779</v>
      </c>
      <c r="I82" s="331">
        <v>0.85</v>
      </c>
      <c r="J82" s="332">
        <v>40598.480000000003</v>
      </c>
      <c r="K82" s="329">
        <f t="shared" si="38"/>
        <v>1.0911038841178321E-2</v>
      </c>
      <c r="L82" s="329"/>
      <c r="M82" s="332">
        <f t="shared" si="39"/>
        <v>7384400.0057142852</v>
      </c>
      <c r="N82" s="332">
        <v>7424998.4857142856</v>
      </c>
      <c r="O82" s="329">
        <f t="shared" si="40"/>
        <v>1.9955044344842168</v>
      </c>
      <c r="P82" s="332">
        <f t="shared" si="41"/>
        <v>4262264.9914695444</v>
      </c>
      <c r="Q82" s="332">
        <f t="shared" si="42"/>
        <v>5006437.5783506595</v>
      </c>
      <c r="R82" s="33"/>
      <c r="T82" s="288">
        <f t="shared" si="28"/>
        <v>7384400.0057142852</v>
      </c>
      <c r="V82" s="295" t="str">
        <f t="shared" si="29"/>
        <v>OK</v>
      </c>
      <c r="Y82" s="299"/>
      <c r="Z82" s="8"/>
    </row>
    <row r="83" spans="1:26" s="8" customFormat="1" ht="69.75" x14ac:dyDescent="0.2">
      <c r="A83" s="89">
        <v>47</v>
      </c>
      <c r="B83" s="89" t="s">
        <v>5</v>
      </c>
      <c r="C83" s="71" t="s">
        <v>59</v>
      </c>
      <c r="D83" s="91" t="s">
        <v>135</v>
      </c>
      <c r="E83" s="332">
        <v>10804999</v>
      </c>
      <c r="F83" s="332"/>
      <c r="G83" s="332">
        <v>0</v>
      </c>
      <c r="H83" s="332">
        <v>0</v>
      </c>
      <c r="I83" s="331">
        <v>0.85</v>
      </c>
      <c r="J83" s="332">
        <v>0</v>
      </c>
      <c r="K83" s="329" t="str">
        <f t="shared" si="38"/>
        <v>n/a</v>
      </c>
      <c r="L83" s="329"/>
      <c r="M83" s="332">
        <f t="shared" si="39"/>
        <v>0</v>
      </c>
      <c r="N83" s="332">
        <v>0</v>
      </c>
      <c r="O83" s="329" t="str">
        <f t="shared" si="40"/>
        <v>n/a</v>
      </c>
      <c r="P83" s="332">
        <f t="shared" si="41"/>
        <v>0</v>
      </c>
      <c r="Q83" s="332">
        <f t="shared" si="42"/>
        <v>0</v>
      </c>
      <c r="T83" s="288">
        <f t="shared" si="28"/>
        <v>0</v>
      </c>
      <c r="V83" s="295" t="str">
        <f t="shared" si="29"/>
        <v>OK</v>
      </c>
    </row>
    <row r="84" spans="1:26" s="8" customFormat="1" ht="69.75" x14ac:dyDescent="0.2">
      <c r="A84" s="89">
        <v>45</v>
      </c>
      <c r="B84" s="89" t="s">
        <v>5</v>
      </c>
      <c r="C84" s="71" t="s">
        <v>60</v>
      </c>
      <c r="D84" s="91" t="s">
        <v>135</v>
      </c>
      <c r="E84" s="332">
        <v>139698189</v>
      </c>
      <c r="F84" s="332"/>
      <c r="G84" s="332">
        <v>28479654.521559395</v>
      </c>
      <c r="H84" s="332">
        <v>0</v>
      </c>
      <c r="I84" s="331">
        <v>0.85</v>
      </c>
      <c r="J84" s="332">
        <f>22102983.37</f>
        <v>22102983.370000001</v>
      </c>
      <c r="K84" s="329">
        <f t="shared" si="38"/>
        <v>0.77609731372505986</v>
      </c>
      <c r="L84" s="329"/>
      <c r="M84" s="332">
        <f t="shared" si="39"/>
        <v>4997046.6680952013</v>
      </c>
      <c r="N84" s="332">
        <f>27121127.7380952-21097.7</f>
        <v>27100030.038095202</v>
      </c>
      <c r="O84" s="329">
        <f t="shared" si="40"/>
        <v>0.95155754145754112</v>
      </c>
      <c r="P84" s="332">
        <f t="shared" si="41"/>
        <v>2892323.6947697178</v>
      </c>
      <c r="Q84" s="332">
        <f t="shared" si="42"/>
        <v>8588254.5990815945</v>
      </c>
      <c r="T84" s="288">
        <f t="shared" si="28"/>
        <v>4997046.6680952013</v>
      </c>
      <c r="V84" s="295" t="str">
        <f t="shared" si="29"/>
        <v>OK</v>
      </c>
    </row>
    <row r="85" spans="1:26" s="8" customFormat="1" ht="69.75" x14ac:dyDescent="0.2">
      <c r="A85" s="89">
        <v>50</v>
      </c>
      <c r="B85" s="89" t="s">
        <v>5</v>
      </c>
      <c r="C85" s="71" t="s">
        <v>62</v>
      </c>
      <c r="D85" s="91" t="s">
        <v>135</v>
      </c>
      <c r="E85" s="332">
        <v>9500000</v>
      </c>
      <c r="F85" s="332"/>
      <c r="G85" s="332">
        <v>1853242.6452677706</v>
      </c>
      <c r="H85" s="332">
        <v>0</v>
      </c>
      <c r="I85" s="331">
        <v>0.85</v>
      </c>
      <c r="J85" s="332">
        <v>3656659.1400000006</v>
      </c>
      <c r="K85" s="329">
        <f t="shared" si="38"/>
        <v>1.9731140708083903</v>
      </c>
      <c r="L85" s="329"/>
      <c r="M85" s="332">
        <f t="shared" si="39"/>
        <v>728953.3423529407</v>
      </c>
      <c r="N85" s="332">
        <v>4385612.4823529413</v>
      </c>
      <c r="O85" s="329">
        <f t="shared" si="40"/>
        <v>2.3664534666043551</v>
      </c>
      <c r="P85" s="332">
        <f t="shared" si="41"/>
        <v>2810356.2338753361</v>
      </c>
      <c r="Q85" s="332">
        <f t="shared" si="42"/>
        <v>3181004.7629288901</v>
      </c>
      <c r="T85" s="288">
        <f t="shared" si="28"/>
        <v>728953.3423529407</v>
      </c>
      <c r="V85" s="295" t="str">
        <f t="shared" si="29"/>
        <v>OK</v>
      </c>
    </row>
    <row r="86" spans="1:26" s="8" customFormat="1" ht="69.75" x14ac:dyDescent="0.2">
      <c r="A86" s="89">
        <v>51</v>
      </c>
      <c r="B86" s="89" t="s">
        <v>5</v>
      </c>
      <c r="C86" s="71" t="s">
        <v>63</v>
      </c>
      <c r="D86" s="91" t="s">
        <v>135</v>
      </c>
      <c r="E86" s="332">
        <v>16643483</v>
      </c>
      <c r="F86" s="332"/>
      <c r="G86" s="332">
        <v>1146778.8987672578</v>
      </c>
      <c r="H86" s="332">
        <v>2289729</v>
      </c>
      <c r="I86" s="331">
        <v>0.85</v>
      </c>
      <c r="J86" s="332">
        <v>1143861.8</v>
      </c>
      <c r="K86" s="329">
        <f t="shared" si="38"/>
        <v>0.99745626748940575</v>
      </c>
      <c r="L86" s="329"/>
      <c r="M86" s="332">
        <f t="shared" si="39"/>
        <v>1486717.1294117651</v>
      </c>
      <c r="N86" s="332">
        <v>2630578.9294117652</v>
      </c>
      <c r="O86" s="329">
        <f t="shared" si="40"/>
        <v>2.2938850132658826</v>
      </c>
      <c r="P86" s="332">
        <f t="shared" si="41"/>
        <v>1655816.865459596</v>
      </c>
      <c r="Q86" s="332">
        <f t="shared" si="42"/>
        <v>1885172.6452130475</v>
      </c>
      <c r="T86" s="288">
        <f t="shared" si="28"/>
        <v>1486717.1294117651</v>
      </c>
      <c r="V86" s="295" t="str">
        <f t="shared" si="29"/>
        <v>OK</v>
      </c>
    </row>
    <row r="87" spans="1:26" s="8" customFormat="1" ht="69.75" x14ac:dyDescent="0.2">
      <c r="A87" s="89">
        <v>48</v>
      </c>
      <c r="B87" s="89" t="s">
        <v>5</v>
      </c>
      <c r="C87" s="71" t="s">
        <v>64</v>
      </c>
      <c r="D87" s="91" t="s">
        <v>135</v>
      </c>
      <c r="E87" s="332">
        <v>9212619</v>
      </c>
      <c r="F87" s="332"/>
      <c r="G87" s="332">
        <v>0</v>
      </c>
      <c r="H87" s="332">
        <v>7830726</v>
      </c>
      <c r="I87" s="331">
        <v>0.85</v>
      </c>
      <c r="J87" s="332">
        <v>0</v>
      </c>
      <c r="K87" s="329" t="str">
        <f t="shared" si="38"/>
        <v>n/a</v>
      </c>
      <c r="L87" s="329"/>
      <c r="M87" s="332">
        <f t="shared" si="39"/>
        <v>0</v>
      </c>
      <c r="N87" s="332">
        <v>0</v>
      </c>
      <c r="O87" s="329" t="str">
        <f t="shared" si="40"/>
        <v>n/a</v>
      </c>
      <c r="P87" s="332">
        <f t="shared" si="41"/>
        <v>0</v>
      </c>
      <c r="Q87" s="332">
        <f t="shared" si="42"/>
        <v>0</v>
      </c>
      <c r="T87" s="288">
        <f t="shared" si="28"/>
        <v>0</v>
      </c>
      <c r="V87" s="295" t="str">
        <f t="shared" si="29"/>
        <v>OK</v>
      </c>
    </row>
    <row r="88" spans="1:26" s="8" customFormat="1" ht="28.5" x14ac:dyDescent="0.2">
      <c r="A88" s="414" t="s">
        <v>207</v>
      </c>
      <c r="B88" s="414"/>
      <c r="C88" s="414"/>
      <c r="D88" s="414"/>
      <c r="E88" s="414"/>
      <c r="F88" s="414"/>
      <c r="G88" s="414"/>
      <c r="H88" s="414"/>
      <c r="I88" s="414"/>
      <c r="J88" s="414"/>
      <c r="K88" s="414"/>
      <c r="L88" s="414"/>
      <c r="M88" s="414"/>
      <c r="N88" s="414"/>
      <c r="O88" s="414"/>
      <c r="P88" s="414"/>
      <c r="Q88" s="414"/>
      <c r="T88" s="288">
        <f t="shared" si="28"/>
        <v>0</v>
      </c>
      <c r="V88" s="295" t="str">
        <f t="shared" si="29"/>
        <v>OK</v>
      </c>
    </row>
    <row r="89" spans="1:26" s="8" customFormat="1" ht="46.5" x14ac:dyDescent="0.2">
      <c r="A89" s="89">
        <v>52</v>
      </c>
      <c r="B89" s="89" t="s">
        <v>7</v>
      </c>
      <c r="C89" s="71" t="s">
        <v>78</v>
      </c>
      <c r="D89" s="91" t="s">
        <v>128</v>
      </c>
      <c r="E89" s="332">
        <v>277032428</v>
      </c>
      <c r="F89" s="108"/>
      <c r="G89" s="332">
        <v>72852630</v>
      </c>
      <c r="H89" s="332">
        <v>14363011</v>
      </c>
      <c r="I89" s="331">
        <v>0.75</v>
      </c>
      <c r="J89" s="332">
        <f>174790578.26</f>
        <v>174790578.25999999</v>
      </c>
      <c r="K89" s="329">
        <f>IFERROR(J89/G89,"n/a")</f>
        <v>2.3992349797117822</v>
      </c>
      <c r="L89" s="329"/>
      <c r="M89" s="332">
        <f>IF(N89-J89&lt;0,0,N89-J89)</f>
        <v>6489777.1129409969</v>
      </c>
      <c r="N89" s="332">
        <f>186894972.552941-5614617.18</f>
        <v>181280355.37294099</v>
      </c>
      <c r="O89" s="329">
        <f>IFERROR(N89/G89,"n/a")</f>
        <v>2.4883158696253105</v>
      </c>
      <c r="P89" s="332">
        <f>IFERROR(N89-(G89*I89),"n/a")</f>
        <v>126640882.87294099</v>
      </c>
      <c r="Q89" s="332">
        <f>IFERROR(N89-(G89*0.65),"n/a")</f>
        <v>133926145.87294099</v>
      </c>
      <c r="T89" s="288">
        <f t="shared" si="28"/>
        <v>6489777.1129409969</v>
      </c>
      <c r="V89" s="295" t="str">
        <f t="shared" si="29"/>
        <v>OK</v>
      </c>
    </row>
    <row r="90" spans="1:26" s="8" customFormat="1" ht="28.5" x14ac:dyDescent="0.2">
      <c r="A90" s="414" t="s">
        <v>208</v>
      </c>
      <c r="B90" s="414"/>
      <c r="C90" s="414"/>
      <c r="D90" s="414"/>
      <c r="E90" s="414"/>
      <c r="F90" s="414"/>
      <c r="G90" s="414"/>
      <c r="H90" s="414"/>
      <c r="I90" s="414"/>
      <c r="J90" s="414"/>
      <c r="K90" s="414"/>
      <c r="L90" s="414"/>
      <c r="M90" s="414"/>
      <c r="N90" s="414"/>
      <c r="O90" s="414"/>
      <c r="P90" s="414"/>
      <c r="Q90" s="414"/>
      <c r="T90" s="288">
        <f t="shared" si="28"/>
        <v>0</v>
      </c>
      <c r="V90" s="295" t="str">
        <f t="shared" si="29"/>
        <v>OK</v>
      </c>
    </row>
    <row r="91" spans="1:26" s="8" customFormat="1" ht="46.5" x14ac:dyDescent="0.2">
      <c r="A91" s="89">
        <v>55</v>
      </c>
      <c r="B91" s="89" t="s">
        <v>7</v>
      </c>
      <c r="C91" s="71" t="s">
        <v>69</v>
      </c>
      <c r="D91" s="91" t="s">
        <v>133</v>
      </c>
      <c r="E91" s="332">
        <v>105073678</v>
      </c>
      <c r="F91" s="108"/>
      <c r="G91" s="332">
        <v>33802200</v>
      </c>
      <c r="H91" s="332">
        <v>5525477.0040577287</v>
      </c>
      <c r="I91" s="331">
        <v>0.75</v>
      </c>
      <c r="J91" s="332">
        <v>23426439.659999996</v>
      </c>
      <c r="K91" s="329">
        <f t="shared" ref="K91:K99" si="43">IFERROR(J91/G91,"n/a")</f>
        <v>0.69304482134298939</v>
      </c>
      <c r="L91" s="329"/>
      <c r="M91" s="332">
        <f t="shared" ref="M91:M99" si="44">IF(N91-J91&lt;0,0,N91-J91)</f>
        <v>7357918.7830379754</v>
      </c>
      <c r="N91" s="332">
        <v>30784358.443037972</v>
      </c>
      <c r="O91" s="329">
        <f t="shared" ref="O91:O99" si="45">IFERROR(N91/G91,"n/a")</f>
        <v>0.9107205579233888</v>
      </c>
      <c r="P91" s="332">
        <f t="shared" ref="P91:P99" si="46">IFERROR(N91-(G91*I91),"n/a")</f>
        <v>5432708.4430379719</v>
      </c>
      <c r="Q91" s="332">
        <f t="shared" ref="Q91:Q99" si="47">IFERROR(N91-(G91*0.65),"n/a")</f>
        <v>8812928.4430379719</v>
      </c>
      <c r="T91" s="288">
        <f t="shared" si="28"/>
        <v>7357918.7830379754</v>
      </c>
      <c r="V91" s="295" t="str">
        <f t="shared" si="29"/>
        <v>OK</v>
      </c>
    </row>
    <row r="92" spans="1:26" s="8" customFormat="1" ht="69.75" x14ac:dyDescent="0.2">
      <c r="A92" s="89">
        <v>58</v>
      </c>
      <c r="B92" s="89" t="s">
        <v>7</v>
      </c>
      <c r="C92" s="71" t="s">
        <v>70</v>
      </c>
      <c r="D92" s="91" t="s">
        <v>133</v>
      </c>
      <c r="E92" s="332">
        <v>23049010</v>
      </c>
      <c r="F92" s="108"/>
      <c r="G92" s="332">
        <v>2000000</v>
      </c>
      <c r="H92" s="332">
        <v>710524.46285737387</v>
      </c>
      <c r="I92" s="331">
        <v>0.75</v>
      </c>
      <c r="J92" s="332">
        <v>32450</v>
      </c>
      <c r="K92" s="329">
        <f t="shared" si="43"/>
        <v>1.6225E-2</v>
      </c>
      <c r="L92" s="329"/>
      <c r="M92" s="332">
        <f t="shared" si="44"/>
        <v>423658.39130434778</v>
      </c>
      <c r="N92" s="332">
        <v>456108.39130434778</v>
      </c>
      <c r="O92" s="329">
        <f t="shared" si="45"/>
        <v>0.22805419565217389</v>
      </c>
      <c r="P92" s="332">
        <f t="shared" si="46"/>
        <v>-1043891.6086956522</v>
      </c>
      <c r="Q92" s="332">
        <f t="shared" si="47"/>
        <v>-843891.60869565222</v>
      </c>
      <c r="T92" s="288">
        <f t="shared" si="28"/>
        <v>423658.39130434778</v>
      </c>
      <c r="V92" s="295" t="str">
        <f t="shared" si="29"/>
        <v>OK</v>
      </c>
    </row>
    <row r="93" spans="1:26" s="8" customFormat="1" ht="69.75" x14ac:dyDescent="0.2">
      <c r="A93" s="89">
        <v>56</v>
      </c>
      <c r="B93" s="89" t="s">
        <v>7</v>
      </c>
      <c r="C93" s="71" t="s">
        <v>71</v>
      </c>
      <c r="D93" s="91" t="s">
        <v>133</v>
      </c>
      <c r="E93" s="332">
        <v>88364076</v>
      </c>
      <c r="F93" s="108"/>
      <c r="G93" s="332">
        <v>24085192</v>
      </c>
      <c r="H93" s="332">
        <v>4646774.3627410103</v>
      </c>
      <c r="I93" s="331">
        <v>0.75</v>
      </c>
      <c r="J93" s="332">
        <v>9575540.1799999997</v>
      </c>
      <c r="K93" s="329">
        <f t="shared" si="43"/>
        <v>0.39756960127201807</v>
      </c>
      <c r="L93" s="329"/>
      <c r="M93" s="332">
        <f t="shared" si="44"/>
        <v>2500000.0082352944</v>
      </c>
      <c r="N93" s="332">
        <v>12075540.188235294</v>
      </c>
      <c r="O93" s="329">
        <f t="shared" si="45"/>
        <v>0.5013678192075568</v>
      </c>
      <c r="P93" s="332">
        <f t="shared" si="46"/>
        <v>-5988353.8117647059</v>
      </c>
      <c r="Q93" s="332">
        <f t="shared" si="47"/>
        <v>-3579834.6117647067</v>
      </c>
      <c r="T93" s="288">
        <f t="shared" si="28"/>
        <v>2500000.0082352944</v>
      </c>
      <c r="V93" s="295" t="str">
        <f t="shared" si="29"/>
        <v>OK</v>
      </c>
    </row>
    <row r="94" spans="1:26" s="8" customFormat="1" ht="69.75" x14ac:dyDescent="0.2">
      <c r="A94" s="89">
        <v>59</v>
      </c>
      <c r="B94" s="89" t="s">
        <v>7</v>
      </c>
      <c r="C94" s="71" t="s">
        <v>72</v>
      </c>
      <c r="D94" s="91" t="s">
        <v>133</v>
      </c>
      <c r="E94" s="332">
        <v>8345106</v>
      </c>
      <c r="F94" s="108"/>
      <c r="G94" s="332">
        <v>0</v>
      </c>
      <c r="H94" s="332">
        <v>438842</v>
      </c>
      <c r="I94" s="331">
        <v>0.75</v>
      </c>
      <c r="J94" s="332">
        <v>0</v>
      </c>
      <c r="K94" s="329" t="str">
        <f t="shared" si="43"/>
        <v>n/a</v>
      </c>
      <c r="L94" s="329"/>
      <c r="M94" s="332">
        <f t="shared" si="44"/>
        <v>0</v>
      </c>
      <c r="N94" s="332">
        <v>0</v>
      </c>
      <c r="O94" s="329" t="str">
        <f t="shared" si="45"/>
        <v>n/a</v>
      </c>
      <c r="P94" s="332">
        <f t="shared" si="46"/>
        <v>0</v>
      </c>
      <c r="Q94" s="332">
        <f t="shared" si="47"/>
        <v>0</v>
      </c>
      <c r="T94" s="288">
        <f t="shared" si="28"/>
        <v>0</v>
      </c>
      <c r="V94" s="295" t="str">
        <f t="shared" si="29"/>
        <v>OK</v>
      </c>
    </row>
    <row r="95" spans="1:26" s="8" customFormat="1" ht="93" x14ac:dyDescent="0.2">
      <c r="A95" s="89">
        <v>57</v>
      </c>
      <c r="B95" s="89" t="s">
        <v>7</v>
      </c>
      <c r="C95" s="71" t="s">
        <v>73</v>
      </c>
      <c r="D95" s="91" t="s">
        <v>133</v>
      </c>
      <c r="E95" s="332">
        <v>28235294</v>
      </c>
      <c r="F95" s="108"/>
      <c r="G95" s="332">
        <v>5170932</v>
      </c>
      <c r="H95" s="332">
        <v>1484802.3639075528</v>
      </c>
      <c r="I95" s="331">
        <v>0.75</v>
      </c>
      <c r="J95" s="332">
        <v>547434.86</v>
      </c>
      <c r="K95" s="329">
        <f t="shared" si="43"/>
        <v>0.10586773525546266</v>
      </c>
      <c r="L95" s="329"/>
      <c r="M95" s="332">
        <f t="shared" si="44"/>
        <v>137309.54588235298</v>
      </c>
      <c r="N95" s="332">
        <v>684744.40588235296</v>
      </c>
      <c r="O95" s="329">
        <f t="shared" si="45"/>
        <v>0.13242185468351797</v>
      </c>
      <c r="P95" s="332">
        <f t="shared" si="46"/>
        <v>-3193454.594117647</v>
      </c>
      <c r="Q95" s="332">
        <f t="shared" si="47"/>
        <v>-2676361.3941176473</v>
      </c>
      <c r="T95" s="288">
        <f t="shared" ref="T95:T158" si="48">N95-J95</f>
        <v>137309.54588235298</v>
      </c>
      <c r="V95" s="295" t="str">
        <f t="shared" ref="V95:V158" si="49">IF(J95&gt;N95,"Nav labi","OK")</f>
        <v>OK</v>
      </c>
    </row>
    <row r="96" spans="1:26" s="8" customFormat="1" ht="69.75" x14ac:dyDescent="0.2">
      <c r="A96" s="89">
        <v>60</v>
      </c>
      <c r="B96" s="89" t="s">
        <v>7</v>
      </c>
      <c r="C96" s="71" t="s">
        <v>74</v>
      </c>
      <c r="D96" s="91" t="s">
        <v>133</v>
      </c>
      <c r="E96" s="332">
        <v>51570514</v>
      </c>
      <c r="F96" s="108"/>
      <c r="G96" s="332">
        <v>6554146</v>
      </c>
      <c r="H96" s="332">
        <v>2778862.1693609911</v>
      </c>
      <c r="I96" s="331">
        <v>0.75</v>
      </c>
      <c r="J96" s="332">
        <v>17334063.210000001</v>
      </c>
      <c r="K96" s="329">
        <f t="shared" si="43"/>
        <v>2.644747799331904</v>
      </c>
      <c r="L96" s="329"/>
      <c r="M96" s="332">
        <f t="shared" si="44"/>
        <v>2700944.1324657537</v>
      </c>
      <c r="N96" s="332">
        <v>20035007.342465755</v>
      </c>
      <c r="O96" s="329">
        <f t="shared" si="45"/>
        <v>3.05684483416539</v>
      </c>
      <c r="P96" s="332">
        <f t="shared" si="46"/>
        <v>15119397.842465755</v>
      </c>
      <c r="Q96" s="332">
        <f t="shared" si="47"/>
        <v>15774812.442465754</v>
      </c>
      <c r="T96" s="288">
        <f t="shared" si="48"/>
        <v>2700944.1324657537</v>
      </c>
      <c r="V96" s="295" t="str">
        <f t="shared" si="49"/>
        <v>OK</v>
      </c>
    </row>
    <row r="97" spans="1:30" s="8" customFormat="1" ht="46.5" x14ac:dyDescent="0.2">
      <c r="A97" s="89">
        <v>61</v>
      </c>
      <c r="B97" s="89" t="s">
        <v>7</v>
      </c>
      <c r="C97" s="71" t="s">
        <v>75</v>
      </c>
      <c r="D97" s="91" t="s">
        <v>133</v>
      </c>
      <c r="E97" s="332">
        <v>256999769</v>
      </c>
      <c r="F97" s="108"/>
      <c r="G97" s="332">
        <v>197688520</v>
      </c>
      <c r="H97" s="332">
        <v>13514767.514866358</v>
      </c>
      <c r="I97" s="331">
        <v>0.75</v>
      </c>
      <c r="J97" s="332">
        <f>205154109.94</f>
        <v>205154109.94</v>
      </c>
      <c r="K97" s="329">
        <f t="shared" si="43"/>
        <v>1.0377644080698263</v>
      </c>
      <c r="L97" s="329"/>
      <c r="M97" s="332">
        <f t="shared" si="44"/>
        <v>6222693.6835290194</v>
      </c>
      <c r="N97" s="332">
        <f>213857629.223529-2480825.6</f>
        <v>211376803.62352902</v>
      </c>
      <c r="O97" s="329">
        <f t="shared" si="45"/>
        <v>1.0692416718154854</v>
      </c>
      <c r="P97" s="332">
        <f t="shared" si="46"/>
        <v>63110413.623529017</v>
      </c>
      <c r="Q97" s="332">
        <f t="shared" si="47"/>
        <v>82879265.623529017</v>
      </c>
      <c r="T97" s="288">
        <f t="shared" si="48"/>
        <v>6222693.6835290194</v>
      </c>
      <c r="V97" s="295" t="str">
        <f t="shared" si="49"/>
        <v>OK</v>
      </c>
    </row>
    <row r="98" spans="1:30" s="8" customFormat="1" ht="46.5" x14ac:dyDescent="0.2">
      <c r="A98" s="89">
        <v>53</v>
      </c>
      <c r="B98" s="89" t="s">
        <v>7</v>
      </c>
      <c r="C98" s="71" t="s">
        <v>76</v>
      </c>
      <c r="D98" s="91" t="s">
        <v>133</v>
      </c>
      <c r="E98" s="332">
        <v>407810998</v>
      </c>
      <c r="F98" s="108"/>
      <c r="G98" s="332">
        <v>0</v>
      </c>
      <c r="H98" s="332">
        <v>28082986</v>
      </c>
      <c r="I98" s="331">
        <v>0.75</v>
      </c>
      <c r="J98" s="332">
        <v>0</v>
      </c>
      <c r="K98" s="329" t="str">
        <f t="shared" si="43"/>
        <v>n/a</v>
      </c>
      <c r="L98" s="329"/>
      <c r="M98" s="332">
        <f t="shared" si="44"/>
        <v>0</v>
      </c>
      <c r="N98" s="332">
        <v>0</v>
      </c>
      <c r="O98" s="329" t="str">
        <f t="shared" si="45"/>
        <v>n/a</v>
      </c>
      <c r="P98" s="332">
        <f t="shared" si="46"/>
        <v>0</v>
      </c>
      <c r="Q98" s="332">
        <f t="shared" si="47"/>
        <v>0</v>
      </c>
      <c r="T98" s="288">
        <f t="shared" si="48"/>
        <v>0</v>
      </c>
      <c r="V98" s="295" t="str">
        <f t="shared" si="49"/>
        <v>OK</v>
      </c>
    </row>
    <row r="99" spans="1:30" s="8" customFormat="1" ht="46.5" x14ac:dyDescent="0.2">
      <c r="A99" s="89">
        <v>54</v>
      </c>
      <c r="B99" s="89" t="s">
        <v>7</v>
      </c>
      <c r="C99" s="71" t="s">
        <v>77</v>
      </c>
      <c r="D99" s="91" t="s">
        <v>133</v>
      </c>
      <c r="E99" s="332">
        <v>126221198</v>
      </c>
      <c r="F99" s="108"/>
      <c r="G99" s="332">
        <v>36847633</v>
      </c>
      <c r="H99" s="332">
        <v>0</v>
      </c>
      <c r="I99" s="331">
        <v>0.75</v>
      </c>
      <c r="J99" s="332">
        <v>0</v>
      </c>
      <c r="K99" s="329">
        <f t="shared" si="43"/>
        <v>0</v>
      </c>
      <c r="L99" s="329"/>
      <c r="M99" s="332">
        <f t="shared" si="44"/>
        <v>0</v>
      </c>
      <c r="N99" s="332">
        <v>0</v>
      </c>
      <c r="O99" s="329">
        <f t="shared" si="45"/>
        <v>0</v>
      </c>
      <c r="P99" s="332">
        <f t="shared" si="46"/>
        <v>-27635724.75</v>
      </c>
      <c r="Q99" s="332">
        <f t="shared" si="47"/>
        <v>-23950961.449999999</v>
      </c>
      <c r="T99" s="288">
        <f t="shared" si="48"/>
        <v>0</v>
      </c>
      <c r="V99" s="295" t="str">
        <f t="shared" si="49"/>
        <v>OK</v>
      </c>
    </row>
    <row r="100" spans="1:30" s="8" customFormat="1" ht="28.5" x14ac:dyDescent="0.2">
      <c r="A100" s="414" t="s">
        <v>209</v>
      </c>
      <c r="B100" s="414"/>
      <c r="C100" s="414"/>
      <c r="D100" s="414"/>
      <c r="E100" s="414"/>
      <c r="F100" s="414"/>
      <c r="G100" s="414"/>
      <c r="H100" s="414"/>
      <c r="I100" s="414"/>
      <c r="J100" s="414"/>
      <c r="K100" s="414"/>
      <c r="L100" s="414"/>
      <c r="M100" s="414"/>
      <c r="N100" s="414"/>
      <c r="O100" s="414"/>
      <c r="P100" s="414"/>
      <c r="Q100" s="414"/>
      <c r="T100" s="288">
        <f t="shared" si="48"/>
        <v>0</v>
      </c>
      <c r="V100" s="295" t="str">
        <f t="shared" si="49"/>
        <v>OK</v>
      </c>
    </row>
    <row r="101" spans="1:30" s="8" customFormat="1" ht="69.75" x14ac:dyDescent="0.35">
      <c r="A101" s="89">
        <v>69</v>
      </c>
      <c r="B101" s="89" t="s">
        <v>8</v>
      </c>
      <c r="C101" s="71" t="s">
        <v>79</v>
      </c>
      <c r="D101" s="91" t="s">
        <v>137</v>
      </c>
      <c r="E101" s="332">
        <v>96428049</v>
      </c>
      <c r="F101" s="108"/>
      <c r="G101" s="332">
        <v>43496163</v>
      </c>
      <c r="H101" s="332">
        <v>4203913</v>
      </c>
      <c r="I101" s="331">
        <v>0.85</v>
      </c>
      <c r="J101" s="332">
        <v>49907778.609999992</v>
      </c>
      <c r="K101" s="329">
        <f t="shared" ref="K101:K108" si="50">IFERROR(J101/G101,"n/a")</f>
        <v>1.1474064645656215</v>
      </c>
      <c r="L101" s="329"/>
      <c r="M101" s="332">
        <f t="shared" ref="M101:M108" si="51">IF(N101-J101&lt;0,0,N101-J101)</f>
        <v>0</v>
      </c>
      <c r="N101" s="332">
        <v>49526561.635294124</v>
      </c>
      <c r="O101" s="329">
        <f t="shared" ref="O101:O108" si="52">IFERROR(N101/G101,"n/a")</f>
        <v>1.1386420828727841</v>
      </c>
      <c r="P101" s="332">
        <f t="shared" ref="P101:P108" si="53">IFERROR(N101-(G101*I101),"n/a")</f>
        <v>12554823.085294127</v>
      </c>
      <c r="Q101" s="332">
        <f t="shared" ref="Q101:Q108" si="54">IFERROR(N101-(G101*0.65),"n/a")</f>
        <v>21254055.685294125</v>
      </c>
      <c r="R101" s="34"/>
      <c r="T101" s="288">
        <f t="shared" si="48"/>
        <v>-381216.97470586747</v>
      </c>
      <c r="V101" s="295" t="str">
        <f t="shared" si="49"/>
        <v>Nav labi</v>
      </c>
      <c r="X101" s="36"/>
    </row>
    <row r="102" spans="1:30" s="8" customFormat="1" ht="46.5" x14ac:dyDescent="0.35">
      <c r="A102" s="89">
        <v>67</v>
      </c>
      <c r="B102" s="89" t="s">
        <v>8</v>
      </c>
      <c r="C102" s="71" t="s">
        <v>80</v>
      </c>
      <c r="D102" s="91" t="s">
        <v>137</v>
      </c>
      <c r="E102" s="332">
        <v>591250</v>
      </c>
      <c r="F102" s="108"/>
      <c r="G102" s="332">
        <v>256935</v>
      </c>
      <c r="H102" s="332">
        <v>0</v>
      </c>
      <c r="I102" s="331">
        <v>0.85</v>
      </c>
      <c r="J102" s="332">
        <v>301882.82999999996</v>
      </c>
      <c r="K102" s="329">
        <f t="shared" si="50"/>
        <v>1.1749385253079572</v>
      </c>
      <c r="L102" s="329"/>
      <c r="M102" s="332">
        <f t="shared" si="51"/>
        <v>18397.028823529487</v>
      </c>
      <c r="N102" s="332">
        <v>320279.85882352944</v>
      </c>
      <c r="O102" s="329">
        <f t="shared" si="52"/>
        <v>1.2465404044740087</v>
      </c>
      <c r="P102" s="332">
        <f t="shared" si="53"/>
        <v>101885.10882352944</v>
      </c>
      <c r="Q102" s="332">
        <f t="shared" si="54"/>
        <v>153272.10882352944</v>
      </c>
      <c r="R102" s="34"/>
      <c r="T102" s="288">
        <f t="shared" si="48"/>
        <v>18397.028823529487</v>
      </c>
      <c r="V102" s="295" t="str">
        <f t="shared" si="49"/>
        <v>OK</v>
      </c>
      <c r="X102" s="36"/>
    </row>
    <row r="103" spans="1:30" s="8" customFormat="1" ht="93" x14ac:dyDescent="0.35">
      <c r="A103" s="89">
        <v>68</v>
      </c>
      <c r="B103" s="89" t="s">
        <v>8</v>
      </c>
      <c r="C103" s="71" t="s">
        <v>81</v>
      </c>
      <c r="D103" s="91" t="s">
        <v>137</v>
      </c>
      <c r="E103" s="332">
        <v>1400770</v>
      </c>
      <c r="F103" s="108"/>
      <c r="G103" s="332">
        <v>648614</v>
      </c>
      <c r="H103" s="332">
        <v>0</v>
      </c>
      <c r="I103" s="331">
        <v>0.85</v>
      </c>
      <c r="J103" s="332">
        <v>947691.33000000007</v>
      </c>
      <c r="K103" s="329">
        <f t="shared" si="50"/>
        <v>1.4611021809581664</v>
      </c>
      <c r="L103" s="329"/>
      <c r="M103" s="332">
        <f t="shared" si="51"/>
        <v>314.97588235302828</v>
      </c>
      <c r="N103" s="332">
        <v>948006.3058823531</v>
      </c>
      <c r="O103" s="329">
        <f t="shared" si="52"/>
        <v>1.4615877947166622</v>
      </c>
      <c r="P103" s="332">
        <f t="shared" si="53"/>
        <v>396684.40588235308</v>
      </c>
      <c r="Q103" s="332">
        <f t="shared" si="54"/>
        <v>526407.20588235301</v>
      </c>
      <c r="R103" s="34"/>
      <c r="T103" s="288">
        <f t="shared" si="48"/>
        <v>314.97588235302828</v>
      </c>
      <c r="V103" s="295" t="str">
        <f t="shared" si="49"/>
        <v>OK</v>
      </c>
      <c r="X103" s="36"/>
    </row>
    <row r="104" spans="1:30" s="8" customFormat="1" ht="116.25" x14ac:dyDescent="0.35">
      <c r="A104" s="89">
        <v>65</v>
      </c>
      <c r="B104" s="89"/>
      <c r="C104" s="71" t="s">
        <v>164</v>
      </c>
      <c r="D104" s="91" t="s">
        <v>137</v>
      </c>
      <c r="E104" s="332">
        <v>208000</v>
      </c>
      <c r="F104" s="108"/>
      <c r="G104" s="332">
        <v>208000</v>
      </c>
      <c r="H104" s="332">
        <v>0</v>
      </c>
      <c r="I104" s="331">
        <v>0.85</v>
      </c>
      <c r="J104" s="332">
        <v>192471.5</v>
      </c>
      <c r="K104" s="329">
        <f t="shared" si="50"/>
        <v>0.92534375000000002</v>
      </c>
      <c r="L104" s="329"/>
      <c r="M104" s="332">
        <f t="shared" si="51"/>
        <v>2291.4999999701977</v>
      </c>
      <c r="N104" s="332">
        <v>194762.9999999702</v>
      </c>
      <c r="O104" s="329">
        <f t="shared" si="52"/>
        <v>0.93636057692293362</v>
      </c>
      <c r="P104" s="332">
        <f t="shared" si="53"/>
        <v>17962.999999970198</v>
      </c>
      <c r="Q104" s="332">
        <f t="shared" si="54"/>
        <v>59562.999999970198</v>
      </c>
      <c r="R104" s="34"/>
      <c r="T104" s="288">
        <f t="shared" si="48"/>
        <v>2291.4999999701977</v>
      </c>
      <c r="V104" s="295" t="str">
        <f t="shared" si="49"/>
        <v>OK</v>
      </c>
      <c r="W104" s="128"/>
      <c r="X104" s="36"/>
      <c r="Y104" s="128"/>
      <c r="AA104" s="128"/>
      <c r="AB104" s="128"/>
    </row>
    <row r="105" spans="1:30" s="8" customFormat="1" ht="93" x14ac:dyDescent="0.35">
      <c r="A105" s="89">
        <v>64</v>
      </c>
      <c r="B105" s="89"/>
      <c r="C105" s="71" t="s">
        <v>165</v>
      </c>
      <c r="D105" s="91" t="s">
        <v>137</v>
      </c>
      <c r="E105" s="332">
        <v>6812578</v>
      </c>
      <c r="F105" s="108"/>
      <c r="G105" s="332">
        <v>3308896</v>
      </c>
      <c r="H105" s="332">
        <v>0</v>
      </c>
      <c r="I105" s="331">
        <v>0.85</v>
      </c>
      <c r="J105" s="332">
        <v>6786180.6399999987</v>
      </c>
      <c r="K105" s="329">
        <f t="shared" si="50"/>
        <v>2.0508896743808203</v>
      </c>
      <c r="L105" s="329"/>
      <c r="M105" s="332">
        <f t="shared" si="51"/>
        <v>26397.360000001267</v>
      </c>
      <c r="N105" s="332">
        <v>6812578</v>
      </c>
      <c r="O105" s="329">
        <f t="shared" si="52"/>
        <v>2.0588673684515921</v>
      </c>
      <c r="P105" s="332">
        <f t="shared" si="53"/>
        <v>4000016.4</v>
      </c>
      <c r="Q105" s="332">
        <f t="shared" si="54"/>
        <v>4661795.5999999996</v>
      </c>
      <c r="R105" s="34"/>
      <c r="T105" s="288">
        <f t="shared" si="48"/>
        <v>26397.360000001267</v>
      </c>
      <c r="V105" s="295" t="str">
        <f t="shared" si="49"/>
        <v>OK</v>
      </c>
      <c r="W105" s="128"/>
      <c r="X105" s="36"/>
      <c r="Y105" s="128"/>
      <c r="Z105" s="128"/>
      <c r="AA105" s="128"/>
      <c r="AD105" s="7"/>
    </row>
    <row r="106" spans="1:30" s="8" customFormat="1" ht="116.25" x14ac:dyDescent="0.35">
      <c r="A106" s="89">
        <v>66</v>
      </c>
      <c r="B106" s="89" t="s">
        <v>8</v>
      </c>
      <c r="C106" s="71" t="s">
        <v>82</v>
      </c>
      <c r="D106" s="91" t="s">
        <v>137</v>
      </c>
      <c r="E106" s="332">
        <v>3258896</v>
      </c>
      <c r="F106" s="108"/>
      <c r="G106" s="332">
        <v>0</v>
      </c>
      <c r="H106" s="332">
        <v>2770061</v>
      </c>
      <c r="I106" s="331">
        <v>0.85</v>
      </c>
      <c r="J106" s="332">
        <v>0</v>
      </c>
      <c r="K106" s="329" t="str">
        <f t="shared" si="50"/>
        <v>n/a</v>
      </c>
      <c r="L106" s="329"/>
      <c r="M106" s="332">
        <f t="shared" si="51"/>
        <v>0</v>
      </c>
      <c r="N106" s="332">
        <v>0</v>
      </c>
      <c r="O106" s="329" t="str">
        <f t="shared" si="52"/>
        <v>n/a</v>
      </c>
      <c r="P106" s="332">
        <f t="shared" si="53"/>
        <v>0</v>
      </c>
      <c r="Q106" s="332">
        <f t="shared" si="54"/>
        <v>0</v>
      </c>
      <c r="R106" s="34"/>
      <c r="T106" s="288">
        <f t="shared" si="48"/>
        <v>0</v>
      </c>
      <c r="V106" s="295" t="str">
        <f t="shared" si="49"/>
        <v>OK</v>
      </c>
      <c r="X106" s="36"/>
    </row>
    <row r="107" spans="1:30" s="8" customFormat="1" ht="69.75" x14ac:dyDescent="0.35">
      <c r="A107" s="89">
        <v>63</v>
      </c>
      <c r="B107" s="89" t="s">
        <v>8</v>
      </c>
      <c r="C107" s="71" t="s">
        <v>83</v>
      </c>
      <c r="D107" s="91" t="s">
        <v>137</v>
      </c>
      <c r="E107" s="332">
        <v>12643472</v>
      </c>
      <c r="F107" s="108"/>
      <c r="G107" s="332">
        <v>954835</v>
      </c>
      <c r="H107" s="332">
        <v>0</v>
      </c>
      <c r="I107" s="331">
        <v>0.85</v>
      </c>
      <c r="J107" s="332">
        <v>730446.68000000017</v>
      </c>
      <c r="K107" s="329">
        <f t="shared" si="50"/>
        <v>0.76499780590363797</v>
      </c>
      <c r="L107" s="329"/>
      <c r="M107" s="332">
        <f t="shared" si="51"/>
        <v>144110.82588235277</v>
      </c>
      <c r="N107" s="332">
        <v>874557.50588235294</v>
      </c>
      <c r="O107" s="329">
        <f t="shared" si="52"/>
        <v>0.91592527073510388</v>
      </c>
      <c r="P107" s="332">
        <f t="shared" si="53"/>
        <v>62947.75588235294</v>
      </c>
      <c r="Q107" s="332">
        <f t="shared" si="54"/>
        <v>253914.75588235294</v>
      </c>
      <c r="R107" s="34"/>
      <c r="T107" s="288">
        <f t="shared" si="48"/>
        <v>144110.82588235277</v>
      </c>
      <c r="V107" s="295" t="str">
        <f t="shared" si="49"/>
        <v>OK</v>
      </c>
      <c r="X107" s="36"/>
    </row>
    <row r="108" spans="1:30" s="8" customFormat="1" ht="116.25" x14ac:dyDescent="0.35">
      <c r="A108" s="89">
        <v>62</v>
      </c>
      <c r="B108" s="89" t="s">
        <v>8</v>
      </c>
      <c r="C108" s="71" t="s">
        <v>84</v>
      </c>
      <c r="D108" s="91" t="s">
        <v>137</v>
      </c>
      <c r="E108" s="332">
        <v>10596211</v>
      </c>
      <c r="F108" s="108"/>
      <c r="G108" s="332">
        <v>503251</v>
      </c>
      <c r="H108" s="332">
        <v>0</v>
      </c>
      <c r="I108" s="331">
        <v>0.85</v>
      </c>
      <c r="J108" s="332">
        <v>407291.82</v>
      </c>
      <c r="K108" s="329">
        <f t="shared" si="50"/>
        <v>0.80932143204881857</v>
      </c>
      <c r="L108" s="329"/>
      <c r="M108" s="332">
        <f t="shared" si="51"/>
        <v>1622.685882352991</v>
      </c>
      <c r="N108" s="332">
        <v>408914.505882353</v>
      </c>
      <c r="O108" s="329">
        <f t="shared" si="52"/>
        <v>0.8125458387213399</v>
      </c>
      <c r="P108" s="332">
        <f t="shared" si="53"/>
        <v>-18848.844117646979</v>
      </c>
      <c r="Q108" s="332">
        <f t="shared" si="54"/>
        <v>81801.355882352975</v>
      </c>
      <c r="R108" s="34"/>
      <c r="T108" s="288">
        <f t="shared" si="48"/>
        <v>1622.685882352991</v>
      </c>
      <c r="V108" s="295" t="str">
        <f t="shared" si="49"/>
        <v>OK</v>
      </c>
      <c r="X108" s="36"/>
    </row>
    <row r="109" spans="1:30" s="8" customFormat="1" ht="28.5" x14ac:dyDescent="0.35">
      <c r="A109" s="414" t="s">
        <v>210</v>
      </c>
      <c r="B109" s="414"/>
      <c r="C109" s="414"/>
      <c r="D109" s="414"/>
      <c r="E109" s="414"/>
      <c r="F109" s="414"/>
      <c r="G109" s="414"/>
      <c r="H109" s="414"/>
      <c r="I109" s="414"/>
      <c r="J109" s="414"/>
      <c r="K109" s="414"/>
      <c r="L109" s="414"/>
      <c r="M109" s="414"/>
      <c r="N109" s="414"/>
      <c r="O109" s="414"/>
      <c r="P109" s="414"/>
      <c r="Q109" s="414"/>
      <c r="T109" s="288">
        <f t="shared" si="48"/>
        <v>0</v>
      </c>
      <c r="V109" s="295" t="str">
        <f t="shared" si="49"/>
        <v>OK</v>
      </c>
      <c r="X109" s="36"/>
    </row>
    <row r="110" spans="1:30" s="8" customFormat="1" ht="116.25" x14ac:dyDescent="0.35">
      <c r="A110" s="89">
        <v>71</v>
      </c>
      <c r="B110" s="89" t="s">
        <v>8</v>
      </c>
      <c r="C110" s="71" t="s">
        <v>166</v>
      </c>
      <c r="D110" s="91" t="s">
        <v>138</v>
      </c>
      <c r="E110" s="332">
        <v>33769162</v>
      </c>
      <c r="F110" s="108"/>
      <c r="G110" s="332">
        <v>26050171.876714714</v>
      </c>
      <c r="H110" s="332">
        <v>0</v>
      </c>
      <c r="I110" s="331">
        <v>0.85</v>
      </c>
      <c r="J110" s="332">
        <v>35491166.629999995</v>
      </c>
      <c r="K110" s="329">
        <f>IFERROR(J110/G110,"n/a")</f>
        <v>1.3624158334910734</v>
      </c>
      <c r="L110" s="329"/>
      <c r="M110" s="332">
        <f>IF(N110-J110&lt;0,0,N110-J110)</f>
        <v>0</v>
      </c>
      <c r="N110" s="332">
        <v>35119966.357142799</v>
      </c>
      <c r="O110" s="329">
        <f>IFERROR(N110/G110,"n/a")</f>
        <v>1.3481663968802924</v>
      </c>
      <c r="P110" s="332">
        <f>IFERROR(N110-(G110*I110),"n/a")</f>
        <v>12977320.261935294</v>
      </c>
      <c r="Q110" s="332">
        <f>IFERROR(N110-(G110*0.65),"n/a")</f>
        <v>18187354.637278233</v>
      </c>
      <c r="R110" s="36"/>
      <c r="T110" s="288">
        <f t="shared" si="48"/>
        <v>-371200.27285719663</v>
      </c>
      <c r="V110" s="295" t="str">
        <f t="shared" si="49"/>
        <v>Nav labi</v>
      </c>
      <c r="X110" s="36"/>
    </row>
    <row r="111" spans="1:30" s="8" customFormat="1" ht="93" x14ac:dyDescent="0.35">
      <c r="A111" s="89">
        <v>70</v>
      </c>
      <c r="B111" s="89" t="s">
        <v>8</v>
      </c>
      <c r="C111" s="71" t="s">
        <v>167</v>
      </c>
      <c r="D111" s="91" t="s">
        <v>138</v>
      </c>
      <c r="E111" s="332">
        <v>29371641</v>
      </c>
      <c r="F111" s="108"/>
      <c r="G111" s="332">
        <v>22657840.123285286</v>
      </c>
      <c r="H111" s="332">
        <v>0</v>
      </c>
      <c r="I111" s="331">
        <v>0.85</v>
      </c>
      <c r="J111" s="332">
        <v>23852642.75</v>
      </c>
      <c r="K111" s="329">
        <f>IFERROR(J111/G111,"n/a")</f>
        <v>1.052732414926294</v>
      </c>
      <c r="L111" s="329"/>
      <c r="M111" s="332">
        <f>IF(N111-J111&lt;0,0,N111-J111)</f>
        <v>567066.88796899095</v>
      </c>
      <c r="N111" s="332">
        <f>24194899.7130242+224809.924944791</f>
        <v>24419709.637968991</v>
      </c>
      <c r="O111" s="329">
        <f>IFERROR(N111/G111,"n/a")</f>
        <v>1.0777598175773624</v>
      </c>
      <c r="P111" s="332">
        <f>IFERROR(N111-(G111*I111),"n/a")</f>
        <v>5160545.5331764966</v>
      </c>
      <c r="Q111" s="332">
        <f>IFERROR(N111-(G111*0.65),"n/a")</f>
        <v>9692113.5578335542</v>
      </c>
      <c r="T111" s="288">
        <f t="shared" si="48"/>
        <v>567066.88796899095</v>
      </c>
      <c r="V111" s="295" t="str">
        <f t="shared" si="49"/>
        <v>OK</v>
      </c>
      <c r="X111" s="36"/>
    </row>
    <row r="112" spans="1:30" s="8" customFormat="1" ht="28.5" x14ac:dyDescent="0.35">
      <c r="A112" s="414" t="s">
        <v>211</v>
      </c>
      <c r="B112" s="414"/>
      <c r="C112" s="414"/>
      <c r="D112" s="414"/>
      <c r="E112" s="414"/>
      <c r="F112" s="414"/>
      <c r="G112" s="414"/>
      <c r="H112" s="414"/>
      <c r="I112" s="414"/>
      <c r="J112" s="414"/>
      <c r="K112" s="414"/>
      <c r="L112" s="414"/>
      <c r="M112" s="414"/>
      <c r="N112" s="414"/>
      <c r="O112" s="414"/>
      <c r="P112" s="414"/>
      <c r="Q112" s="414"/>
      <c r="T112" s="288">
        <f t="shared" si="48"/>
        <v>0</v>
      </c>
      <c r="V112" s="295" t="str">
        <f t="shared" si="49"/>
        <v>OK</v>
      </c>
      <c r="X112" s="36"/>
    </row>
    <row r="113" spans="1:24" s="8" customFormat="1" ht="69.75" x14ac:dyDescent="0.35">
      <c r="A113" s="89">
        <v>73</v>
      </c>
      <c r="B113" s="89" t="s">
        <v>9</v>
      </c>
      <c r="C113" s="71" t="s">
        <v>85</v>
      </c>
      <c r="D113" s="91" t="s">
        <v>126</v>
      </c>
      <c r="E113" s="332">
        <v>44641656</v>
      </c>
      <c r="F113" s="108"/>
      <c r="G113" s="332">
        <v>11160414</v>
      </c>
      <c r="H113" s="332">
        <v>2314490</v>
      </c>
      <c r="I113" s="331">
        <v>0.85</v>
      </c>
      <c r="J113" s="332">
        <v>8315698.9999999963</v>
      </c>
      <c r="K113" s="329">
        <f>IFERROR(J113/G113,"n/a")</f>
        <v>0.74510667794223373</v>
      </c>
      <c r="L113" s="329"/>
      <c r="M113" s="332">
        <f>IF(N113-J113&lt;0,0,N113-J113)</f>
        <v>2280861.0941176526</v>
      </c>
      <c r="N113" s="332">
        <v>10596560.094117649</v>
      </c>
      <c r="O113" s="329">
        <f>IFERROR(N113/G113,"n/a")</f>
        <v>0.94947733069021001</v>
      </c>
      <c r="P113" s="332">
        <f>IFERROR(N113-(G113*I113),"n/a")</f>
        <v>1110208.1941176485</v>
      </c>
      <c r="Q113" s="332">
        <f>IFERROR(N113-(G113*0.65),"n/a")</f>
        <v>3342290.9941176483</v>
      </c>
      <c r="T113" s="288">
        <f t="shared" si="48"/>
        <v>2280861.0941176526</v>
      </c>
      <c r="V113" s="295" t="str">
        <f t="shared" si="49"/>
        <v>OK</v>
      </c>
      <c r="X113" s="36"/>
    </row>
    <row r="114" spans="1:24" s="8" customFormat="1" ht="69.75" x14ac:dyDescent="0.35">
      <c r="A114" s="89">
        <v>75</v>
      </c>
      <c r="B114" s="89" t="s">
        <v>9</v>
      </c>
      <c r="C114" s="71" t="s">
        <v>86</v>
      </c>
      <c r="D114" s="91" t="s">
        <v>126</v>
      </c>
      <c r="E114" s="332">
        <v>168136850.14364851</v>
      </c>
      <c r="F114" s="108"/>
      <c r="G114" s="332">
        <v>32373977.000000007</v>
      </c>
      <c r="H114" s="332">
        <v>8470217</v>
      </c>
      <c r="I114" s="331">
        <v>0.85</v>
      </c>
      <c r="J114" s="332">
        <v>40301122.729999989</v>
      </c>
      <c r="K114" s="329">
        <f>IFERROR(J114/G114,"n/a")</f>
        <v>1.2448616594124342</v>
      </c>
      <c r="L114" s="329"/>
      <c r="M114" s="332">
        <f>IF(N114-J114&lt;0,0,N114-J114)</f>
        <v>2169179.105873026</v>
      </c>
      <c r="N114" s="332">
        <v>42470301.835873015</v>
      </c>
      <c r="O114" s="329">
        <f>IFERROR(N114/G114,"n/a")</f>
        <v>1.3118654478525453</v>
      </c>
      <c r="P114" s="332">
        <f>IFERROR(N114-(G114*I114),"n/a")</f>
        <v>14952421.385873009</v>
      </c>
      <c r="Q114" s="332">
        <f>IFERROR(N114-(G114*0.65),"n/a")</f>
        <v>21427216.785873011</v>
      </c>
      <c r="T114" s="288">
        <f t="shared" si="48"/>
        <v>2169179.105873026</v>
      </c>
      <c r="V114" s="295" t="str">
        <f t="shared" si="49"/>
        <v>OK</v>
      </c>
      <c r="X114" s="36"/>
    </row>
    <row r="115" spans="1:24" s="27" customFormat="1" ht="93" x14ac:dyDescent="0.35">
      <c r="A115" s="89">
        <v>72</v>
      </c>
      <c r="B115" s="89" t="s">
        <v>9</v>
      </c>
      <c r="C115" s="294" t="s">
        <v>87</v>
      </c>
      <c r="D115" s="91" t="s">
        <v>126</v>
      </c>
      <c r="E115" s="332">
        <v>104224880</v>
      </c>
      <c r="F115" s="108"/>
      <c r="G115" s="332">
        <v>33454181</v>
      </c>
      <c r="H115" s="332">
        <v>5404059.7000000002</v>
      </c>
      <c r="I115" s="331">
        <v>0.85</v>
      </c>
      <c r="J115" s="332">
        <v>17307777.629999992</v>
      </c>
      <c r="K115" s="329">
        <f>IFERROR(J115/G115,"n/a")</f>
        <v>0.51735768482869127</v>
      </c>
      <c r="L115" s="329"/>
      <c r="M115" s="332">
        <f>IF(N115-J115&lt;0,0,N115-J115)</f>
        <v>5141118.4170588292</v>
      </c>
      <c r="N115" s="332">
        <v>22448896.047058821</v>
      </c>
      <c r="O115" s="329">
        <f>IFERROR(N115/G115,"n/a")</f>
        <v>0.67103409427535587</v>
      </c>
      <c r="P115" s="332">
        <f>IFERROR(N115-(G115*I115),"n/a")</f>
        <v>-5987157.802941177</v>
      </c>
      <c r="Q115" s="332">
        <f>IFERROR(N115-(G115*0.65),"n/a")</f>
        <v>703678.39705881849</v>
      </c>
      <c r="T115" s="288">
        <f t="shared" si="48"/>
        <v>5141118.4170588292</v>
      </c>
      <c r="V115" s="295" t="str">
        <f t="shared" si="49"/>
        <v>OK</v>
      </c>
      <c r="X115" s="36"/>
    </row>
    <row r="116" spans="1:24" s="8" customFormat="1" ht="69.75" x14ac:dyDescent="0.35">
      <c r="A116" s="89">
        <v>74</v>
      </c>
      <c r="B116" s="89" t="s">
        <v>9</v>
      </c>
      <c r="C116" s="71" t="s">
        <v>88</v>
      </c>
      <c r="D116" s="91" t="s">
        <v>126</v>
      </c>
      <c r="E116" s="332">
        <v>14185198</v>
      </c>
      <c r="F116" s="108"/>
      <c r="G116" s="332">
        <v>3546300</v>
      </c>
      <c r="H116" s="332">
        <v>735445</v>
      </c>
      <c r="I116" s="331">
        <v>0.85</v>
      </c>
      <c r="J116" s="332">
        <v>3281146.0999999996</v>
      </c>
      <c r="K116" s="329">
        <f>IFERROR(J116/G116,"n/a")</f>
        <v>0.92523083213490109</v>
      </c>
      <c r="L116" s="329"/>
      <c r="M116" s="332">
        <f>IF(N116-J116&lt;0,0,N116-J116)</f>
        <v>324781.88823529426</v>
      </c>
      <c r="N116" s="332">
        <v>3605927.9882352939</v>
      </c>
      <c r="O116" s="329">
        <f>IFERROR(N116/G116,"n/a")</f>
        <v>1.0168141410019722</v>
      </c>
      <c r="P116" s="332">
        <f>IFERROR(N116-(G116*I116),"n/a")</f>
        <v>591572.98823529389</v>
      </c>
      <c r="Q116" s="332">
        <f>IFERROR(N116-(G116*0.65),"n/a")</f>
        <v>1300832.9882352939</v>
      </c>
      <c r="T116" s="288">
        <f t="shared" si="48"/>
        <v>324781.88823529426</v>
      </c>
      <c r="V116" s="295" t="str">
        <f t="shared" si="49"/>
        <v>OK</v>
      </c>
      <c r="X116" s="36"/>
    </row>
    <row r="117" spans="1:24" s="8" customFormat="1" ht="28.5" x14ac:dyDescent="0.35">
      <c r="A117" s="414" t="s">
        <v>212</v>
      </c>
      <c r="B117" s="414"/>
      <c r="C117" s="414"/>
      <c r="D117" s="414"/>
      <c r="E117" s="414"/>
      <c r="F117" s="414"/>
      <c r="G117" s="414"/>
      <c r="H117" s="414"/>
      <c r="I117" s="414"/>
      <c r="J117" s="414"/>
      <c r="K117" s="414"/>
      <c r="L117" s="414"/>
      <c r="M117" s="414"/>
      <c r="N117" s="414"/>
      <c r="O117" s="414"/>
      <c r="P117" s="414"/>
      <c r="Q117" s="414"/>
      <c r="R117" s="26"/>
      <c r="T117" s="288">
        <f t="shared" si="48"/>
        <v>0</v>
      </c>
      <c r="V117" s="295" t="str">
        <f t="shared" si="49"/>
        <v>OK</v>
      </c>
      <c r="X117" s="36"/>
    </row>
    <row r="118" spans="1:24" s="8" customFormat="1" ht="93" x14ac:dyDescent="0.35">
      <c r="A118" s="89">
        <v>86</v>
      </c>
      <c r="B118" s="90" t="s">
        <v>9</v>
      </c>
      <c r="C118" s="71" t="s">
        <v>89</v>
      </c>
      <c r="D118" s="91" t="s">
        <v>139</v>
      </c>
      <c r="E118" s="332">
        <v>10815000</v>
      </c>
      <c r="F118" s="330"/>
      <c r="G118" s="332">
        <v>306783.08034535614</v>
      </c>
      <c r="H118" s="332">
        <v>571654</v>
      </c>
      <c r="I118" s="331">
        <v>0.75</v>
      </c>
      <c r="J118" s="332">
        <v>7694.55</v>
      </c>
      <c r="K118" s="329">
        <f t="shared" ref="K118:K134" si="55">IFERROR(J118/G118,"n/a")</f>
        <v>2.5081402766208565E-2</v>
      </c>
      <c r="L118" s="329"/>
      <c r="M118" s="332">
        <f t="shared" ref="M118:M134" si="56">IF(N118-J118&lt;0,0,N118-J118)</f>
        <v>270530.80294117652</v>
      </c>
      <c r="N118" s="332">
        <v>278225.3529411765</v>
      </c>
      <c r="O118" s="329">
        <f t="shared" ref="O118:O134" si="57">IFERROR(N118/G118,"n/a")</f>
        <v>0.90691231285626561</v>
      </c>
      <c r="P118" s="332">
        <f t="shared" ref="P118:P134" si="58">IFERROR(N118-(G118*I118),"n/a")</f>
        <v>48138.042682159401</v>
      </c>
      <c r="Q118" s="332">
        <f t="shared" ref="Q118:Q134" si="59">IFERROR(N118-(G118*0.65),"n/a")</f>
        <v>78816.350716695015</v>
      </c>
      <c r="R118" s="10"/>
      <c r="T118" s="288">
        <f t="shared" si="48"/>
        <v>270530.80294117652</v>
      </c>
      <c r="V118" s="295" t="str">
        <f t="shared" si="49"/>
        <v>OK</v>
      </c>
      <c r="X118" s="36"/>
    </row>
    <row r="119" spans="1:24" s="8" customFormat="1" ht="116.25" x14ac:dyDescent="0.35">
      <c r="A119" s="89">
        <v>84</v>
      </c>
      <c r="B119" s="90" t="s">
        <v>9</v>
      </c>
      <c r="C119" s="71" t="s">
        <v>90</v>
      </c>
      <c r="D119" s="91" t="s">
        <v>139</v>
      </c>
      <c r="E119" s="332">
        <v>34340686</v>
      </c>
      <c r="F119" s="330"/>
      <c r="G119" s="332">
        <v>613566.16069071228</v>
      </c>
      <c r="H119" s="332">
        <v>1815162</v>
      </c>
      <c r="I119" s="331">
        <v>0.75</v>
      </c>
      <c r="J119" s="332">
        <v>1698.91</v>
      </c>
      <c r="K119" s="329">
        <f t="shared" si="55"/>
        <v>2.7689108507670621E-3</v>
      </c>
      <c r="L119" s="329"/>
      <c r="M119" s="332">
        <f t="shared" si="56"/>
        <v>0</v>
      </c>
      <c r="N119" s="332">
        <v>0</v>
      </c>
      <c r="O119" s="329">
        <f t="shared" si="57"/>
        <v>0</v>
      </c>
      <c r="P119" s="332">
        <f t="shared" si="58"/>
        <v>-460174.62051803421</v>
      </c>
      <c r="Q119" s="332">
        <f t="shared" si="59"/>
        <v>-398818.00444896298</v>
      </c>
      <c r="R119" s="10"/>
      <c r="T119" s="288">
        <f t="shared" si="48"/>
        <v>-1698.91</v>
      </c>
      <c r="V119" s="295" t="str">
        <f t="shared" si="49"/>
        <v>Nav labi</v>
      </c>
      <c r="X119" s="36"/>
    </row>
    <row r="120" spans="1:24" s="8" customFormat="1" ht="93" x14ac:dyDescent="0.35">
      <c r="A120" s="89">
        <v>81</v>
      </c>
      <c r="B120" s="90" t="s">
        <v>9</v>
      </c>
      <c r="C120" s="71" t="s">
        <v>91</v>
      </c>
      <c r="D120" s="91" t="s">
        <v>139</v>
      </c>
      <c r="E120" s="332">
        <v>20000000</v>
      </c>
      <c r="F120" s="330"/>
      <c r="G120" s="332">
        <v>876523.08670101757</v>
      </c>
      <c r="H120" s="332">
        <v>1136067</v>
      </c>
      <c r="I120" s="331">
        <v>0.75</v>
      </c>
      <c r="J120" s="332">
        <v>1910.86</v>
      </c>
      <c r="K120" s="329">
        <f t="shared" si="55"/>
        <v>2.1800452594944544E-3</v>
      </c>
      <c r="L120" s="329"/>
      <c r="M120" s="332">
        <f t="shared" si="56"/>
        <v>0</v>
      </c>
      <c r="N120" s="332">
        <v>0</v>
      </c>
      <c r="O120" s="329">
        <f t="shared" si="57"/>
        <v>0</v>
      </c>
      <c r="P120" s="332">
        <f t="shared" si="58"/>
        <v>-657392.31502576312</v>
      </c>
      <c r="Q120" s="332">
        <f t="shared" si="59"/>
        <v>-569740.00635566143</v>
      </c>
      <c r="R120" s="10"/>
      <c r="T120" s="288">
        <f t="shared" si="48"/>
        <v>-1910.86</v>
      </c>
      <c r="V120" s="296" t="str">
        <f t="shared" si="49"/>
        <v>Nav labi</v>
      </c>
      <c r="X120" s="36"/>
    </row>
    <row r="121" spans="1:24" s="8" customFormat="1" ht="46.5" x14ac:dyDescent="0.35">
      <c r="A121" s="89">
        <v>85</v>
      </c>
      <c r="B121" s="90" t="s">
        <v>9</v>
      </c>
      <c r="C121" s="71" t="s">
        <v>92</v>
      </c>
      <c r="D121" s="91" t="s">
        <v>139</v>
      </c>
      <c r="E121" s="332">
        <v>1500000</v>
      </c>
      <c r="F121" s="330"/>
      <c r="G121" s="332">
        <v>1051827.7040412212</v>
      </c>
      <c r="H121" s="332">
        <v>0</v>
      </c>
      <c r="I121" s="331">
        <v>0.75</v>
      </c>
      <c r="J121" s="332">
        <v>872980.70999999985</v>
      </c>
      <c r="K121" s="329">
        <f t="shared" si="55"/>
        <v>0.82996550351918441</v>
      </c>
      <c r="L121" s="329"/>
      <c r="M121" s="332">
        <f t="shared" si="56"/>
        <v>0</v>
      </c>
      <c r="N121" s="332">
        <v>785170.36470588238</v>
      </c>
      <c r="O121" s="329">
        <f t="shared" si="57"/>
        <v>0.7464819206502965</v>
      </c>
      <c r="P121" s="332">
        <f t="shared" si="58"/>
        <v>-3700.4133250334999</v>
      </c>
      <c r="Q121" s="332">
        <f t="shared" si="59"/>
        <v>101482.35707908857</v>
      </c>
      <c r="R121" s="10"/>
      <c r="T121" s="288">
        <f t="shared" si="48"/>
        <v>-87810.345294117462</v>
      </c>
      <c r="V121" s="295" t="str">
        <f t="shared" si="49"/>
        <v>Nav labi</v>
      </c>
      <c r="X121" s="36"/>
    </row>
    <row r="122" spans="1:24" s="8" customFormat="1" ht="93" x14ac:dyDescent="0.35">
      <c r="A122" s="89">
        <v>92</v>
      </c>
      <c r="B122" s="90" t="s">
        <v>9</v>
      </c>
      <c r="C122" s="71" t="s">
        <v>93</v>
      </c>
      <c r="D122" s="91" t="s">
        <v>139</v>
      </c>
      <c r="E122" s="332">
        <v>13960884</v>
      </c>
      <c r="F122" s="330"/>
      <c r="G122" s="332">
        <v>5090334</v>
      </c>
      <c r="H122" s="332">
        <v>0</v>
      </c>
      <c r="I122" s="331">
        <v>0.75</v>
      </c>
      <c r="J122" s="332">
        <v>6500767.1600000011</v>
      </c>
      <c r="K122" s="329">
        <f t="shared" si="55"/>
        <v>1.2770806709343632</v>
      </c>
      <c r="L122" s="329"/>
      <c r="M122" s="332">
        <f t="shared" si="56"/>
        <v>5.2282352931797504</v>
      </c>
      <c r="N122" s="332">
        <v>6500772.3882352943</v>
      </c>
      <c r="O122" s="329">
        <f t="shared" si="57"/>
        <v>1.2770816980251776</v>
      </c>
      <c r="P122" s="332">
        <f t="shared" si="58"/>
        <v>2683021.8882352943</v>
      </c>
      <c r="Q122" s="332">
        <f t="shared" si="59"/>
        <v>3192055.2882352942</v>
      </c>
      <c r="T122" s="288">
        <f t="shared" si="48"/>
        <v>5.2282352931797504</v>
      </c>
      <c r="V122" s="295" t="str">
        <f t="shared" si="49"/>
        <v>OK</v>
      </c>
      <c r="X122" s="36"/>
    </row>
    <row r="123" spans="1:24" s="8" customFormat="1" ht="69.75" x14ac:dyDescent="0.35">
      <c r="A123" s="89">
        <v>82</v>
      </c>
      <c r="B123" s="90" t="s">
        <v>9</v>
      </c>
      <c r="C123" s="71" t="s">
        <v>94</v>
      </c>
      <c r="D123" s="91" t="s">
        <v>139</v>
      </c>
      <c r="E123" s="332">
        <v>4221188</v>
      </c>
      <c r="F123" s="330"/>
      <c r="G123" s="332">
        <v>593149.30843218556</v>
      </c>
      <c r="H123" s="332">
        <v>961286</v>
      </c>
      <c r="I123" s="331">
        <v>0.75</v>
      </c>
      <c r="J123" s="332">
        <v>0</v>
      </c>
      <c r="K123" s="329">
        <f t="shared" si="55"/>
        <v>0</v>
      </c>
      <c r="L123" s="329"/>
      <c r="M123" s="332">
        <f t="shared" si="56"/>
        <v>0</v>
      </c>
      <c r="N123" s="332">
        <v>0</v>
      </c>
      <c r="O123" s="329">
        <f t="shared" si="57"/>
        <v>0</v>
      </c>
      <c r="P123" s="332">
        <f t="shared" si="58"/>
        <v>-444861.98132413917</v>
      </c>
      <c r="Q123" s="332">
        <f t="shared" si="59"/>
        <v>-385547.05048092065</v>
      </c>
      <c r="R123" s="10"/>
      <c r="T123" s="288">
        <f t="shared" si="48"/>
        <v>0</v>
      </c>
      <c r="V123" s="295" t="str">
        <f t="shared" si="49"/>
        <v>OK</v>
      </c>
      <c r="X123" s="36"/>
    </row>
    <row r="124" spans="1:24" s="8" customFormat="1" ht="46.5" x14ac:dyDescent="0.35">
      <c r="A124" s="89">
        <v>88</v>
      </c>
      <c r="B124" s="90" t="s">
        <v>9</v>
      </c>
      <c r="C124" s="71" t="s">
        <v>95</v>
      </c>
      <c r="D124" s="91" t="s">
        <v>139</v>
      </c>
      <c r="E124" s="332">
        <v>3287350</v>
      </c>
      <c r="F124" s="330"/>
      <c r="G124" s="332">
        <v>864430.57419689035</v>
      </c>
      <c r="H124" s="330">
        <v>0</v>
      </c>
      <c r="I124" s="331">
        <v>0.75</v>
      </c>
      <c r="J124" s="332">
        <v>1092528.58</v>
      </c>
      <c r="K124" s="329">
        <f t="shared" si="55"/>
        <v>1.2638708215694787</v>
      </c>
      <c r="L124" s="329"/>
      <c r="M124" s="332">
        <f t="shared" si="56"/>
        <v>826.54941176460125</v>
      </c>
      <c r="N124" s="332">
        <v>1093355.1294117647</v>
      </c>
      <c r="O124" s="329">
        <f t="shared" si="57"/>
        <v>1.2648269994702113</v>
      </c>
      <c r="P124" s="332">
        <f t="shared" si="58"/>
        <v>445032.19876409695</v>
      </c>
      <c r="Q124" s="332">
        <f t="shared" si="59"/>
        <v>531475.25618378597</v>
      </c>
      <c r="R124" s="10"/>
      <c r="T124" s="288">
        <f t="shared" si="48"/>
        <v>826.54941176460125</v>
      </c>
      <c r="V124" s="295" t="str">
        <f t="shared" si="49"/>
        <v>OK</v>
      </c>
      <c r="X124" s="36"/>
    </row>
    <row r="125" spans="1:24" s="8" customFormat="1" ht="69.75" x14ac:dyDescent="0.35">
      <c r="A125" s="89">
        <v>87</v>
      </c>
      <c r="B125" s="90" t="s">
        <v>9</v>
      </c>
      <c r="C125" s="71" t="s">
        <v>96</v>
      </c>
      <c r="D125" s="91" t="s">
        <v>139</v>
      </c>
      <c r="E125" s="332">
        <v>34345390</v>
      </c>
      <c r="F125" s="330"/>
      <c r="G125" s="332">
        <v>3079923.3159576887</v>
      </c>
      <c r="H125" s="332">
        <v>1989172</v>
      </c>
      <c r="I125" s="331">
        <v>0.75</v>
      </c>
      <c r="J125" s="332">
        <v>5041815.84</v>
      </c>
      <c r="K125" s="329">
        <f t="shared" si="55"/>
        <v>1.6369939517251484</v>
      </c>
      <c r="L125" s="329"/>
      <c r="M125" s="332">
        <f t="shared" si="56"/>
        <v>0</v>
      </c>
      <c r="N125" s="332">
        <v>5041815.8352941182</v>
      </c>
      <c r="O125" s="329">
        <f t="shared" si="57"/>
        <v>1.6369939501972268</v>
      </c>
      <c r="P125" s="332">
        <f t="shared" si="58"/>
        <v>2731873.3483258514</v>
      </c>
      <c r="Q125" s="332">
        <f t="shared" si="59"/>
        <v>3039865.6799216205</v>
      </c>
      <c r="R125" s="10"/>
      <c r="T125" s="288">
        <f t="shared" si="48"/>
        <v>-4.7058816999197006E-3</v>
      </c>
      <c r="V125" s="295" t="str">
        <f t="shared" si="49"/>
        <v>Nav labi</v>
      </c>
      <c r="X125" s="36"/>
    </row>
    <row r="126" spans="1:24" s="8" customFormat="1" ht="93" x14ac:dyDescent="0.35">
      <c r="A126" s="89">
        <v>77</v>
      </c>
      <c r="B126" s="90" t="s">
        <v>9</v>
      </c>
      <c r="C126" s="71" t="s">
        <v>97</v>
      </c>
      <c r="D126" s="91" t="s">
        <v>139</v>
      </c>
      <c r="E126" s="332">
        <v>9000000</v>
      </c>
      <c r="F126" s="330"/>
      <c r="G126" s="332">
        <v>0</v>
      </c>
      <c r="H126" s="332">
        <v>0</v>
      </c>
      <c r="I126" s="331">
        <v>0.75</v>
      </c>
      <c r="J126" s="332">
        <v>2295433.5699999998</v>
      </c>
      <c r="K126" s="329" t="str">
        <f t="shared" si="55"/>
        <v>n/a</v>
      </c>
      <c r="L126" s="329"/>
      <c r="M126" s="332">
        <f t="shared" si="56"/>
        <v>513491.3947058823</v>
      </c>
      <c r="N126" s="332">
        <v>2808924.9647058821</v>
      </c>
      <c r="O126" s="329" t="str">
        <f t="shared" si="57"/>
        <v>n/a</v>
      </c>
      <c r="P126" s="332">
        <f t="shared" si="58"/>
        <v>2808924.9647058821</v>
      </c>
      <c r="Q126" s="332">
        <f t="shared" si="59"/>
        <v>2808924.9647058821</v>
      </c>
      <c r="R126" s="10"/>
      <c r="T126" s="288">
        <f t="shared" si="48"/>
        <v>513491.3947058823</v>
      </c>
      <c r="V126" s="295" t="str">
        <f t="shared" si="49"/>
        <v>OK</v>
      </c>
      <c r="X126" s="36"/>
    </row>
    <row r="127" spans="1:24" s="8" customFormat="1" ht="93" x14ac:dyDescent="0.35">
      <c r="A127" s="89">
        <v>79</v>
      </c>
      <c r="B127" s="90" t="s">
        <v>9</v>
      </c>
      <c r="C127" s="71" t="s">
        <v>98</v>
      </c>
      <c r="D127" s="91" t="s">
        <v>139</v>
      </c>
      <c r="E127" s="332">
        <v>39812376</v>
      </c>
      <c r="F127" s="330"/>
      <c r="G127" s="332">
        <v>5234469.6544539919</v>
      </c>
      <c r="H127" s="332">
        <v>2580099</v>
      </c>
      <c r="I127" s="331">
        <v>0.75</v>
      </c>
      <c r="J127" s="332">
        <v>2188894.6399999997</v>
      </c>
      <c r="K127" s="329">
        <f t="shared" si="55"/>
        <v>0.41816932459193396</v>
      </c>
      <c r="L127" s="329"/>
      <c r="M127" s="332">
        <f t="shared" si="56"/>
        <v>1074602.1482352945</v>
      </c>
      <c r="N127" s="332">
        <v>3263496.7882352942</v>
      </c>
      <c r="O127" s="329">
        <f t="shared" si="57"/>
        <v>0.62346273904910232</v>
      </c>
      <c r="P127" s="332">
        <f t="shared" si="58"/>
        <v>-662355.45260519953</v>
      </c>
      <c r="Q127" s="332">
        <f t="shared" si="59"/>
        <v>-138908.48715980072</v>
      </c>
      <c r="R127" s="10"/>
      <c r="T127" s="288">
        <f t="shared" si="48"/>
        <v>1074602.1482352945</v>
      </c>
      <c r="V127" s="295" t="str">
        <f t="shared" si="49"/>
        <v>OK</v>
      </c>
      <c r="X127" s="36"/>
    </row>
    <row r="128" spans="1:24" s="8" customFormat="1" ht="46.5" x14ac:dyDescent="0.35">
      <c r="A128" s="89">
        <v>83</v>
      </c>
      <c r="B128" s="90" t="s">
        <v>9</v>
      </c>
      <c r="C128" s="71" t="s">
        <v>99</v>
      </c>
      <c r="D128" s="91" t="s">
        <v>139</v>
      </c>
      <c r="E128" s="332">
        <v>23080688</v>
      </c>
      <c r="F128" s="330"/>
      <c r="G128" s="332">
        <v>6069226.416073706</v>
      </c>
      <c r="H128" s="332">
        <v>1219986</v>
      </c>
      <c r="I128" s="331">
        <v>0.75</v>
      </c>
      <c r="J128" s="332">
        <v>6596831.7400000002</v>
      </c>
      <c r="K128" s="329">
        <f t="shared" si="55"/>
        <v>1.0869312310591985</v>
      </c>
      <c r="L128" s="329"/>
      <c r="M128" s="332">
        <f t="shared" si="56"/>
        <v>540613.78941176366</v>
      </c>
      <c r="N128" s="332">
        <v>7137445.5294117639</v>
      </c>
      <c r="O128" s="329">
        <f t="shared" si="57"/>
        <v>1.1760058103136493</v>
      </c>
      <c r="P128" s="332">
        <f t="shared" si="58"/>
        <v>2585525.7173564844</v>
      </c>
      <c r="Q128" s="332">
        <f t="shared" si="59"/>
        <v>3192448.3589638551</v>
      </c>
      <c r="R128" s="10"/>
      <c r="T128" s="288">
        <f t="shared" si="48"/>
        <v>540613.78941176366</v>
      </c>
      <c r="V128" s="295" t="str">
        <f t="shared" si="49"/>
        <v>OK</v>
      </c>
      <c r="X128" s="36"/>
    </row>
    <row r="129" spans="1:24" s="8" customFormat="1" ht="69.75" x14ac:dyDescent="0.35">
      <c r="A129" s="89">
        <v>91</v>
      </c>
      <c r="B129" s="90" t="s">
        <v>9</v>
      </c>
      <c r="C129" s="71" t="s">
        <v>100</v>
      </c>
      <c r="D129" s="91" t="s">
        <v>139</v>
      </c>
      <c r="E129" s="332">
        <v>6250000</v>
      </c>
      <c r="F129" s="330"/>
      <c r="G129" s="332">
        <v>1227132.3213814246</v>
      </c>
      <c r="H129" s="332">
        <v>0</v>
      </c>
      <c r="I129" s="331">
        <v>0.75</v>
      </c>
      <c r="J129" s="332">
        <v>1644595.0699999998</v>
      </c>
      <c r="K129" s="329">
        <f t="shared" si="55"/>
        <v>1.3401937520059966</v>
      </c>
      <c r="L129" s="329"/>
      <c r="M129" s="332">
        <f t="shared" si="56"/>
        <v>298565.08294117684</v>
      </c>
      <c r="N129" s="332">
        <v>1943160.1529411767</v>
      </c>
      <c r="O129" s="329">
        <f t="shared" si="57"/>
        <v>1.5834968398140596</v>
      </c>
      <c r="P129" s="332">
        <f t="shared" si="58"/>
        <v>1022810.9119051083</v>
      </c>
      <c r="Q129" s="332">
        <f t="shared" si="59"/>
        <v>1145524.1440432507</v>
      </c>
      <c r="R129" s="10"/>
      <c r="T129" s="288">
        <f t="shared" si="48"/>
        <v>298565.08294117684</v>
      </c>
      <c r="V129" s="295" t="str">
        <f t="shared" si="49"/>
        <v>OK</v>
      </c>
      <c r="X129" s="36"/>
    </row>
    <row r="130" spans="1:24" s="8" customFormat="1" ht="93" x14ac:dyDescent="0.35">
      <c r="A130" s="89">
        <v>89</v>
      </c>
      <c r="B130" s="90" t="s">
        <v>9</v>
      </c>
      <c r="C130" s="71" t="s">
        <v>101</v>
      </c>
      <c r="D130" s="91" t="s">
        <v>139</v>
      </c>
      <c r="E130" s="332">
        <v>4814359</v>
      </c>
      <c r="F130" s="330"/>
      <c r="G130" s="332">
        <v>148312.08888524567</v>
      </c>
      <c r="H130" s="332">
        <v>584973</v>
      </c>
      <c r="I130" s="331">
        <v>0.75</v>
      </c>
      <c r="J130" s="332">
        <v>26898.550000000003</v>
      </c>
      <c r="K130" s="329">
        <f t="shared" si="55"/>
        <v>0.18136451453267821</v>
      </c>
      <c r="L130" s="329"/>
      <c r="M130" s="332">
        <f t="shared" si="56"/>
        <v>20565.991176470583</v>
      </c>
      <c r="N130" s="332">
        <v>47464.541176470586</v>
      </c>
      <c r="O130" s="329">
        <f t="shared" si="57"/>
        <v>0.32003150608441355</v>
      </c>
      <c r="P130" s="332">
        <f t="shared" si="58"/>
        <v>-63769.525487463667</v>
      </c>
      <c r="Q130" s="332">
        <f t="shared" si="59"/>
        <v>-48938.316598939105</v>
      </c>
      <c r="R130" s="10"/>
      <c r="T130" s="288">
        <f t="shared" si="48"/>
        <v>20565.991176470583</v>
      </c>
      <c r="V130" s="295" t="str">
        <f t="shared" si="49"/>
        <v>OK</v>
      </c>
      <c r="X130" s="36"/>
    </row>
    <row r="131" spans="1:24" s="8" customFormat="1" ht="46.5" x14ac:dyDescent="0.35">
      <c r="A131" s="89">
        <v>76</v>
      </c>
      <c r="B131" s="90" t="s">
        <v>9</v>
      </c>
      <c r="C131" s="298" t="s">
        <v>102</v>
      </c>
      <c r="D131" s="91" t="s">
        <v>139</v>
      </c>
      <c r="E131" s="332">
        <v>27034565</v>
      </c>
      <c r="F131" s="330"/>
      <c r="G131" s="332">
        <v>2644848</v>
      </c>
      <c r="H131" s="332">
        <v>1428978.6074669461</v>
      </c>
      <c r="I131" s="331">
        <v>0.75</v>
      </c>
      <c r="J131" s="332">
        <v>1881789.22</v>
      </c>
      <c r="K131" s="329">
        <f t="shared" si="55"/>
        <v>0.71149238822041949</v>
      </c>
      <c r="L131" s="329"/>
      <c r="M131" s="332">
        <f t="shared" si="56"/>
        <v>0</v>
      </c>
      <c r="N131" s="332">
        <v>1878953.8117647057</v>
      </c>
      <c r="O131" s="329">
        <f t="shared" si="57"/>
        <v>0.71042033862237286</v>
      </c>
      <c r="P131" s="332">
        <f t="shared" si="58"/>
        <v>-104682.18823529431</v>
      </c>
      <c r="Q131" s="332">
        <f t="shared" si="59"/>
        <v>159802.61176470574</v>
      </c>
      <c r="T131" s="288">
        <f t="shared" si="48"/>
        <v>-2835.4082352942787</v>
      </c>
      <c r="V131" s="295" t="str">
        <f t="shared" si="49"/>
        <v>Nav labi</v>
      </c>
      <c r="X131" s="36"/>
    </row>
    <row r="132" spans="1:24" s="8" customFormat="1" ht="69.75" x14ac:dyDescent="0.35">
      <c r="A132" s="89">
        <v>78</v>
      </c>
      <c r="B132" s="90" t="s">
        <v>9</v>
      </c>
      <c r="C132" s="71" t="s">
        <v>103</v>
      </c>
      <c r="D132" s="91" t="s">
        <v>139</v>
      </c>
      <c r="E132" s="332">
        <v>21937153</v>
      </c>
      <c r="F132" s="330"/>
      <c r="G132" s="332">
        <v>3109508</v>
      </c>
      <c r="H132" s="332">
        <v>1159542.3341456992</v>
      </c>
      <c r="I132" s="331">
        <v>0.75</v>
      </c>
      <c r="J132" s="332">
        <v>985714.44000000006</v>
      </c>
      <c r="K132" s="329">
        <f t="shared" si="55"/>
        <v>0.31700012992409088</v>
      </c>
      <c r="L132" s="329"/>
      <c r="M132" s="332">
        <f t="shared" si="56"/>
        <v>84972.654117646976</v>
      </c>
      <c r="N132" s="332">
        <v>1070687.094117647</v>
      </c>
      <c r="O132" s="329">
        <f t="shared" si="57"/>
        <v>0.34432684981599887</v>
      </c>
      <c r="P132" s="332">
        <f t="shared" si="58"/>
        <v>-1261443.905882353</v>
      </c>
      <c r="Q132" s="332">
        <f t="shared" si="59"/>
        <v>-950493.10588235292</v>
      </c>
      <c r="T132" s="288">
        <f t="shared" si="48"/>
        <v>84972.654117646976</v>
      </c>
      <c r="V132" s="295" t="str">
        <f t="shared" si="49"/>
        <v>OK</v>
      </c>
      <c r="X132" s="36"/>
    </row>
    <row r="133" spans="1:24" s="8" customFormat="1" ht="116.25" x14ac:dyDescent="0.35">
      <c r="A133" s="89">
        <v>80</v>
      </c>
      <c r="B133" s="90" t="s">
        <v>9</v>
      </c>
      <c r="C133" s="298" t="s">
        <v>104</v>
      </c>
      <c r="D133" s="91" t="s">
        <v>139</v>
      </c>
      <c r="E133" s="332">
        <v>12936510</v>
      </c>
      <c r="F133" s="330"/>
      <c r="G133" s="332">
        <v>5102617.7926139049</v>
      </c>
      <c r="H133" s="332">
        <v>683791.11725384148</v>
      </c>
      <c r="I133" s="331">
        <v>0.75</v>
      </c>
      <c r="J133" s="332">
        <v>2758992.1399999997</v>
      </c>
      <c r="K133" s="329">
        <f t="shared" si="55"/>
        <v>0.54070131296011847</v>
      </c>
      <c r="L133" s="329"/>
      <c r="M133" s="332">
        <f t="shared" si="56"/>
        <v>1057676.5776470592</v>
      </c>
      <c r="N133" s="332">
        <v>3816668.7176470589</v>
      </c>
      <c r="O133" s="329">
        <f t="shared" si="57"/>
        <v>0.74798248130042755</v>
      </c>
      <c r="P133" s="332">
        <f t="shared" si="58"/>
        <v>-10294.626813369803</v>
      </c>
      <c r="Q133" s="332">
        <f t="shared" si="59"/>
        <v>499967.15244802041</v>
      </c>
      <c r="R133" s="10"/>
      <c r="T133" s="288">
        <f t="shared" si="48"/>
        <v>1057676.5776470592</v>
      </c>
      <c r="V133" s="295" t="str">
        <f t="shared" si="49"/>
        <v>OK</v>
      </c>
      <c r="X133" s="36"/>
    </row>
    <row r="134" spans="1:24" s="8" customFormat="1" ht="69.75" x14ac:dyDescent="0.35">
      <c r="A134" s="89">
        <v>90</v>
      </c>
      <c r="B134" s="90" t="s">
        <v>9</v>
      </c>
      <c r="C134" s="71" t="s">
        <v>105</v>
      </c>
      <c r="D134" s="91" t="s">
        <v>139</v>
      </c>
      <c r="E134" s="332">
        <v>6490095</v>
      </c>
      <c r="F134" s="330"/>
      <c r="G134" s="332">
        <v>853307.49622665439</v>
      </c>
      <c r="H134" s="332">
        <v>343049.93461007229</v>
      </c>
      <c r="I134" s="331">
        <v>0.75</v>
      </c>
      <c r="J134" s="332">
        <v>1646381.1199999999</v>
      </c>
      <c r="K134" s="329">
        <f t="shared" si="55"/>
        <v>1.929411293443847</v>
      </c>
      <c r="L134" s="329"/>
      <c r="M134" s="332">
        <f t="shared" si="56"/>
        <v>0</v>
      </c>
      <c r="N134" s="332">
        <v>1646360.317647059</v>
      </c>
      <c r="O134" s="329">
        <f t="shared" si="57"/>
        <v>1.9293869149483658</v>
      </c>
      <c r="P134" s="332">
        <f t="shared" si="58"/>
        <v>1006379.6954770682</v>
      </c>
      <c r="Q134" s="332">
        <f t="shared" si="59"/>
        <v>1091710.4450997338</v>
      </c>
      <c r="R134" s="10"/>
      <c r="T134" s="288">
        <f t="shared" si="48"/>
        <v>-20.802352940896526</v>
      </c>
      <c r="V134" s="295" t="str">
        <f t="shared" si="49"/>
        <v>Nav labi</v>
      </c>
      <c r="X134" s="36"/>
    </row>
    <row r="135" spans="1:24" s="8" customFormat="1" ht="28.5" x14ac:dyDescent="0.35">
      <c r="A135" s="414" t="s">
        <v>213</v>
      </c>
      <c r="B135" s="414"/>
      <c r="C135" s="414"/>
      <c r="D135" s="414"/>
      <c r="E135" s="414"/>
      <c r="F135" s="414"/>
      <c r="G135" s="414"/>
      <c r="H135" s="414"/>
      <c r="I135" s="414"/>
      <c r="J135" s="414"/>
      <c r="K135" s="414"/>
      <c r="L135" s="414"/>
      <c r="M135" s="414"/>
      <c r="N135" s="414"/>
      <c r="O135" s="414"/>
      <c r="P135" s="414"/>
      <c r="Q135" s="414"/>
      <c r="T135" s="288">
        <f t="shared" si="48"/>
        <v>0</v>
      </c>
      <c r="V135" s="295" t="str">
        <f t="shared" si="49"/>
        <v>OK</v>
      </c>
      <c r="X135" s="36"/>
    </row>
    <row r="136" spans="1:24" s="8" customFormat="1" ht="93" x14ac:dyDescent="0.35">
      <c r="A136" s="89">
        <v>94</v>
      </c>
      <c r="B136" s="89" t="s">
        <v>6</v>
      </c>
      <c r="C136" s="71" t="s">
        <v>196</v>
      </c>
      <c r="D136" s="91" t="s">
        <v>141</v>
      </c>
      <c r="E136" s="332">
        <v>44441978</v>
      </c>
      <c r="F136" s="330"/>
      <c r="G136" s="332">
        <v>0</v>
      </c>
      <c r="H136" s="332">
        <v>2515517.0000000009</v>
      </c>
      <c r="I136" s="331">
        <v>0.75</v>
      </c>
      <c r="J136" s="332">
        <v>0</v>
      </c>
      <c r="K136" s="329" t="str">
        <f>IFERROR(J136/G136,"n/a")</f>
        <v>n/a</v>
      </c>
      <c r="L136" s="329"/>
      <c r="M136" s="332">
        <f>IF(N136-J136&lt;0,0,N136-J136)</f>
        <v>0</v>
      </c>
      <c r="N136" s="332">
        <v>0</v>
      </c>
      <c r="O136" s="329" t="str">
        <f>IFERROR(N136/G136,"n/a")</f>
        <v>n/a</v>
      </c>
      <c r="P136" s="332">
        <f>IFERROR(N136-(G136*I136),"n/a")</f>
        <v>0</v>
      </c>
      <c r="Q136" s="332">
        <f>IFERROR(N136-(G136*0.65),"n/a")</f>
        <v>0</v>
      </c>
      <c r="T136" s="288">
        <f t="shared" si="48"/>
        <v>0</v>
      </c>
      <c r="V136" s="295" t="str">
        <f t="shared" si="49"/>
        <v>OK</v>
      </c>
      <c r="X136" s="36"/>
    </row>
    <row r="137" spans="1:24" s="8" customFormat="1" ht="186" x14ac:dyDescent="0.35">
      <c r="A137" s="89">
        <v>95</v>
      </c>
      <c r="B137" s="89" t="s">
        <v>6</v>
      </c>
      <c r="C137" s="71" t="s">
        <v>124</v>
      </c>
      <c r="D137" s="91" t="s">
        <v>141</v>
      </c>
      <c r="E137" s="332">
        <v>4077075</v>
      </c>
      <c r="F137" s="330"/>
      <c r="G137" s="332">
        <v>0</v>
      </c>
      <c r="H137" s="332">
        <v>0</v>
      </c>
      <c r="I137" s="331">
        <v>0.75</v>
      </c>
      <c r="J137" s="332">
        <v>9394.15</v>
      </c>
      <c r="K137" s="329" t="str">
        <f>IFERROR(J137/G137,"n/a")</f>
        <v>n/a</v>
      </c>
      <c r="L137" s="329"/>
      <c r="M137" s="332">
        <f>IF(N137-J137&lt;0,0,N137-J137)</f>
        <v>1849.0029411764717</v>
      </c>
      <c r="N137" s="332">
        <v>11243.152941176471</v>
      </c>
      <c r="O137" s="329" t="str">
        <f>IFERROR(N137/G137,"n/a")</f>
        <v>n/a</v>
      </c>
      <c r="P137" s="332">
        <f>IFERROR(N137-(G137*I137),"n/a")</f>
        <v>11243.152941176471</v>
      </c>
      <c r="Q137" s="332">
        <f>IFERROR(N137-(G137*0.65),"n/a")</f>
        <v>11243.152941176471</v>
      </c>
      <c r="T137" s="288">
        <f t="shared" si="48"/>
        <v>1849.0029411764717</v>
      </c>
      <c r="V137" s="295" t="str">
        <f t="shared" si="49"/>
        <v>OK</v>
      </c>
      <c r="X137" s="36"/>
    </row>
    <row r="138" spans="1:24" s="8" customFormat="1" ht="69.75" x14ac:dyDescent="0.35">
      <c r="A138" s="89">
        <v>93</v>
      </c>
      <c r="B138" s="89" t="s">
        <v>6</v>
      </c>
      <c r="C138" s="71" t="s">
        <v>125</v>
      </c>
      <c r="D138" s="91" t="s">
        <v>142</v>
      </c>
      <c r="E138" s="332">
        <v>194364718</v>
      </c>
      <c r="F138" s="330"/>
      <c r="G138" s="332">
        <v>7796118</v>
      </c>
      <c r="H138" s="332">
        <v>9279588</v>
      </c>
      <c r="I138" s="331">
        <v>0.75</v>
      </c>
      <c r="J138" s="332">
        <v>12220647.66</v>
      </c>
      <c r="K138" s="329">
        <f>IFERROR(J138/G138,"n/a")</f>
        <v>1.5675298475472024</v>
      </c>
      <c r="L138" s="329"/>
      <c r="M138" s="332">
        <f>IF(N138-J138&lt;0,0,N138-J138)</f>
        <v>6776075.5399999991</v>
      </c>
      <c r="N138" s="332">
        <v>18996723.199999999</v>
      </c>
      <c r="O138" s="329">
        <f>IFERROR(N138/G138,"n/a")</f>
        <v>2.4366900552300517</v>
      </c>
      <c r="P138" s="332">
        <f>IFERROR(N138-(G138*I138),"n/a")</f>
        <v>13149634.699999999</v>
      </c>
      <c r="Q138" s="332">
        <f>IFERROR(N138-(G138*0.65),"n/a")</f>
        <v>13929246.5</v>
      </c>
      <c r="T138" s="288">
        <f t="shared" si="48"/>
        <v>6776075.5399999991</v>
      </c>
      <c r="V138" s="295" t="str">
        <f t="shared" si="49"/>
        <v>OK</v>
      </c>
      <c r="X138" s="36"/>
    </row>
    <row r="139" spans="1:24" s="8" customFormat="1" ht="28.5" x14ac:dyDescent="0.35">
      <c r="A139" s="414" t="s">
        <v>214</v>
      </c>
      <c r="B139" s="414"/>
      <c r="C139" s="414"/>
      <c r="D139" s="414"/>
      <c r="E139" s="414"/>
      <c r="F139" s="414"/>
      <c r="G139" s="414"/>
      <c r="H139" s="414"/>
      <c r="I139" s="414"/>
      <c r="J139" s="414"/>
      <c r="K139" s="414"/>
      <c r="L139" s="414"/>
      <c r="M139" s="414"/>
      <c r="N139" s="414"/>
      <c r="O139" s="414"/>
      <c r="P139" s="414"/>
      <c r="Q139" s="414"/>
      <c r="T139" s="288">
        <f t="shared" si="48"/>
        <v>0</v>
      </c>
      <c r="V139" s="295" t="str">
        <f t="shared" si="49"/>
        <v>OK</v>
      </c>
      <c r="X139" s="36"/>
    </row>
    <row r="140" spans="1:24" s="8" customFormat="1" ht="69.75" x14ac:dyDescent="0.35">
      <c r="A140" s="89">
        <v>114</v>
      </c>
      <c r="B140" s="89" t="s">
        <v>6</v>
      </c>
      <c r="C140" s="71" t="s">
        <v>106</v>
      </c>
      <c r="D140" s="91" t="s">
        <v>137</v>
      </c>
      <c r="E140" s="332">
        <v>37218825</v>
      </c>
      <c r="F140" s="330"/>
      <c r="G140" s="332">
        <v>14870313</v>
      </c>
      <c r="H140" s="332">
        <v>1186027.0906275464</v>
      </c>
      <c r="I140" s="331">
        <v>0.75</v>
      </c>
      <c r="J140" s="332">
        <v>22807895.689999998</v>
      </c>
      <c r="K140" s="329">
        <f t="shared" ref="K140:K158" si="60">IFERROR(J140/G140,"n/a")</f>
        <v>1.5337871966783752</v>
      </c>
      <c r="L140" s="329"/>
      <c r="M140" s="332">
        <f t="shared" ref="M140:M158" si="61">IF(N140-J140&lt;0,0,N140-J140)</f>
        <v>0</v>
      </c>
      <c r="N140" s="332">
        <v>20503767.064516127</v>
      </c>
      <c r="O140" s="329">
        <f t="shared" ref="O140:O158" si="62">IFERROR(N140/G140,"n/a")</f>
        <v>1.3788389702702375</v>
      </c>
      <c r="P140" s="332">
        <f t="shared" ref="P140:P158" si="63">IFERROR(N140-(G140*I140),"n/a")</f>
        <v>9351032.3145161271</v>
      </c>
      <c r="Q140" s="332">
        <f t="shared" ref="Q140:Q158" si="64">IFERROR(N140-(G140*0.65),"n/a")</f>
        <v>10838063.614516126</v>
      </c>
      <c r="T140" s="288">
        <f t="shared" si="48"/>
        <v>-2304128.6254838705</v>
      </c>
      <c r="V140" s="295" t="str">
        <f t="shared" si="49"/>
        <v>Nav labi</v>
      </c>
      <c r="X140" s="36"/>
    </row>
    <row r="141" spans="1:24" s="8" customFormat="1" ht="69.75" x14ac:dyDescent="0.35">
      <c r="A141" s="89">
        <v>100</v>
      </c>
      <c r="B141" s="89" t="s">
        <v>6</v>
      </c>
      <c r="C141" s="71" t="s">
        <v>107</v>
      </c>
      <c r="D141" s="91" t="s">
        <v>137</v>
      </c>
      <c r="E141" s="332">
        <v>32030112</v>
      </c>
      <c r="F141" s="330"/>
      <c r="G141" s="332">
        <v>10390587</v>
      </c>
      <c r="H141" s="332">
        <v>0</v>
      </c>
      <c r="I141" s="331">
        <v>0.75</v>
      </c>
      <c r="J141" s="332">
        <v>9445236.5300000012</v>
      </c>
      <c r="K141" s="329">
        <f t="shared" si="60"/>
        <v>0.90901856940324943</v>
      </c>
      <c r="L141" s="329"/>
      <c r="M141" s="332">
        <f t="shared" si="61"/>
        <v>34865.022941175848</v>
      </c>
      <c r="N141" s="332">
        <v>9480101.552941177</v>
      </c>
      <c r="O141" s="329">
        <f t="shared" si="62"/>
        <v>0.91237401245388516</v>
      </c>
      <c r="P141" s="332">
        <f t="shared" si="63"/>
        <v>1687161.302941177</v>
      </c>
      <c r="Q141" s="332">
        <f t="shared" si="64"/>
        <v>2726220.0029411772</v>
      </c>
      <c r="T141" s="288">
        <f t="shared" si="48"/>
        <v>34865.022941175848</v>
      </c>
      <c r="V141" s="295" t="str">
        <f t="shared" si="49"/>
        <v>OK</v>
      </c>
      <c r="X141" s="36"/>
    </row>
    <row r="142" spans="1:24" s="8" customFormat="1" ht="46.5" x14ac:dyDescent="0.35">
      <c r="A142" s="89">
        <v>97</v>
      </c>
      <c r="B142" s="89" t="s">
        <v>6</v>
      </c>
      <c r="C142" s="71" t="s">
        <v>108</v>
      </c>
      <c r="D142" s="91" t="s">
        <v>137</v>
      </c>
      <c r="E142" s="332">
        <v>19920206</v>
      </c>
      <c r="F142" s="330"/>
      <c r="G142" s="332">
        <v>1114247</v>
      </c>
      <c r="H142" s="332">
        <v>4250000.0000000037</v>
      </c>
      <c r="I142" s="331">
        <v>0.75</v>
      </c>
      <c r="J142" s="332">
        <v>1511966.67</v>
      </c>
      <c r="K142" s="329">
        <f t="shared" si="60"/>
        <v>1.356940310362065</v>
      </c>
      <c r="L142" s="329"/>
      <c r="M142" s="332">
        <f t="shared" si="61"/>
        <v>1470.0005882352125</v>
      </c>
      <c r="N142" s="332">
        <v>1513436.6705882351</v>
      </c>
      <c r="O142" s="329">
        <f t="shared" si="62"/>
        <v>1.3582595874956227</v>
      </c>
      <c r="P142" s="332">
        <f t="shared" si="63"/>
        <v>677751.42058823514</v>
      </c>
      <c r="Q142" s="332">
        <f t="shared" si="64"/>
        <v>789176.12058823509</v>
      </c>
      <c r="T142" s="288">
        <f t="shared" si="48"/>
        <v>1470.0005882352125</v>
      </c>
      <c r="V142" s="295" t="str">
        <f t="shared" si="49"/>
        <v>OK</v>
      </c>
      <c r="X142" s="36"/>
    </row>
    <row r="143" spans="1:24" s="8" customFormat="1" ht="93" x14ac:dyDescent="0.35">
      <c r="A143" s="89">
        <v>112</v>
      </c>
      <c r="B143" s="89" t="s">
        <v>6</v>
      </c>
      <c r="C143" s="71" t="s">
        <v>109</v>
      </c>
      <c r="D143" s="91" t="s">
        <v>130</v>
      </c>
      <c r="E143" s="332">
        <v>5175000</v>
      </c>
      <c r="F143" s="330"/>
      <c r="G143" s="332">
        <v>469779</v>
      </c>
      <c r="H143" s="332">
        <v>273537</v>
      </c>
      <c r="I143" s="331">
        <v>0.75</v>
      </c>
      <c r="J143" s="332">
        <v>741466.83</v>
      </c>
      <c r="K143" s="329">
        <f t="shared" si="60"/>
        <v>1.578331151456323</v>
      </c>
      <c r="L143" s="329"/>
      <c r="M143" s="332">
        <f t="shared" si="61"/>
        <v>0</v>
      </c>
      <c r="N143" s="332">
        <v>741466.82352941169</v>
      </c>
      <c r="O143" s="329">
        <f t="shared" si="62"/>
        <v>1.5783311376826374</v>
      </c>
      <c r="P143" s="332">
        <f t="shared" si="63"/>
        <v>389132.57352941169</v>
      </c>
      <c r="Q143" s="332">
        <f t="shared" si="64"/>
        <v>436110.47352941165</v>
      </c>
      <c r="T143" s="288">
        <f t="shared" si="48"/>
        <v>-6.470588268712163E-3</v>
      </c>
      <c r="V143" s="295" t="str">
        <f t="shared" si="49"/>
        <v>Nav labi</v>
      </c>
      <c r="X143" s="36"/>
    </row>
    <row r="144" spans="1:24" s="8" customFormat="1" ht="116.25" x14ac:dyDescent="0.35">
      <c r="A144" s="89">
        <v>106</v>
      </c>
      <c r="B144" s="89" t="s">
        <v>6</v>
      </c>
      <c r="C144" s="71" t="s">
        <v>110</v>
      </c>
      <c r="D144" s="91" t="s">
        <v>130</v>
      </c>
      <c r="E144" s="332">
        <v>4232693</v>
      </c>
      <c r="F144" s="330"/>
      <c r="G144" s="332">
        <v>1411759</v>
      </c>
      <c r="H144" s="332">
        <v>223729</v>
      </c>
      <c r="I144" s="331">
        <v>0.75</v>
      </c>
      <c r="J144" s="332">
        <v>728709.36</v>
      </c>
      <c r="K144" s="329">
        <f t="shared" si="60"/>
        <v>0.51617121619199879</v>
      </c>
      <c r="L144" s="329"/>
      <c r="M144" s="332">
        <f t="shared" si="61"/>
        <v>356479.80470588256</v>
      </c>
      <c r="N144" s="332">
        <v>1085189.1647058825</v>
      </c>
      <c r="O144" s="329">
        <f t="shared" si="62"/>
        <v>0.76867876507667565</v>
      </c>
      <c r="P144" s="332">
        <f t="shared" si="63"/>
        <v>26369.914705882547</v>
      </c>
      <c r="Q144" s="332">
        <f t="shared" si="64"/>
        <v>167545.81470588257</v>
      </c>
      <c r="T144" s="288">
        <f t="shared" si="48"/>
        <v>356479.80470588256</v>
      </c>
      <c r="V144" s="295" t="str">
        <f t="shared" si="49"/>
        <v>OK</v>
      </c>
      <c r="X144" s="36"/>
    </row>
    <row r="145" spans="1:24" s="8" customFormat="1" ht="69.75" x14ac:dyDescent="0.35">
      <c r="A145" s="89">
        <v>110</v>
      </c>
      <c r="B145" s="89" t="s">
        <v>6</v>
      </c>
      <c r="C145" s="71" t="s">
        <v>111</v>
      </c>
      <c r="D145" s="91" t="s">
        <v>137</v>
      </c>
      <c r="E145" s="332">
        <v>1252128</v>
      </c>
      <c r="F145" s="330"/>
      <c r="G145" s="332">
        <v>545837</v>
      </c>
      <c r="H145" s="332">
        <v>0</v>
      </c>
      <c r="I145" s="331">
        <v>0.75</v>
      </c>
      <c r="J145" s="332">
        <v>718553.84000000008</v>
      </c>
      <c r="K145" s="329">
        <f t="shared" si="60"/>
        <v>1.3164256728657091</v>
      </c>
      <c r="L145" s="329"/>
      <c r="M145" s="332">
        <f t="shared" si="61"/>
        <v>141289.03058823524</v>
      </c>
      <c r="N145" s="332">
        <v>859842.87058823532</v>
      </c>
      <c r="O145" s="329">
        <f t="shared" si="62"/>
        <v>1.5752740664121987</v>
      </c>
      <c r="P145" s="332">
        <f t="shared" si="63"/>
        <v>450465.12058823532</v>
      </c>
      <c r="Q145" s="332">
        <f t="shared" si="64"/>
        <v>505048.82058823534</v>
      </c>
      <c r="T145" s="288">
        <f t="shared" si="48"/>
        <v>141289.03058823524</v>
      </c>
      <c r="V145" s="295" t="str">
        <f t="shared" si="49"/>
        <v>OK</v>
      </c>
      <c r="X145" s="36"/>
    </row>
    <row r="146" spans="1:24" s="8" customFormat="1" ht="162.75" x14ac:dyDescent="0.35">
      <c r="A146" s="89">
        <v>107</v>
      </c>
      <c r="B146" s="89" t="s">
        <v>6</v>
      </c>
      <c r="C146" s="71" t="s">
        <v>112</v>
      </c>
      <c r="D146" s="91" t="s">
        <v>137</v>
      </c>
      <c r="E146" s="332">
        <v>1323271</v>
      </c>
      <c r="F146" s="330"/>
      <c r="G146" s="332">
        <v>156573</v>
      </c>
      <c r="H146" s="332">
        <v>0</v>
      </c>
      <c r="I146" s="331">
        <v>0.75</v>
      </c>
      <c r="J146" s="332">
        <v>155790.31000000003</v>
      </c>
      <c r="K146" s="329">
        <f t="shared" si="60"/>
        <v>0.99500111768951238</v>
      </c>
      <c r="L146" s="329"/>
      <c r="M146" s="332">
        <f t="shared" si="61"/>
        <v>154838.99588235296</v>
      </c>
      <c r="N146" s="332">
        <v>310629.30588235299</v>
      </c>
      <c r="O146" s="329">
        <f t="shared" si="62"/>
        <v>1.9839263850239377</v>
      </c>
      <c r="P146" s="332">
        <f t="shared" si="63"/>
        <v>193199.55588235299</v>
      </c>
      <c r="Q146" s="332">
        <f t="shared" si="64"/>
        <v>208856.85588235297</v>
      </c>
      <c r="T146" s="288">
        <f t="shared" si="48"/>
        <v>154838.99588235296</v>
      </c>
      <c r="V146" s="295" t="str">
        <f t="shared" si="49"/>
        <v>OK</v>
      </c>
      <c r="X146" s="36"/>
    </row>
    <row r="147" spans="1:24" s="8" customFormat="1" ht="93" x14ac:dyDescent="0.35">
      <c r="A147" s="89">
        <v>109</v>
      </c>
      <c r="B147" s="89" t="s">
        <v>6</v>
      </c>
      <c r="C147" s="71" t="s">
        <v>113</v>
      </c>
      <c r="D147" s="91" t="s">
        <v>137</v>
      </c>
      <c r="E147" s="332">
        <v>318055</v>
      </c>
      <c r="F147" s="330"/>
      <c r="G147" s="332">
        <v>95417</v>
      </c>
      <c r="H147" s="332">
        <v>0</v>
      </c>
      <c r="I147" s="331">
        <v>0.75</v>
      </c>
      <c r="J147" s="332">
        <v>162982.41</v>
      </c>
      <c r="K147" s="329">
        <f t="shared" si="60"/>
        <v>1.7081066267017408</v>
      </c>
      <c r="L147" s="329"/>
      <c r="M147" s="332">
        <f t="shared" si="61"/>
        <v>47911.801764705859</v>
      </c>
      <c r="N147" s="332">
        <v>210894.21176470586</v>
      </c>
      <c r="O147" s="329">
        <f t="shared" si="62"/>
        <v>2.2102372927749339</v>
      </c>
      <c r="P147" s="332">
        <f t="shared" si="63"/>
        <v>139331.46176470586</v>
      </c>
      <c r="Q147" s="332">
        <f t="shared" si="64"/>
        <v>148873.16176470584</v>
      </c>
      <c r="T147" s="288">
        <f t="shared" si="48"/>
        <v>47911.801764705859</v>
      </c>
      <c r="V147" s="295" t="str">
        <f t="shared" si="49"/>
        <v>OK</v>
      </c>
      <c r="X147" s="36"/>
    </row>
    <row r="148" spans="1:24" s="8" customFormat="1" ht="69.75" x14ac:dyDescent="0.35">
      <c r="A148" s="89">
        <v>103</v>
      </c>
      <c r="B148" s="89" t="s">
        <v>6</v>
      </c>
      <c r="C148" s="294" t="s">
        <v>114</v>
      </c>
      <c r="D148" s="91" t="s">
        <v>137</v>
      </c>
      <c r="E148" s="332">
        <v>6813045</v>
      </c>
      <c r="F148" s="330"/>
      <c r="G148" s="332">
        <v>1131332</v>
      </c>
      <c r="H148" s="332">
        <v>0</v>
      </c>
      <c r="I148" s="331">
        <v>0.75</v>
      </c>
      <c r="J148" s="332">
        <v>1143657.4100000001</v>
      </c>
      <c r="K148" s="329">
        <f t="shared" si="60"/>
        <v>1.0108946003472015</v>
      </c>
      <c r="L148" s="329"/>
      <c r="M148" s="332">
        <f t="shared" si="61"/>
        <v>257394.15470588231</v>
      </c>
      <c r="N148" s="332">
        <v>1401051.5647058825</v>
      </c>
      <c r="O148" s="329">
        <f t="shared" si="62"/>
        <v>1.2384088531977195</v>
      </c>
      <c r="P148" s="332">
        <f t="shared" si="63"/>
        <v>552552.56470588245</v>
      </c>
      <c r="Q148" s="332">
        <f t="shared" si="64"/>
        <v>665685.76470588241</v>
      </c>
      <c r="T148" s="288">
        <f t="shared" si="48"/>
        <v>257394.15470588231</v>
      </c>
      <c r="V148" s="295" t="str">
        <f t="shared" si="49"/>
        <v>OK</v>
      </c>
      <c r="X148" s="36"/>
    </row>
    <row r="149" spans="1:24" s="8" customFormat="1" ht="93" x14ac:dyDescent="0.35">
      <c r="A149" s="89">
        <v>104</v>
      </c>
      <c r="B149" s="89" t="s">
        <v>6</v>
      </c>
      <c r="C149" s="71" t="s">
        <v>115</v>
      </c>
      <c r="D149" s="91" t="s">
        <v>137</v>
      </c>
      <c r="E149" s="332">
        <v>8526615</v>
      </c>
      <c r="F149" s="330"/>
      <c r="G149" s="332">
        <v>1181353</v>
      </c>
      <c r="H149" s="332">
        <v>0</v>
      </c>
      <c r="I149" s="331">
        <v>0.75</v>
      </c>
      <c r="J149" s="332">
        <v>1088778.6399999999</v>
      </c>
      <c r="K149" s="329">
        <f t="shared" si="60"/>
        <v>0.92163700435009677</v>
      </c>
      <c r="L149" s="329"/>
      <c r="M149" s="332">
        <f t="shared" si="61"/>
        <v>103225.68941176496</v>
      </c>
      <c r="N149" s="332">
        <v>1192004.3294117649</v>
      </c>
      <c r="O149" s="329">
        <f t="shared" si="62"/>
        <v>1.0090162122682762</v>
      </c>
      <c r="P149" s="332">
        <f t="shared" si="63"/>
        <v>305989.57941176486</v>
      </c>
      <c r="Q149" s="332">
        <f t="shared" si="64"/>
        <v>424124.87941176479</v>
      </c>
      <c r="T149" s="288">
        <f t="shared" si="48"/>
        <v>103225.68941176496</v>
      </c>
      <c r="V149" s="295" t="str">
        <f t="shared" si="49"/>
        <v>OK</v>
      </c>
      <c r="X149" s="36"/>
    </row>
    <row r="150" spans="1:24" s="8" customFormat="1" ht="93" x14ac:dyDescent="0.35">
      <c r="A150" s="89">
        <v>111</v>
      </c>
      <c r="B150" s="89" t="s">
        <v>6</v>
      </c>
      <c r="C150" s="71" t="s">
        <v>116</v>
      </c>
      <c r="D150" s="91" t="s">
        <v>137</v>
      </c>
      <c r="E150" s="332">
        <v>1079960</v>
      </c>
      <c r="F150" s="330"/>
      <c r="G150" s="332">
        <v>269990</v>
      </c>
      <c r="H150" s="332">
        <v>0</v>
      </c>
      <c r="I150" s="331">
        <v>0.75</v>
      </c>
      <c r="J150" s="332">
        <v>431543.79000000004</v>
      </c>
      <c r="K150" s="329">
        <f t="shared" si="60"/>
        <v>1.5983695322048965</v>
      </c>
      <c r="L150" s="329"/>
      <c r="M150" s="332">
        <f t="shared" si="61"/>
        <v>7499.9982352940715</v>
      </c>
      <c r="N150" s="332">
        <v>439043.78823529411</v>
      </c>
      <c r="O150" s="329">
        <f t="shared" si="62"/>
        <v>1.6261483322911741</v>
      </c>
      <c r="P150" s="332">
        <f t="shared" si="63"/>
        <v>236551.28823529411</v>
      </c>
      <c r="Q150" s="332">
        <f t="shared" si="64"/>
        <v>263550.28823529411</v>
      </c>
      <c r="T150" s="288">
        <f t="shared" si="48"/>
        <v>7499.9982352940715</v>
      </c>
      <c r="V150" s="295" t="str">
        <f t="shared" si="49"/>
        <v>OK</v>
      </c>
      <c r="X150" s="36"/>
    </row>
    <row r="151" spans="1:24" s="8" customFormat="1" ht="116.25" x14ac:dyDescent="0.35">
      <c r="A151" s="89">
        <v>113</v>
      </c>
      <c r="B151" s="89" t="s">
        <v>6</v>
      </c>
      <c r="C151" s="71" t="s">
        <v>117</v>
      </c>
      <c r="D151" s="91" t="s">
        <v>137</v>
      </c>
      <c r="E151" s="332">
        <v>2347738</v>
      </c>
      <c r="F151" s="330"/>
      <c r="G151" s="332">
        <v>586934</v>
      </c>
      <c r="H151" s="332">
        <v>0</v>
      </c>
      <c r="I151" s="331">
        <v>0.75</v>
      </c>
      <c r="J151" s="332">
        <v>1101801.42</v>
      </c>
      <c r="K151" s="329">
        <f t="shared" si="60"/>
        <v>1.8772151894420837</v>
      </c>
      <c r="L151" s="329"/>
      <c r="M151" s="332">
        <f t="shared" si="61"/>
        <v>4062.685882352991</v>
      </c>
      <c r="N151" s="332">
        <v>1105864.1058823529</v>
      </c>
      <c r="O151" s="329">
        <f t="shared" si="62"/>
        <v>1.8841370680218779</v>
      </c>
      <c r="P151" s="332">
        <f t="shared" si="63"/>
        <v>665663.60588235292</v>
      </c>
      <c r="Q151" s="332">
        <f t="shared" si="64"/>
        <v>724357.00588235282</v>
      </c>
      <c r="T151" s="288">
        <f t="shared" si="48"/>
        <v>4062.685882352991</v>
      </c>
      <c r="V151" s="295" t="str">
        <f t="shared" si="49"/>
        <v>OK</v>
      </c>
      <c r="X151" s="36"/>
    </row>
    <row r="152" spans="1:24" s="11" customFormat="1" ht="69.75" x14ac:dyDescent="0.35">
      <c r="A152" s="89">
        <v>96</v>
      </c>
      <c r="B152" s="89" t="s">
        <v>6</v>
      </c>
      <c r="C152" s="71" t="s">
        <v>197</v>
      </c>
      <c r="D152" s="91" t="s">
        <v>137</v>
      </c>
      <c r="E152" s="332">
        <v>47209260</v>
      </c>
      <c r="F152" s="330"/>
      <c r="G152" s="332">
        <v>4031880</v>
      </c>
      <c r="H152" s="332">
        <v>3167386.9999999981</v>
      </c>
      <c r="I152" s="331">
        <v>0.75</v>
      </c>
      <c r="J152" s="332">
        <v>3793908.3300000005</v>
      </c>
      <c r="K152" s="329">
        <f t="shared" si="60"/>
        <v>0.94097749188963975</v>
      </c>
      <c r="L152" s="329"/>
      <c r="M152" s="332">
        <f t="shared" si="61"/>
        <v>115.7641176469624</v>
      </c>
      <c r="N152" s="332">
        <v>3794024.0941176475</v>
      </c>
      <c r="O152" s="329">
        <f t="shared" si="62"/>
        <v>0.94100620408287139</v>
      </c>
      <c r="P152" s="332">
        <f t="shared" si="63"/>
        <v>770114.0941176475</v>
      </c>
      <c r="Q152" s="332">
        <f t="shared" si="64"/>
        <v>1173302.0941176475</v>
      </c>
      <c r="T152" s="288">
        <f t="shared" si="48"/>
        <v>115.7641176469624</v>
      </c>
      <c r="V152" s="295" t="str">
        <f t="shared" si="49"/>
        <v>OK</v>
      </c>
      <c r="X152" s="36"/>
    </row>
    <row r="153" spans="1:24" s="11" customFormat="1" ht="69.75" x14ac:dyDescent="0.35">
      <c r="A153" s="89">
        <v>108</v>
      </c>
      <c r="B153" s="89" t="s">
        <v>6</v>
      </c>
      <c r="C153" s="71" t="s">
        <v>118</v>
      </c>
      <c r="D153" s="91" t="s">
        <v>137</v>
      </c>
      <c r="E153" s="332">
        <v>4727073</v>
      </c>
      <c r="F153" s="330"/>
      <c r="G153" s="332">
        <v>350658</v>
      </c>
      <c r="H153" s="332">
        <v>0</v>
      </c>
      <c r="I153" s="331">
        <v>0.75</v>
      </c>
      <c r="J153" s="332">
        <v>869710.84</v>
      </c>
      <c r="K153" s="329">
        <f t="shared" si="60"/>
        <v>2.4802252907391247</v>
      </c>
      <c r="L153" s="329"/>
      <c r="M153" s="332">
        <f t="shared" si="61"/>
        <v>839.98352941172197</v>
      </c>
      <c r="N153" s="332">
        <v>870550.82352941169</v>
      </c>
      <c r="O153" s="329">
        <f t="shared" si="62"/>
        <v>2.4826207402352485</v>
      </c>
      <c r="P153" s="332">
        <f t="shared" si="63"/>
        <v>607557.32352941169</v>
      </c>
      <c r="Q153" s="332">
        <f t="shared" si="64"/>
        <v>642623.12352941162</v>
      </c>
      <c r="T153" s="288">
        <f t="shared" si="48"/>
        <v>839.98352941172197</v>
      </c>
      <c r="V153" s="295" t="str">
        <f t="shared" si="49"/>
        <v>OK</v>
      </c>
      <c r="X153" s="36"/>
    </row>
    <row r="154" spans="1:24" s="8" customFormat="1" ht="93" x14ac:dyDescent="0.2">
      <c r="A154" s="89">
        <v>102</v>
      </c>
      <c r="B154" s="89" t="s">
        <v>6</v>
      </c>
      <c r="C154" s="71" t="s">
        <v>119</v>
      </c>
      <c r="D154" s="91" t="s">
        <v>140</v>
      </c>
      <c r="E154" s="332">
        <v>4609777</v>
      </c>
      <c r="F154" s="330"/>
      <c r="G154" s="332">
        <v>1324950</v>
      </c>
      <c r="H154" s="332">
        <v>0</v>
      </c>
      <c r="I154" s="331">
        <v>0.75</v>
      </c>
      <c r="J154" s="332">
        <v>1802093.09</v>
      </c>
      <c r="K154" s="329">
        <f t="shared" si="60"/>
        <v>1.3601215819464887</v>
      </c>
      <c r="L154" s="329"/>
      <c r="M154" s="332">
        <f t="shared" si="61"/>
        <v>375.68647058843635</v>
      </c>
      <c r="N154" s="332">
        <v>1802468.7764705885</v>
      </c>
      <c r="O154" s="329">
        <f t="shared" si="62"/>
        <v>1.360405129605335</v>
      </c>
      <c r="P154" s="332">
        <f t="shared" si="63"/>
        <v>808756.27647058852</v>
      </c>
      <c r="Q154" s="332">
        <f t="shared" si="64"/>
        <v>941251.27647058852</v>
      </c>
      <c r="T154" s="288">
        <f t="shared" si="48"/>
        <v>375.68647058843635</v>
      </c>
      <c r="V154" s="295" t="str">
        <f t="shared" si="49"/>
        <v>OK</v>
      </c>
    </row>
    <row r="155" spans="1:24" s="8" customFormat="1" ht="93" x14ac:dyDescent="0.2">
      <c r="A155" s="89">
        <v>101</v>
      </c>
      <c r="B155" s="89" t="s">
        <v>6</v>
      </c>
      <c r="C155" s="71" t="s">
        <v>120</v>
      </c>
      <c r="D155" s="91" t="s">
        <v>140</v>
      </c>
      <c r="E155" s="332">
        <v>16692798</v>
      </c>
      <c r="F155" s="330"/>
      <c r="G155" s="332">
        <v>2851654</v>
      </c>
      <c r="H155" s="332">
        <v>0</v>
      </c>
      <c r="I155" s="331">
        <v>0.75</v>
      </c>
      <c r="J155" s="332">
        <v>777952.51</v>
      </c>
      <c r="K155" s="329">
        <f t="shared" si="60"/>
        <v>0.27280746892855867</v>
      </c>
      <c r="L155" s="329"/>
      <c r="M155" s="332">
        <f t="shared" si="61"/>
        <v>463975.52529411763</v>
      </c>
      <c r="N155" s="332">
        <v>1241928.0352941176</v>
      </c>
      <c r="O155" s="329">
        <f t="shared" si="62"/>
        <v>0.43551147344457553</v>
      </c>
      <c r="P155" s="332">
        <f t="shared" si="63"/>
        <v>-896812.46470588236</v>
      </c>
      <c r="Q155" s="332">
        <f t="shared" si="64"/>
        <v>-611647.06470588245</v>
      </c>
      <c r="T155" s="288">
        <f t="shared" si="48"/>
        <v>463975.52529411763</v>
      </c>
      <c r="V155" s="295" t="str">
        <f t="shared" si="49"/>
        <v>OK</v>
      </c>
    </row>
    <row r="156" spans="1:24" s="8" customFormat="1" ht="93" x14ac:dyDescent="0.2">
      <c r="A156" s="89">
        <v>99</v>
      </c>
      <c r="B156" s="89" t="s">
        <v>6</v>
      </c>
      <c r="C156" s="71" t="s">
        <v>121</v>
      </c>
      <c r="D156" s="91" t="s">
        <v>140</v>
      </c>
      <c r="E156" s="332">
        <v>38692398</v>
      </c>
      <c r="F156" s="330"/>
      <c r="G156" s="332">
        <v>3882114</v>
      </c>
      <c r="H156" s="332">
        <v>4900999</v>
      </c>
      <c r="I156" s="331">
        <v>0.75</v>
      </c>
      <c r="J156" s="332">
        <v>6204366.1100000031</v>
      </c>
      <c r="K156" s="329">
        <f t="shared" si="60"/>
        <v>1.5981926625544749</v>
      </c>
      <c r="L156" s="329"/>
      <c r="M156" s="332">
        <f t="shared" si="61"/>
        <v>1166256.0664705858</v>
      </c>
      <c r="N156" s="332">
        <v>7370622.1764705889</v>
      </c>
      <c r="O156" s="329">
        <f t="shared" si="62"/>
        <v>1.8986104417517333</v>
      </c>
      <c r="P156" s="332">
        <f t="shared" si="63"/>
        <v>4459036.6764705889</v>
      </c>
      <c r="Q156" s="332">
        <f t="shared" si="64"/>
        <v>4847248.0764705893</v>
      </c>
      <c r="T156" s="288">
        <f t="shared" si="48"/>
        <v>1166256.0664705858</v>
      </c>
      <c r="V156" s="295" t="str">
        <f t="shared" si="49"/>
        <v>OK</v>
      </c>
    </row>
    <row r="157" spans="1:24" s="8" customFormat="1" ht="69.75" x14ac:dyDescent="0.2">
      <c r="A157" s="89">
        <v>105</v>
      </c>
      <c r="B157" s="89" t="s">
        <v>6</v>
      </c>
      <c r="C157" s="71" t="s">
        <v>122</v>
      </c>
      <c r="D157" s="91" t="s">
        <v>140</v>
      </c>
      <c r="E157" s="332">
        <v>9960103</v>
      </c>
      <c r="F157" s="330"/>
      <c r="G157" s="332">
        <v>1124950</v>
      </c>
      <c r="H157" s="332">
        <v>0</v>
      </c>
      <c r="I157" s="331">
        <v>0.75</v>
      </c>
      <c r="J157" s="332">
        <v>548205.36</v>
      </c>
      <c r="K157" s="329">
        <f t="shared" si="60"/>
        <v>0.48731531179163518</v>
      </c>
      <c r="L157" s="329"/>
      <c r="M157" s="332">
        <f t="shared" si="61"/>
        <v>893587.91058823548</v>
      </c>
      <c r="N157" s="332">
        <v>1441793.2705882355</v>
      </c>
      <c r="O157" s="329">
        <f t="shared" si="62"/>
        <v>1.2816509805664567</v>
      </c>
      <c r="P157" s="332">
        <f t="shared" si="63"/>
        <v>598080.77058823546</v>
      </c>
      <c r="Q157" s="332">
        <f t="shared" si="64"/>
        <v>710575.77058823546</v>
      </c>
      <c r="T157" s="288">
        <f t="shared" si="48"/>
        <v>893587.91058823548</v>
      </c>
      <c r="V157" s="295" t="str">
        <f t="shared" si="49"/>
        <v>OK</v>
      </c>
    </row>
    <row r="158" spans="1:24" s="8" customFormat="1" ht="69.75" collapsed="1" x14ac:dyDescent="0.2">
      <c r="A158" s="89">
        <v>98</v>
      </c>
      <c r="B158" s="89" t="s">
        <v>6</v>
      </c>
      <c r="C158" s="71" t="s">
        <v>123</v>
      </c>
      <c r="D158" s="91" t="s">
        <v>140</v>
      </c>
      <c r="E158" s="332">
        <v>22765950</v>
      </c>
      <c r="F158" s="330"/>
      <c r="G158" s="332">
        <v>2124950</v>
      </c>
      <c r="H158" s="332">
        <v>0</v>
      </c>
      <c r="I158" s="331">
        <v>0.75</v>
      </c>
      <c r="J158" s="332">
        <v>144676.38</v>
      </c>
      <c r="K158" s="329">
        <f t="shared" si="60"/>
        <v>6.8084604343631616E-2</v>
      </c>
      <c r="L158" s="329"/>
      <c r="M158" s="332">
        <f t="shared" si="61"/>
        <v>247458.98470588244</v>
      </c>
      <c r="N158" s="332">
        <v>392135.36470588244</v>
      </c>
      <c r="O158" s="329">
        <f t="shared" si="62"/>
        <v>0.18453863135880019</v>
      </c>
      <c r="P158" s="332">
        <f t="shared" si="63"/>
        <v>-1201577.1352941175</v>
      </c>
      <c r="Q158" s="332">
        <f t="shared" si="64"/>
        <v>-989082.1352941175</v>
      </c>
      <c r="T158" s="288">
        <f t="shared" si="48"/>
        <v>247458.98470588244</v>
      </c>
      <c r="V158" s="295" t="str">
        <f t="shared" si="49"/>
        <v>OK</v>
      </c>
    </row>
    <row r="159" spans="1:24" s="8" customFormat="1" ht="28.5" hidden="1" outlineLevel="1" x14ac:dyDescent="0.2">
      <c r="A159" s="425" t="s">
        <v>19</v>
      </c>
      <c r="B159" s="426"/>
      <c r="C159" s="426"/>
      <c r="D159" s="426"/>
      <c r="E159" s="426"/>
      <c r="F159" s="426"/>
      <c r="G159" s="426"/>
      <c r="H159" s="426"/>
      <c r="I159" s="426"/>
      <c r="J159" s="426"/>
      <c r="K159" s="426"/>
      <c r="L159" s="426"/>
      <c r="M159" s="426"/>
      <c r="N159" s="426"/>
      <c r="O159" s="426"/>
      <c r="P159" s="426"/>
      <c r="Q159" s="427"/>
    </row>
    <row r="160" spans="1:24" s="8" customFormat="1" ht="39" hidden="1" outlineLevel="1" x14ac:dyDescent="0.2">
      <c r="A160" s="61">
        <v>115</v>
      </c>
      <c r="B160" s="61" t="s">
        <v>160</v>
      </c>
      <c r="C160" s="62" t="s">
        <v>19</v>
      </c>
      <c r="D160" s="63" t="s">
        <v>159</v>
      </c>
      <c r="E160" s="325">
        <v>119195650.58823529</v>
      </c>
      <c r="F160" s="38"/>
      <c r="G160" s="56"/>
      <c r="H160" s="56"/>
      <c r="I160" s="64"/>
      <c r="J160" s="64"/>
      <c r="K160" s="64"/>
      <c r="L160" s="64"/>
      <c r="M160" s="64"/>
      <c r="N160" s="56"/>
      <c r="O160" s="56"/>
      <c r="P160" s="58"/>
      <c r="Q160" s="56"/>
    </row>
    <row r="161" spans="1:24" s="8" customFormat="1" ht="24.75" customHeight="1" x14ac:dyDescent="0.2">
      <c r="A161" s="21"/>
      <c r="B161" s="21"/>
      <c r="C161" s="22"/>
      <c r="D161" s="23"/>
      <c r="E161" s="19"/>
      <c r="F161" s="19"/>
      <c r="G161" s="19"/>
      <c r="H161" s="19"/>
      <c r="I161" s="19"/>
      <c r="J161" s="19"/>
      <c r="K161" s="19"/>
      <c r="L161" s="19"/>
      <c r="M161" s="19"/>
      <c r="N161" s="24"/>
      <c r="O161" s="24"/>
      <c r="P161" s="24"/>
      <c r="Q161" s="24"/>
    </row>
    <row r="162" spans="1:24" s="8" customFormat="1" ht="44.25" customHeight="1" x14ac:dyDescent="0.4">
      <c r="A162" s="374" t="s">
        <v>15</v>
      </c>
      <c r="B162" s="374"/>
      <c r="C162" s="374"/>
      <c r="D162" s="374"/>
      <c r="E162" s="374"/>
      <c r="F162" s="374"/>
      <c r="G162" s="374"/>
      <c r="H162" s="374"/>
      <c r="I162" s="374"/>
      <c r="J162" s="374"/>
      <c r="K162" s="374"/>
      <c r="L162" s="374"/>
      <c r="M162" s="374"/>
      <c r="N162" s="374"/>
      <c r="O162" s="374"/>
      <c r="P162" s="374"/>
      <c r="Q162" s="374"/>
      <c r="X162" s="324"/>
    </row>
    <row r="163" spans="1:24" s="8" customFormat="1" ht="17.25" customHeight="1" x14ac:dyDescent="0.2">
      <c r="A163" s="16" t="s">
        <v>16</v>
      </c>
      <c r="D163" s="11"/>
    </row>
    <row r="164" spans="1:24" s="8" customFormat="1" ht="32.25" customHeight="1" x14ac:dyDescent="0.2">
      <c r="A164" s="16"/>
      <c r="D164" s="11"/>
    </row>
    <row r="165" spans="1:24" s="8" customFormat="1" ht="15.75" x14ac:dyDescent="0.2">
      <c r="A165" s="16"/>
      <c r="B165" s="16"/>
      <c r="D165" s="11"/>
    </row>
    <row r="166" spans="1:24" s="8" customFormat="1" ht="10.5" customHeight="1" x14ac:dyDescent="0.2">
      <c r="D166" s="11"/>
    </row>
    <row r="167" spans="1:24" s="8" customFormat="1" x14ac:dyDescent="0.2">
      <c r="D167" s="11"/>
    </row>
    <row r="168" spans="1:24" s="8" customFormat="1" x14ac:dyDescent="0.2">
      <c r="D168" s="11"/>
    </row>
    <row r="169" spans="1:24" s="8" customFormat="1" ht="16.5" x14ac:dyDescent="0.25">
      <c r="B169" s="37"/>
      <c r="D169" s="11"/>
    </row>
    <row r="170" spans="1:24" s="8" customFormat="1" ht="16.5" x14ac:dyDescent="0.25">
      <c r="A170" s="17"/>
      <c r="B170" s="17"/>
      <c r="D170" s="11"/>
    </row>
    <row r="171" spans="1:24" s="8" customFormat="1" ht="16.5" x14ac:dyDescent="0.25">
      <c r="A171" s="18"/>
      <c r="B171" s="18"/>
      <c r="C171" s="37"/>
      <c r="D171" s="11"/>
    </row>
    <row r="172" spans="1:24" s="8" customFormat="1" x14ac:dyDescent="0.2">
      <c r="D172" s="11"/>
    </row>
    <row r="173" spans="1:24" s="8" customFormat="1" x14ac:dyDescent="0.2">
      <c r="D173" s="11"/>
    </row>
    <row r="174" spans="1:24" s="8" customFormat="1" x14ac:dyDescent="0.2">
      <c r="D174" s="11"/>
    </row>
    <row r="175" spans="1:24" s="8" customFormat="1" x14ac:dyDescent="0.2">
      <c r="D175" s="11"/>
    </row>
    <row r="176" spans="1:24" s="8" customFormat="1" x14ac:dyDescent="0.2"/>
    <row r="177" spans="4:17" s="8" customFormat="1" x14ac:dyDescent="0.2"/>
    <row r="178" spans="4:17" s="8" customFormat="1" x14ac:dyDescent="0.2"/>
    <row r="179" spans="4:17" s="8" customFormat="1" x14ac:dyDescent="0.2"/>
    <row r="180" spans="4:17" s="12" customFormat="1" ht="18.75" x14ac:dyDescent="0.3">
      <c r="D180" s="8"/>
    </row>
    <row r="181" spans="4:17" s="12" customFormat="1" ht="18.75" x14ac:dyDescent="0.3">
      <c r="D181" s="8"/>
      <c r="F181" s="14"/>
      <c r="G181" s="14"/>
      <c r="H181" s="14"/>
      <c r="I181" s="14"/>
      <c r="J181" s="14"/>
      <c r="K181" s="14"/>
      <c r="L181" s="14"/>
      <c r="M181" s="14"/>
      <c r="N181" s="14"/>
      <c r="O181" s="14"/>
      <c r="P181" s="14"/>
      <c r="Q181" s="14"/>
    </row>
    <row r="182" spans="4:17" s="12" customFormat="1" ht="18.75" x14ac:dyDescent="0.3">
      <c r="D182" s="8"/>
      <c r="F182" s="13"/>
      <c r="G182" s="13"/>
      <c r="H182" s="13"/>
      <c r="I182" s="13"/>
      <c r="J182" s="13"/>
      <c r="K182" s="13"/>
      <c r="L182" s="13"/>
      <c r="M182" s="13"/>
      <c r="N182" s="13"/>
      <c r="O182" s="13"/>
      <c r="P182" s="13"/>
      <c r="Q182" s="13"/>
    </row>
    <row r="183" spans="4:17" s="12" customFormat="1" ht="18.75" x14ac:dyDescent="0.3">
      <c r="D183" s="8"/>
      <c r="F183" s="15"/>
      <c r="G183" s="15"/>
      <c r="H183" s="15"/>
      <c r="I183" s="15"/>
      <c r="J183" s="15"/>
      <c r="K183" s="15"/>
      <c r="L183" s="15"/>
      <c r="M183" s="15"/>
      <c r="N183" s="15"/>
      <c r="O183" s="15"/>
      <c r="P183" s="15"/>
      <c r="Q183" s="15"/>
    </row>
    <row r="184" spans="4:17" s="12" customFormat="1" ht="18.75" x14ac:dyDescent="0.3">
      <c r="D184" s="8"/>
    </row>
    <row r="185" spans="4:17" s="12" customFormat="1" ht="18.75" x14ac:dyDescent="0.3">
      <c r="D185" s="8"/>
    </row>
    <row r="186" spans="4:17" s="12" customFormat="1" ht="18.75" x14ac:dyDescent="0.3">
      <c r="D186" s="8"/>
    </row>
    <row r="187" spans="4:17" s="12" customFormat="1" ht="18.75" x14ac:dyDescent="0.3">
      <c r="D187" s="8"/>
    </row>
    <row r="188" spans="4:17" s="8" customFormat="1" x14ac:dyDescent="0.2"/>
    <row r="189" spans="4:17" s="8" customFormat="1" x14ac:dyDescent="0.2"/>
    <row r="190" spans="4:17" s="8" customFormat="1" x14ac:dyDescent="0.2"/>
    <row r="191" spans="4:17" s="8" customFormat="1" x14ac:dyDescent="0.2"/>
    <row r="192" spans="4:17"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sheetData>
  <sheetProtection formatCells="0" formatColumns="0" formatRows="0" autoFilter="0"/>
  <dataConsolidate/>
  <mergeCells count="58">
    <mergeCell ref="A80:Q80"/>
    <mergeCell ref="A88:Q88"/>
    <mergeCell ref="A159:Q159"/>
    <mergeCell ref="A162:Q162"/>
    <mergeCell ref="A100:Q100"/>
    <mergeCell ref="A109:Q109"/>
    <mergeCell ref="A112:Q112"/>
    <mergeCell ref="A117:Q117"/>
    <mergeCell ref="A135:Q135"/>
    <mergeCell ref="A139:Q139"/>
    <mergeCell ref="A90:Q90"/>
    <mergeCell ref="M52:M53"/>
    <mergeCell ref="N52:N53"/>
    <mergeCell ref="O52:O53"/>
    <mergeCell ref="P52:P53"/>
    <mergeCell ref="Q52:Q53"/>
    <mergeCell ref="G52:G53"/>
    <mergeCell ref="H52:H53"/>
    <mergeCell ref="I52:I53"/>
    <mergeCell ref="J52:J53"/>
    <mergeCell ref="K52:K53"/>
    <mergeCell ref="A62:Q62"/>
    <mergeCell ref="A67:Q67"/>
    <mergeCell ref="A72:Q72"/>
    <mergeCell ref="K46:K49"/>
    <mergeCell ref="M46:M49"/>
    <mergeCell ref="N46:N49"/>
    <mergeCell ref="O46:O49"/>
    <mergeCell ref="P46:P49"/>
    <mergeCell ref="Q46:Q49"/>
    <mergeCell ref="F46:F49"/>
    <mergeCell ref="G46:G49"/>
    <mergeCell ref="H46:H49"/>
    <mergeCell ref="I46:I49"/>
    <mergeCell ref="J46:J49"/>
    <mergeCell ref="A57:Q57"/>
    <mergeCell ref="F52:F53"/>
    <mergeCell ref="A29:Q29"/>
    <mergeCell ref="A41:Q41"/>
    <mergeCell ref="A45:Q45"/>
    <mergeCell ref="H8:H10"/>
    <mergeCell ref="I8:I10"/>
    <mergeCell ref="J8:J10"/>
    <mergeCell ref="K8:K10"/>
    <mergeCell ref="L8:L10"/>
    <mergeCell ref="M8:M10"/>
    <mergeCell ref="A4:Q4"/>
    <mergeCell ref="C5:Q5"/>
    <mergeCell ref="N6:Q6"/>
    <mergeCell ref="A8:A27"/>
    <mergeCell ref="B8:B27"/>
    <mergeCell ref="C8:C27"/>
    <mergeCell ref="D8:D27"/>
    <mergeCell ref="E8:E10"/>
    <mergeCell ref="F8:F10"/>
    <mergeCell ref="G8:G10"/>
    <mergeCell ref="N8:Q8"/>
    <mergeCell ref="N9:Q9"/>
  </mergeCells>
  <dataValidations count="1">
    <dataValidation type="list" errorStyle="warning" allowBlank="1" showInputMessage="1" showErrorMessage="1" errorTitle="Izvēle tikai no saraksta!" error="Lūdzu izvēlēties vienu no vērtībām sarakstā." sqref="N163:Q1048576 F170:M1048576">
      <formula1>#REF!</formula1>
    </dataValidation>
  </dataValidations>
  <pageMargins left="0.23622047244094491" right="3.937007874015748E-2" top="0.74803149606299213" bottom="0.74803149606299213" header="0.31496062992125984" footer="0.31496062992125984"/>
  <pageSetup paperSize="9" scale="38" fitToHeight="0" orientation="portrait" r:id="rId1"/>
  <headerFooter>
    <oddFooter>&amp;L&amp;16&amp;F&amp;C&amp;16&amp;P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AB284"/>
  <sheetViews>
    <sheetView view="pageBreakPreview" topLeftCell="C5" zoomScale="55" zoomScaleNormal="55" zoomScaleSheetLayoutView="55" zoomScalePageLayoutView="50" workbookViewId="0">
      <selection activeCell="L17" sqref="L17"/>
    </sheetView>
  </sheetViews>
  <sheetFormatPr defaultColWidth="9" defaultRowHeight="12.75" outlineLevelRow="1" outlineLevelCol="1" x14ac:dyDescent="0.2"/>
  <cols>
    <col min="1" max="1" width="14.75" style="1" hidden="1" customWidth="1" collapsed="1"/>
    <col min="2" max="2" width="16.625" style="1" hidden="1" customWidth="1" outlineLevel="1"/>
    <col min="3" max="3" width="25.75" style="1" customWidth="1"/>
    <col min="4" max="4" width="10.375" style="1" customWidth="1"/>
    <col min="5" max="5" width="18.875" style="1" customWidth="1" collapsed="1"/>
    <col min="6" max="6" width="13.75" style="1" hidden="1" customWidth="1" outlineLevel="1"/>
    <col min="7" max="7" width="16.625" style="1" customWidth="1"/>
    <col min="8" max="8" width="19.125" style="1" customWidth="1"/>
    <col min="9" max="9" width="23.25" style="1" customWidth="1"/>
    <col min="10" max="10" width="19.875" style="1" customWidth="1"/>
    <col min="11" max="11" width="19.5" style="1" customWidth="1"/>
    <col min="12" max="12" width="18.625" style="1" customWidth="1"/>
    <col min="13" max="13" width="17.25" style="1" customWidth="1"/>
    <col min="14" max="14" width="15.5" style="1" customWidth="1"/>
    <col min="15" max="15" width="19.75" style="1" customWidth="1"/>
    <col min="16" max="16" width="21.125" style="1" customWidth="1" collapsed="1"/>
    <col min="17" max="17" width="19.625" style="1" hidden="1" customWidth="1" outlineLevel="1"/>
    <col min="18" max="18" width="9" style="1" hidden="1" customWidth="1" outlineLevel="1"/>
    <col min="19" max="19" width="15.625" style="1" hidden="1" customWidth="1" outlineLevel="1"/>
    <col min="20" max="21" width="9" style="1" hidden="1" customWidth="1" outlineLevel="1"/>
    <col min="22" max="22" width="9" style="1"/>
    <col min="23" max="23" width="10.625" style="1" bestFit="1" customWidth="1"/>
    <col min="24" max="24" width="16.375" style="1" bestFit="1" customWidth="1"/>
    <col min="25" max="25" width="9" style="1"/>
    <col min="26" max="26" width="15.375" style="1" bestFit="1" customWidth="1"/>
    <col min="27" max="27" width="14.625" style="1" bestFit="1" customWidth="1"/>
    <col min="28" max="28" width="9" style="1" customWidth="1"/>
    <col min="29" max="16384" width="9" style="1"/>
  </cols>
  <sheetData>
    <row r="1" spans="1:17" ht="26.25" hidden="1" customHeight="1" x14ac:dyDescent="0.2"/>
    <row r="2" spans="1:17" ht="24.75" customHeight="1" x14ac:dyDescent="0.2"/>
    <row r="3" spans="1:17" ht="26.25" hidden="1" customHeight="1" x14ac:dyDescent="0.2"/>
    <row r="4" spans="1:17" ht="65.25" customHeight="1" x14ac:dyDescent="0.2">
      <c r="A4" s="420" t="s">
        <v>331</v>
      </c>
      <c r="B4" s="420"/>
      <c r="C4" s="420"/>
      <c r="D4" s="420"/>
      <c r="E4" s="420"/>
      <c r="F4" s="420"/>
      <c r="G4" s="420"/>
      <c r="H4" s="420"/>
      <c r="I4" s="420"/>
      <c r="J4" s="420"/>
      <c r="K4" s="420"/>
      <c r="L4" s="420"/>
      <c r="M4" s="420"/>
      <c r="N4" s="420"/>
      <c r="O4" s="420"/>
      <c r="P4" s="420"/>
      <c r="Q4" s="32"/>
    </row>
    <row r="5" spans="1:17" ht="171.75" customHeight="1" x14ac:dyDescent="0.2">
      <c r="A5" s="301"/>
      <c r="B5" s="301"/>
      <c r="C5" s="422" t="s">
        <v>338</v>
      </c>
      <c r="D5" s="422"/>
      <c r="E5" s="422"/>
      <c r="F5" s="422"/>
      <c r="G5" s="422"/>
      <c r="H5" s="422"/>
      <c r="I5" s="422"/>
      <c r="J5" s="422"/>
      <c r="K5" s="422"/>
      <c r="L5" s="422"/>
      <c r="M5" s="422"/>
      <c r="N5" s="422"/>
      <c r="O5" s="422"/>
      <c r="P5" s="422"/>
      <c r="Q5" s="32"/>
    </row>
    <row r="6" spans="1:17" ht="61.5" customHeight="1" x14ac:dyDescent="0.2">
      <c r="A6" s="301"/>
      <c r="B6" s="301"/>
      <c r="C6" s="307" t="s">
        <v>332</v>
      </c>
      <c r="D6" s="302"/>
      <c r="E6" s="428" t="s">
        <v>334</v>
      </c>
      <c r="F6" s="429"/>
      <c r="G6" s="429"/>
      <c r="H6" s="429"/>
      <c r="I6" s="429"/>
      <c r="J6" s="429"/>
      <c r="K6" s="430"/>
      <c r="L6" s="303"/>
      <c r="M6" s="431" t="s">
        <v>333</v>
      </c>
      <c r="N6" s="432"/>
      <c r="O6" s="432"/>
      <c r="P6" s="432"/>
      <c r="Q6" s="32"/>
    </row>
    <row r="7" spans="1:17" s="3" customFormat="1" ht="36" customHeight="1" x14ac:dyDescent="0.3">
      <c r="A7" s="25"/>
      <c r="B7" s="25"/>
      <c r="C7" s="28" t="s">
        <v>337</v>
      </c>
      <c r="D7" s="2"/>
      <c r="E7" s="20"/>
      <c r="F7" s="29"/>
      <c r="G7" s="29"/>
      <c r="H7" s="29"/>
      <c r="I7" s="29"/>
      <c r="J7" s="29"/>
      <c r="K7" s="29"/>
      <c r="L7" s="29"/>
      <c r="M7" s="31"/>
      <c r="N7" s="31"/>
      <c r="O7" s="31"/>
      <c r="P7" s="31"/>
    </row>
    <row r="8" spans="1:17" s="4" customFormat="1" ht="72.75" customHeight="1" x14ac:dyDescent="0.2">
      <c r="A8" s="415" t="s">
        <v>18</v>
      </c>
      <c r="B8" s="415" t="s">
        <v>0</v>
      </c>
      <c r="C8" s="415" t="s">
        <v>17</v>
      </c>
      <c r="D8" s="421" t="s">
        <v>169</v>
      </c>
      <c r="E8" s="415" t="s">
        <v>194</v>
      </c>
      <c r="F8" s="415" t="s">
        <v>161</v>
      </c>
      <c r="G8" s="415" t="s">
        <v>329</v>
      </c>
      <c r="H8" s="415" t="s">
        <v>188</v>
      </c>
      <c r="I8" s="415" t="s">
        <v>336</v>
      </c>
      <c r="J8" s="415" t="s">
        <v>339</v>
      </c>
      <c r="K8" s="415" t="s">
        <v>328</v>
      </c>
      <c r="L8" s="415" t="s">
        <v>325</v>
      </c>
      <c r="M8" s="381" t="s">
        <v>327</v>
      </c>
      <c r="N8" s="381"/>
      <c r="O8" s="381"/>
      <c r="P8" s="381"/>
    </row>
    <row r="9" spans="1:17" s="4" customFormat="1" ht="70.5" customHeight="1" x14ac:dyDescent="0.2">
      <c r="A9" s="415"/>
      <c r="B9" s="415"/>
      <c r="C9" s="415"/>
      <c r="D9" s="421"/>
      <c r="E9" s="415"/>
      <c r="F9" s="415"/>
      <c r="G9" s="415"/>
      <c r="H9" s="415"/>
      <c r="I9" s="415"/>
      <c r="J9" s="415"/>
      <c r="K9" s="415"/>
      <c r="L9" s="415"/>
      <c r="M9" s="424" t="s">
        <v>330</v>
      </c>
      <c r="N9" s="424"/>
      <c r="O9" s="424"/>
      <c r="P9" s="424"/>
    </row>
    <row r="10" spans="1:17" s="4" customFormat="1" ht="116.25" customHeight="1" x14ac:dyDescent="0.2">
      <c r="A10" s="415"/>
      <c r="B10" s="415"/>
      <c r="C10" s="415"/>
      <c r="D10" s="421"/>
      <c r="E10" s="415"/>
      <c r="F10" s="415"/>
      <c r="G10" s="415"/>
      <c r="H10" s="415"/>
      <c r="I10" s="415"/>
      <c r="J10" s="415"/>
      <c r="K10" s="415"/>
      <c r="L10" s="415"/>
      <c r="M10" s="310" t="s">
        <v>186</v>
      </c>
      <c r="N10" s="309" t="s">
        <v>171</v>
      </c>
      <c r="O10" s="41" t="s">
        <v>185</v>
      </c>
      <c r="P10" s="41" t="s">
        <v>184</v>
      </c>
    </row>
    <row r="11" spans="1:17" s="4" customFormat="1" ht="29.25" customHeight="1" x14ac:dyDescent="0.2">
      <c r="A11" s="415"/>
      <c r="B11" s="415"/>
      <c r="C11" s="415"/>
      <c r="D11" s="421"/>
      <c r="E11" s="279" t="s">
        <v>317</v>
      </c>
      <c r="F11" s="310"/>
      <c r="G11" s="285">
        <f>SUM(G12:G27)</f>
        <v>1076947646</v>
      </c>
      <c r="H11" s="285">
        <f>SUM(H12:H27)</f>
        <v>267691617.85153958</v>
      </c>
      <c r="I11" s="284">
        <v>0.75</v>
      </c>
      <c r="J11" s="285">
        <f t="shared" ref="J11:L11" si="0">SUM(J12:J27)</f>
        <v>1071682353.9688236</v>
      </c>
      <c r="K11" s="284"/>
      <c r="L11" s="285">
        <f t="shared" si="0"/>
        <v>96003292.186195761</v>
      </c>
      <c r="M11" s="285">
        <f>SUM(M12:M27)</f>
        <v>1167685646.1550193</v>
      </c>
      <c r="N11" s="309"/>
      <c r="O11" s="285">
        <f>O16+O18+O24</f>
        <v>-19960280.44751288</v>
      </c>
      <c r="P11" s="285">
        <f>P16</f>
        <v>-7340309.4491891935</v>
      </c>
    </row>
    <row r="12" spans="1:17" s="4" customFormat="1" ht="21.95" customHeight="1" outlineLevel="1" x14ac:dyDescent="0.35">
      <c r="A12" s="415"/>
      <c r="B12" s="415"/>
      <c r="C12" s="415"/>
      <c r="D12" s="421"/>
      <c r="E12" s="78" t="s">
        <v>143</v>
      </c>
      <c r="F12" s="71" t="s">
        <v>143</v>
      </c>
      <c r="G12" s="312">
        <f>G30+G31+G33+G32+G34+G35+G36+G37+G38+G39+G40</f>
        <v>83094259</v>
      </c>
      <c r="H12" s="312">
        <f>H30+H31+H33+H32+H34+H35+H36+H37+H38+H39+H40</f>
        <v>34255265.871961921</v>
      </c>
      <c r="I12" s="311">
        <v>0.75</v>
      </c>
      <c r="J12" s="312">
        <f t="shared" ref="J12" si="1">J30+J31+J33+J32+J34+J35+J36+J37+J38+J39+J40</f>
        <v>105217609.82000001</v>
      </c>
      <c r="K12" s="311">
        <f t="shared" ref="K12:K27" si="2">J12/G12</f>
        <v>1.2662440352226982</v>
      </c>
      <c r="L12" s="312">
        <f>M12-J12</f>
        <v>10230129.630607277</v>
      </c>
      <c r="M12" s="312">
        <f>M30+M31+M33+M32+M34+M35+M36+M37+M38+M39+M40</f>
        <v>115447739.45060728</v>
      </c>
      <c r="N12" s="311">
        <f t="shared" ref="N12:N27" si="3">M12/G12</f>
        <v>1.3893587937357657</v>
      </c>
      <c r="O12" s="312">
        <f t="shared" ref="O12:O27" si="4">M12-(G12*I12)</f>
        <v>53127045.200607285</v>
      </c>
      <c r="P12" s="312">
        <f t="shared" ref="P12:P27" si="5">M12-(G12*0.65)</f>
        <v>61436471.100607283</v>
      </c>
      <c r="Q12" s="35"/>
    </row>
    <row r="13" spans="1:17" s="4" customFormat="1" ht="21.95" customHeight="1" outlineLevel="1" x14ac:dyDescent="0.35">
      <c r="A13" s="415"/>
      <c r="B13" s="415"/>
      <c r="C13" s="415"/>
      <c r="D13" s="421"/>
      <c r="E13" s="78" t="s">
        <v>144</v>
      </c>
      <c r="F13" s="78" t="s">
        <v>144</v>
      </c>
      <c r="G13" s="312">
        <f>G42+G43+G44</f>
        <v>23975988</v>
      </c>
      <c r="H13" s="312">
        <f>H42+H43+H44</f>
        <v>10538992.077308552</v>
      </c>
      <c r="I13" s="311">
        <v>0.75</v>
      </c>
      <c r="J13" s="312">
        <f t="shared" ref="J13" si="6">J42+J43+J44</f>
        <v>17414231.109999999</v>
      </c>
      <c r="K13" s="311">
        <f t="shared" si="2"/>
        <v>0.72631964572221175</v>
      </c>
      <c r="L13" s="312">
        <f t="shared" ref="L13:L27" si="7">M13-J13</f>
        <v>3039771.4900000021</v>
      </c>
      <c r="M13" s="312">
        <f>M42+M43+M44</f>
        <v>20454002.600000001</v>
      </c>
      <c r="N13" s="311">
        <f t="shared" si="3"/>
        <v>0.85310363852367632</v>
      </c>
      <c r="O13" s="312">
        <f t="shared" si="4"/>
        <v>2472011.6000000015</v>
      </c>
      <c r="P13" s="312">
        <f t="shared" si="5"/>
        <v>4869610.4000000004</v>
      </c>
      <c r="Q13" s="35"/>
    </row>
    <row r="14" spans="1:17" s="4" customFormat="1" ht="21.95" customHeight="1" outlineLevel="1" x14ac:dyDescent="0.35">
      <c r="A14" s="415"/>
      <c r="B14" s="415"/>
      <c r="C14" s="415"/>
      <c r="D14" s="421"/>
      <c r="E14" s="78" t="s">
        <v>145</v>
      </c>
      <c r="F14" s="71" t="s">
        <v>145</v>
      </c>
      <c r="G14" s="312">
        <f>G46+G47+G48+G49+G50+G51+G52+G53+G54+G55+G56</f>
        <v>79669032</v>
      </c>
      <c r="H14" s="312">
        <f>H46+H47+H48+H49+H50+H51+H52+H53+H54+H55+H56</f>
        <v>18066349.449242234</v>
      </c>
      <c r="I14" s="311">
        <v>0.85</v>
      </c>
      <c r="J14" s="312">
        <f t="shared" ref="J14" si="8">J46+J47+J48+J49+J50+J51+J52+J53+J54+J55+J56</f>
        <v>132190492.77882349</v>
      </c>
      <c r="K14" s="311">
        <f t="shared" si="2"/>
        <v>1.6592456248096938</v>
      </c>
      <c r="L14" s="312">
        <f t="shared" si="7"/>
        <v>6148431.3901119232</v>
      </c>
      <c r="M14" s="312">
        <f>M46+M47+M48+M49+M50+M51+M52+M53+M54+M55+M56</f>
        <v>138338924.16893542</v>
      </c>
      <c r="N14" s="311">
        <f t="shared" si="3"/>
        <v>1.7364202965204274</v>
      </c>
      <c r="O14" s="312">
        <f t="shared" si="4"/>
        <v>70620246.968935415</v>
      </c>
      <c r="P14" s="312">
        <f t="shared" si="5"/>
        <v>86554053.368935406</v>
      </c>
      <c r="Q14" s="35"/>
    </row>
    <row r="15" spans="1:17" s="4" customFormat="1" ht="21.95" customHeight="1" outlineLevel="1" x14ac:dyDescent="0.35">
      <c r="A15" s="415"/>
      <c r="B15" s="415"/>
      <c r="C15" s="415"/>
      <c r="D15" s="421"/>
      <c r="E15" s="78" t="s">
        <v>146</v>
      </c>
      <c r="F15" s="78" t="s">
        <v>146</v>
      </c>
      <c r="G15" s="312">
        <f>G58+G59+G60+G61</f>
        <v>7012838</v>
      </c>
      <c r="H15" s="312">
        <f>H58+H59+H60+H61</f>
        <v>1123274.1675711775</v>
      </c>
      <c r="I15" s="311">
        <v>0.85</v>
      </c>
      <c r="J15" s="312">
        <f t="shared" ref="J15" si="9">J58+J59+J60+J61</f>
        <v>7138937.7200000007</v>
      </c>
      <c r="K15" s="311">
        <f t="shared" si="2"/>
        <v>1.017981268068648</v>
      </c>
      <c r="L15" s="312">
        <f t="shared" si="7"/>
        <v>704296.87999999896</v>
      </c>
      <c r="M15" s="312">
        <f>M58+M59+M60+M61</f>
        <v>7843234.5999999996</v>
      </c>
      <c r="N15" s="311">
        <f t="shared" si="3"/>
        <v>1.1184109200868464</v>
      </c>
      <c r="O15" s="312">
        <f t="shared" si="4"/>
        <v>1882322.2999999998</v>
      </c>
      <c r="P15" s="312">
        <f t="shared" si="5"/>
        <v>3284889.8999999994</v>
      </c>
      <c r="Q15" s="35"/>
    </row>
    <row r="16" spans="1:17" s="4" customFormat="1" ht="21.95" customHeight="1" outlineLevel="1" x14ac:dyDescent="0.35">
      <c r="A16" s="415"/>
      <c r="B16" s="415"/>
      <c r="C16" s="415"/>
      <c r="D16" s="421"/>
      <c r="E16" s="302" t="s">
        <v>147</v>
      </c>
      <c r="F16" s="71" t="s">
        <v>147</v>
      </c>
      <c r="G16" s="312">
        <f>G63+G64+G65+G66</f>
        <v>56161288</v>
      </c>
      <c r="H16" s="312">
        <f>H63+H64+H65+H66</f>
        <v>17465636.620791227</v>
      </c>
      <c r="I16" s="311">
        <v>0.75</v>
      </c>
      <c r="J16" s="312">
        <f t="shared" ref="J16" si="10">J63+J64+J65+J66</f>
        <v>26118086.899999999</v>
      </c>
      <c r="K16" s="311">
        <f t="shared" si="2"/>
        <v>0.46505498413782814</v>
      </c>
      <c r="L16" s="312">
        <f t="shared" si="7"/>
        <v>3046440.8508108109</v>
      </c>
      <c r="M16" s="312">
        <f>M63+M64+M65+M66</f>
        <v>29164527.750810809</v>
      </c>
      <c r="N16" s="79">
        <f t="shared" si="3"/>
        <v>0.51929948171435825</v>
      </c>
      <c r="O16" s="302">
        <f t="shared" si="4"/>
        <v>-12956438.249189191</v>
      </c>
      <c r="P16" s="302">
        <f t="shared" si="5"/>
        <v>-7340309.4491891935</v>
      </c>
      <c r="Q16" s="35"/>
    </row>
    <row r="17" spans="1:21" s="4" customFormat="1" ht="21.95" customHeight="1" outlineLevel="1" x14ac:dyDescent="0.35">
      <c r="A17" s="415"/>
      <c r="B17" s="415"/>
      <c r="C17" s="415"/>
      <c r="D17" s="421"/>
      <c r="E17" s="78" t="s">
        <v>148</v>
      </c>
      <c r="F17" s="78" t="s">
        <v>148</v>
      </c>
      <c r="G17" s="312">
        <f>G68+G69+G70+G71</f>
        <v>31678051</v>
      </c>
      <c r="H17" s="312">
        <f>H68+H69+H70+H71</f>
        <v>12019298.103321806</v>
      </c>
      <c r="I17" s="311">
        <v>0.75</v>
      </c>
      <c r="J17" s="312">
        <f t="shared" ref="J17" si="11">J68+J69+J70+J71</f>
        <v>28482879.990000002</v>
      </c>
      <c r="K17" s="311">
        <f t="shared" si="2"/>
        <v>0.89913612393641273</v>
      </c>
      <c r="L17" s="312">
        <f t="shared" si="7"/>
        <v>3179397.9243589751</v>
      </c>
      <c r="M17" s="312">
        <f>M68+M69+M70+M71</f>
        <v>31662277.914358977</v>
      </c>
      <c r="N17" s="311">
        <f t="shared" si="3"/>
        <v>0.99950208156300324</v>
      </c>
      <c r="O17" s="312">
        <f t="shared" si="4"/>
        <v>7903739.6643589772</v>
      </c>
      <c r="P17" s="312">
        <f t="shared" si="5"/>
        <v>11071544.764358975</v>
      </c>
      <c r="Q17" s="35"/>
    </row>
    <row r="18" spans="1:21" s="4" customFormat="1" ht="21.95" customHeight="1" outlineLevel="1" x14ac:dyDescent="0.35">
      <c r="A18" s="415"/>
      <c r="B18" s="415"/>
      <c r="C18" s="415"/>
      <c r="D18" s="421"/>
      <c r="E18" s="305" t="s">
        <v>149</v>
      </c>
      <c r="F18" s="71" t="s">
        <v>149</v>
      </c>
      <c r="G18" s="312">
        <f>G73+G74+G75+G76+G77+G78+G79</f>
        <v>109957466</v>
      </c>
      <c r="H18" s="312">
        <f>H73+H74+H75+H76+H77+H78+H79</f>
        <v>26405878.707944859</v>
      </c>
      <c r="I18" s="311">
        <v>0.75</v>
      </c>
      <c r="J18" s="312">
        <f t="shared" ref="J18" si="12">J73+J74+J75+J76+J77+J78+J79</f>
        <v>75876525.570000008</v>
      </c>
      <c r="K18" s="311">
        <f t="shared" si="2"/>
        <v>0.69005342092914368</v>
      </c>
      <c r="L18" s="312">
        <f t="shared" si="7"/>
        <v>4557517.2746174932</v>
      </c>
      <c r="M18" s="312">
        <f>M73+M74+M75+M76+M77+M78+M79</f>
        <v>80434042.844617501</v>
      </c>
      <c r="N18" s="304">
        <f t="shared" si="3"/>
        <v>0.73150142296492626</v>
      </c>
      <c r="O18" s="305">
        <f t="shared" si="4"/>
        <v>-2034056.6553824991</v>
      </c>
      <c r="P18" s="305">
        <f t="shared" si="5"/>
        <v>8961689.9446174949</v>
      </c>
      <c r="Q18" s="35"/>
    </row>
    <row r="19" spans="1:21" s="4" customFormat="1" ht="21.95" customHeight="1" outlineLevel="1" x14ac:dyDescent="0.35">
      <c r="A19" s="415"/>
      <c r="B19" s="415"/>
      <c r="C19" s="415"/>
      <c r="D19" s="421"/>
      <c r="E19" s="305" t="s">
        <v>150</v>
      </c>
      <c r="F19" s="78" t="s">
        <v>150</v>
      </c>
      <c r="G19" s="312">
        <f>G81+G82+G83+G84+G85+G86+G87</f>
        <v>35200539</v>
      </c>
      <c r="H19" s="312">
        <f>H81+H82+H83+H84+H85+H86+H87</f>
        <v>12102145.191502687</v>
      </c>
      <c r="I19" s="311">
        <v>0.85</v>
      </c>
      <c r="J19" s="312">
        <f t="shared" ref="J19" si="13">J81+J82+J83+J84+J85+J86+J87</f>
        <v>25322492.73</v>
      </c>
      <c r="K19" s="311">
        <f t="shared" si="2"/>
        <v>0.71937798253600604</v>
      </c>
      <c r="L19" s="312">
        <f t="shared" si="7"/>
        <v>4780502.1700389348</v>
      </c>
      <c r="M19" s="312">
        <f>M81+M82+M83+M84+M85+M86+M87</f>
        <v>30102994.900038935</v>
      </c>
      <c r="N19" s="304">
        <f t="shared" si="3"/>
        <v>0.85518562372124285</v>
      </c>
      <c r="O19" s="305">
        <f t="shared" si="4"/>
        <v>182536.75003893673</v>
      </c>
      <c r="P19" s="305">
        <f t="shared" si="5"/>
        <v>7222644.5500389338</v>
      </c>
      <c r="Q19" s="35"/>
    </row>
    <row r="20" spans="1:21" s="4" customFormat="1" ht="21.95" customHeight="1" outlineLevel="1" x14ac:dyDescent="0.35">
      <c r="A20" s="415"/>
      <c r="B20" s="415"/>
      <c r="C20" s="415"/>
      <c r="D20" s="421"/>
      <c r="E20" s="78" t="s">
        <v>151</v>
      </c>
      <c r="F20" s="78" t="s">
        <v>151</v>
      </c>
      <c r="G20" s="312">
        <f>G89</f>
        <v>72852630</v>
      </c>
      <c r="H20" s="312">
        <f>H89</f>
        <v>14363011</v>
      </c>
      <c r="I20" s="311">
        <v>0.75</v>
      </c>
      <c r="J20" s="312">
        <f t="shared" ref="J20" si="14">J89</f>
        <v>164197488.5</v>
      </c>
      <c r="K20" s="311">
        <f t="shared" si="2"/>
        <v>2.2538306235478389</v>
      </c>
      <c r="L20" s="312">
        <f t="shared" si="7"/>
        <v>17082866.872940987</v>
      </c>
      <c r="M20" s="312">
        <f>M89</f>
        <v>181280355.37294099</v>
      </c>
      <c r="N20" s="311">
        <f t="shared" si="3"/>
        <v>2.4883158696253105</v>
      </c>
      <c r="O20" s="312">
        <f t="shared" si="4"/>
        <v>126640882.87294099</v>
      </c>
      <c r="P20" s="312">
        <f t="shared" si="5"/>
        <v>133926145.87294099</v>
      </c>
      <c r="Q20" s="35"/>
    </row>
    <row r="21" spans="1:21" s="4" customFormat="1" ht="21.95" customHeight="1" outlineLevel="1" x14ac:dyDescent="0.35">
      <c r="A21" s="415"/>
      <c r="B21" s="415"/>
      <c r="C21" s="415"/>
      <c r="D21" s="421"/>
      <c r="E21" s="78" t="s">
        <v>152</v>
      </c>
      <c r="F21" s="78" t="s">
        <v>152</v>
      </c>
      <c r="G21" s="312">
        <f>G91+G92+G93+G94+G95+G96+G97+G98+G99</f>
        <v>306148623</v>
      </c>
      <c r="H21" s="312">
        <f>H91+H92+H93+H94+H95+H96+H97+H98+H99</f>
        <v>57183035.877791017</v>
      </c>
      <c r="I21" s="311">
        <v>0.75</v>
      </c>
      <c r="J21" s="312">
        <f t="shared" ref="J21" si="15">J91+J92+J93+J94+J95+J96+J97+J98+J99</f>
        <v>226214920.47</v>
      </c>
      <c r="K21" s="311">
        <f t="shared" si="2"/>
        <v>0.73890556244638084</v>
      </c>
      <c r="L21" s="312">
        <f t="shared" si="7"/>
        <v>27605225.799790949</v>
      </c>
      <c r="M21" s="312">
        <f>M91+M92+M93+M94+M95+M96+M97+M98+M99</f>
        <v>253820146.26979095</v>
      </c>
      <c r="N21" s="311">
        <f t="shared" si="3"/>
        <v>0.82907492374966829</v>
      </c>
      <c r="O21" s="312">
        <f t="shared" si="4"/>
        <v>24208679.019790947</v>
      </c>
      <c r="P21" s="312">
        <f t="shared" si="5"/>
        <v>54823541.31979093</v>
      </c>
      <c r="Q21" s="35"/>
    </row>
    <row r="22" spans="1:21" s="4" customFormat="1" ht="21.95" customHeight="1" outlineLevel="1" x14ac:dyDescent="0.35">
      <c r="A22" s="415"/>
      <c r="B22" s="415"/>
      <c r="C22" s="415"/>
      <c r="D22" s="421"/>
      <c r="E22" s="78" t="s">
        <v>153</v>
      </c>
      <c r="F22" s="78" t="s">
        <v>153</v>
      </c>
      <c r="G22" s="312">
        <f>G101+G102+G103+G104+G105+G106+G107+G108</f>
        <v>49376694</v>
      </c>
      <c r="H22" s="312">
        <f>H101+H102+H103+H104+H105+H106+H107+H108</f>
        <v>6973974</v>
      </c>
      <c r="I22" s="311">
        <v>0.85</v>
      </c>
      <c r="J22" s="312">
        <f t="shared" ref="J22" si="16">J101+J102+J103+J104+J105+J106+J107+J108</f>
        <v>55912760.889999986</v>
      </c>
      <c r="K22" s="311">
        <f t="shared" si="2"/>
        <v>1.1323714967632297</v>
      </c>
      <c r="L22" s="312">
        <f t="shared" si="7"/>
        <v>305759.72647055984</v>
      </c>
      <c r="M22" s="312">
        <f>M101+M102+M103+M104+M105+M106+M107+M108</f>
        <v>56218520.616470546</v>
      </c>
      <c r="N22" s="311">
        <f t="shared" si="3"/>
        <v>1.1385638863644971</v>
      </c>
      <c r="O22" s="312">
        <f t="shared" si="4"/>
        <v>14248330.716470547</v>
      </c>
      <c r="P22" s="312">
        <f t="shared" si="5"/>
        <v>24123669.516470544</v>
      </c>
      <c r="Q22" s="35"/>
    </row>
    <row r="23" spans="1:21" s="4" customFormat="1" ht="21.95" customHeight="1" outlineLevel="1" x14ac:dyDescent="0.35">
      <c r="A23" s="415"/>
      <c r="B23" s="415"/>
      <c r="C23" s="415"/>
      <c r="D23" s="421"/>
      <c r="E23" s="78" t="s">
        <v>154</v>
      </c>
      <c r="F23" s="78" t="s">
        <v>154</v>
      </c>
      <c r="G23" s="312">
        <f>G110+G111</f>
        <v>48708012</v>
      </c>
      <c r="H23" s="312">
        <f>H110+H111</f>
        <v>0</v>
      </c>
      <c r="I23" s="311">
        <v>0.85</v>
      </c>
      <c r="J23" s="312">
        <f t="shared" ref="J23" si="17">J110+J111</f>
        <v>57855369.849999994</v>
      </c>
      <c r="K23" s="311">
        <f t="shared" si="2"/>
        <v>1.1877998603186677</v>
      </c>
      <c r="L23" s="312">
        <f t="shared" si="7"/>
        <v>1459496.2201670036</v>
      </c>
      <c r="M23" s="312">
        <f>M110+M111</f>
        <v>59314866.070166998</v>
      </c>
      <c r="N23" s="311">
        <f t="shared" si="3"/>
        <v>1.2177640522501103</v>
      </c>
      <c r="O23" s="312">
        <f t="shared" si="4"/>
        <v>17913055.870167002</v>
      </c>
      <c r="P23" s="312">
        <f t="shared" si="5"/>
        <v>27654658.270166997</v>
      </c>
      <c r="Q23" s="35"/>
    </row>
    <row r="24" spans="1:21" s="4" customFormat="1" ht="21.95" customHeight="1" outlineLevel="1" x14ac:dyDescent="0.35">
      <c r="A24" s="415"/>
      <c r="B24" s="415"/>
      <c r="C24" s="415"/>
      <c r="D24" s="421"/>
      <c r="E24" s="305" t="s">
        <v>155</v>
      </c>
      <c r="F24" s="78" t="s">
        <v>155</v>
      </c>
      <c r="G24" s="312">
        <f>G113+G114+G115+G116</f>
        <v>80534872</v>
      </c>
      <c r="H24" s="312">
        <f>H113+H114+H115+H116</f>
        <v>16924211.699999999</v>
      </c>
      <c r="I24" s="311">
        <v>0.85</v>
      </c>
      <c r="J24" s="312">
        <f t="shared" ref="J24" si="18">J113+J114+J115+J116</f>
        <v>61790584.269999988</v>
      </c>
      <c r="K24" s="311">
        <f t="shared" si="2"/>
        <v>0.76725252968676705</v>
      </c>
      <c r="L24" s="312">
        <f t="shared" si="7"/>
        <v>1694271.3870588243</v>
      </c>
      <c r="M24" s="312">
        <f>M113+M114+M115+M116</f>
        <v>63484855.657058813</v>
      </c>
      <c r="N24" s="304">
        <f t="shared" si="3"/>
        <v>0.78829026582495609</v>
      </c>
      <c r="O24" s="305">
        <f t="shared" si="4"/>
        <v>-4969785.5429411903</v>
      </c>
      <c r="P24" s="305">
        <f t="shared" si="5"/>
        <v>11137188.857058808</v>
      </c>
      <c r="Q24" s="35"/>
    </row>
    <row r="25" spans="1:21" s="4" customFormat="1" ht="21.95" customHeight="1" outlineLevel="1" x14ac:dyDescent="0.35">
      <c r="A25" s="415"/>
      <c r="B25" s="415"/>
      <c r="C25" s="415"/>
      <c r="D25" s="421"/>
      <c r="E25" s="78" t="s">
        <v>156</v>
      </c>
      <c r="F25" s="78" t="s">
        <v>156</v>
      </c>
      <c r="G25" s="312">
        <f>G118+G119+G120+G121+G122+G123+G124+G125+G126+G127+G128+G129+G130+G131+G132+G133+G134</f>
        <v>36865959</v>
      </c>
      <c r="H25" s="312">
        <f>H118+H119+H120+H121+H122+H123+H124+H125+H126+H127+H128+H129+H130+H131+H132+H133+H134</f>
        <v>14473760.993476558</v>
      </c>
      <c r="I25" s="311">
        <v>0.75</v>
      </c>
      <c r="J25" s="312">
        <f t="shared" ref="J25" si="19">J118+J119+J120+J121+J122+J123+J124+J125+J126+J127+J128+J129+J130+J131+J132+J133+J134</f>
        <v>29178229.090000004</v>
      </c>
      <c r="K25" s="311">
        <f t="shared" si="2"/>
        <v>0.79146806109126322</v>
      </c>
      <c r="L25" s="312">
        <f t="shared" si="7"/>
        <v>4667327.4200000018</v>
      </c>
      <c r="M25" s="312">
        <f>M118+M119+M120+M121+M122+M123+M124+M125+M126+M127+M128+M129+M130+M131+M132+M133+M134</f>
        <v>33845556.510000005</v>
      </c>
      <c r="N25" s="311">
        <f t="shared" si="3"/>
        <v>0.91807069253237128</v>
      </c>
      <c r="O25" s="312">
        <f t="shared" si="4"/>
        <v>6196087.2600000054</v>
      </c>
      <c r="P25" s="312">
        <f t="shared" si="5"/>
        <v>9882683.1600000039</v>
      </c>
      <c r="Q25" s="35"/>
    </row>
    <row r="26" spans="1:21" s="4" customFormat="1" ht="21.95" customHeight="1" outlineLevel="1" x14ac:dyDescent="0.35">
      <c r="A26" s="415"/>
      <c r="B26" s="415"/>
      <c r="C26" s="415"/>
      <c r="D26" s="421"/>
      <c r="E26" s="78" t="s">
        <v>157</v>
      </c>
      <c r="F26" s="78" t="s">
        <v>157</v>
      </c>
      <c r="G26" s="312">
        <f>G136+G137+G138</f>
        <v>7796118</v>
      </c>
      <c r="H26" s="312">
        <f>H136+H137+H138</f>
        <v>11795105</v>
      </c>
      <c r="I26" s="311">
        <v>0.75</v>
      </c>
      <c r="J26" s="312">
        <f t="shared" ref="J26" si="20">J136+J137+J138</f>
        <v>11110484.129999999</v>
      </c>
      <c r="K26" s="311">
        <f t="shared" si="2"/>
        <v>1.4251303187047706</v>
      </c>
      <c r="L26" s="312">
        <f t="shared" si="7"/>
        <v>2149247.5523529425</v>
      </c>
      <c r="M26" s="312">
        <f>M136+M137+M138</f>
        <v>13259731.682352941</v>
      </c>
      <c r="N26" s="311">
        <f t="shared" si="3"/>
        <v>1.7008120813913978</v>
      </c>
      <c r="O26" s="312">
        <f t="shared" si="4"/>
        <v>7412643.1823529415</v>
      </c>
      <c r="P26" s="312">
        <f t="shared" si="5"/>
        <v>8192254.9823529413</v>
      </c>
      <c r="Q26" s="35"/>
    </row>
    <row r="27" spans="1:21" s="4" customFormat="1" ht="21.95" customHeight="1" outlineLevel="1" x14ac:dyDescent="0.35">
      <c r="A27" s="415"/>
      <c r="B27" s="415"/>
      <c r="C27" s="415"/>
      <c r="D27" s="421"/>
      <c r="E27" s="78" t="s">
        <v>158</v>
      </c>
      <c r="F27" s="78" t="s">
        <v>158</v>
      </c>
      <c r="G27" s="312">
        <f>G140+G141+G142+G143+G144+G145+G146+G147+G148+G149+G150+G151+G152+G153+G154+G155+G156+G157+G158</f>
        <v>47915277</v>
      </c>
      <c r="H27" s="312">
        <f>H140+H141+H142+H143+H144+H145+H146+H147+H148+H149+H150+H151+H152+H153+H154+H155+H156+H157+H158</f>
        <v>14001679.090627547</v>
      </c>
      <c r="I27" s="311">
        <v>0.75</v>
      </c>
      <c r="J27" s="312">
        <f t="shared" ref="J27" si="21">J140+J141+J142+J143+J144+J145+J146+J147+J148+J149+J150+J151+J152+J153+J154+J155+J156+J157+J158</f>
        <v>47661260.149999999</v>
      </c>
      <c r="K27" s="311">
        <f t="shared" si="2"/>
        <v>0.9946986250335148</v>
      </c>
      <c r="L27" s="312">
        <f t="shared" si="7"/>
        <v>5352609.5968690738</v>
      </c>
      <c r="M27" s="312">
        <f>M140+M141+M142+M143+M144+M145+M146+M147+M148+M149+M150+M151+M152+M153+M154+M155+M156+M157+M158</f>
        <v>53013869.746869072</v>
      </c>
      <c r="N27" s="311">
        <f t="shared" si="3"/>
        <v>1.1064084998792572</v>
      </c>
      <c r="O27" s="312">
        <f t="shared" si="4"/>
        <v>17077411.996869072</v>
      </c>
      <c r="P27" s="312">
        <f t="shared" si="5"/>
        <v>21868939.696869072</v>
      </c>
      <c r="Q27" s="35"/>
    </row>
    <row r="28" spans="1:21" s="6" customFormat="1" ht="15" customHeight="1" x14ac:dyDescent="0.2">
      <c r="A28" s="297" t="s">
        <v>1</v>
      </c>
      <c r="B28" s="297" t="s">
        <v>1</v>
      </c>
      <c r="C28" s="297" t="s">
        <v>1</v>
      </c>
      <c r="D28" s="297" t="s">
        <v>2</v>
      </c>
      <c r="E28" s="297" t="s">
        <v>3</v>
      </c>
      <c r="F28" s="297" t="s">
        <v>4</v>
      </c>
      <c r="G28" s="297" t="s">
        <v>4</v>
      </c>
      <c r="H28" s="297" t="s">
        <v>7</v>
      </c>
      <c r="I28" s="297" t="s">
        <v>8</v>
      </c>
      <c r="J28" s="297" t="s">
        <v>9</v>
      </c>
      <c r="K28" s="297" t="s">
        <v>6</v>
      </c>
      <c r="L28" s="297" t="s">
        <v>10</v>
      </c>
      <c r="M28" s="297" t="s">
        <v>11</v>
      </c>
      <c r="N28" s="297" t="s">
        <v>12</v>
      </c>
      <c r="O28" s="297" t="s">
        <v>13</v>
      </c>
      <c r="P28" s="297" t="s">
        <v>14</v>
      </c>
    </row>
    <row r="29" spans="1:21" s="6" customFormat="1" ht="40.5" customHeight="1" x14ac:dyDescent="0.2">
      <c r="A29" s="414" t="s">
        <v>203</v>
      </c>
      <c r="B29" s="414"/>
      <c r="C29" s="414"/>
      <c r="D29" s="414"/>
      <c r="E29" s="414"/>
      <c r="F29" s="414"/>
      <c r="G29" s="414"/>
      <c r="H29" s="414"/>
      <c r="I29" s="414"/>
      <c r="J29" s="414"/>
      <c r="K29" s="414"/>
      <c r="L29" s="414"/>
      <c r="M29" s="414"/>
      <c r="N29" s="414"/>
      <c r="O29" s="414"/>
      <c r="P29" s="414"/>
    </row>
    <row r="30" spans="1:21" s="8" customFormat="1" ht="46.5" x14ac:dyDescent="0.2">
      <c r="A30" s="89">
        <v>9</v>
      </c>
      <c r="B30" s="90" t="s">
        <v>1</v>
      </c>
      <c r="C30" s="71" t="s">
        <v>20</v>
      </c>
      <c r="D30" s="91" t="s">
        <v>126</v>
      </c>
      <c r="E30" s="312">
        <v>76512873</v>
      </c>
      <c r="F30" s="312"/>
      <c r="G30" s="312">
        <v>11617160</v>
      </c>
      <c r="H30" s="312">
        <v>0</v>
      </c>
      <c r="I30" s="314">
        <v>0.75</v>
      </c>
      <c r="J30" s="312">
        <f>21351981.62-68379.89</f>
        <v>21283601.73</v>
      </c>
      <c r="K30" s="311">
        <f t="shared" ref="K30:K40" si="22">IFERROR(J30/G30,"n/a")</f>
        <v>1.8320830332026072</v>
      </c>
      <c r="L30" s="312">
        <f>M30-J30</f>
        <v>0</v>
      </c>
      <c r="M30" s="312">
        <v>21283601.73</v>
      </c>
      <c r="N30" s="311">
        <f t="shared" ref="N30:N40" si="23">IFERROR(M30/G30,"n/a")</f>
        <v>1.8320830332026072</v>
      </c>
      <c r="O30" s="312">
        <f t="shared" ref="O30:O40" si="24">IFERROR(M30-(G30*I30),"n/a")</f>
        <v>12570731.73</v>
      </c>
      <c r="P30" s="312">
        <f t="shared" ref="P30:P40" si="25">IFERROR(M30-(G30*0.65),"n/a")</f>
        <v>13732447.73</v>
      </c>
      <c r="S30" s="288">
        <f>M30-J30</f>
        <v>0</v>
      </c>
      <c r="U30" s="295" t="str">
        <f>IF(J30&gt;M30,"Nav labi","OK")</f>
        <v>OK</v>
      </c>
    </row>
    <row r="31" spans="1:21" s="8" customFormat="1" ht="69.75" x14ac:dyDescent="0.2">
      <c r="A31" s="89">
        <v>1</v>
      </c>
      <c r="B31" s="90" t="s">
        <v>1</v>
      </c>
      <c r="C31" s="71" t="s">
        <v>21</v>
      </c>
      <c r="D31" s="91" t="s">
        <v>126</v>
      </c>
      <c r="E31" s="312">
        <v>64029231</v>
      </c>
      <c r="F31" s="312"/>
      <c r="G31" s="312">
        <v>9721734</v>
      </c>
      <c r="H31" s="312">
        <v>0</v>
      </c>
      <c r="I31" s="314">
        <v>0.75</v>
      </c>
      <c r="J31" s="312">
        <v>2372454.96</v>
      </c>
      <c r="K31" s="311">
        <f t="shared" si="22"/>
        <v>0.24403619354325062</v>
      </c>
      <c r="L31" s="312">
        <f t="shared" ref="L31:L94" si="26">M31-J31</f>
        <v>952687.95764705818</v>
      </c>
      <c r="M31" s="312">
        <v>3325142.9176470581</v>
      </c>
      <c r="N31" s="311">
        <f t="shared" si="23"/>
        <v>0.34203187596441725</v>
      </c>
      <c r="O31" s="312">
        <f t="shared" si="24"/>
        <v>-3966157.5823529419</v>
      </c>
      <c r="P31" s="312">
        <f t="shared" si="25"/>
        <v>-2993984.1823529424</v>
      </c>
      <c r="S31" s="288">
        <f t="shared" ref="S31:S94" si="27">M31-J31</f>
        <v>952687.95764705818</v>
      </c>
      <c r="U31" s="295" t="str">
        <f t="shared" ref="U31:U94" si="28">IF(J31&gt;M31,"Nav labi","OK")</f>
        <v>OK</v>
      </c>
    </row>
    <row r="32" spans="1:21" s="8" customFormat="1" ht="46.5" x14ac:dyDescent="0.2">
      <c r="A32" s="89">
        <v>2</v>
      </c>
      <c r="B32" s="90" t="s">
        <v>1</v>
      </c>
      <c r="C32" s="71" t="s">
        <v>22</v>
      </c>
      <c r="D32" s="91" t="s">
        <v>126</v>
      </c>
      <c r="E32" s="312">
        <v>34000000</v>
      </c>
      <c r="F32" s="312"/>
      <c r="G32" s="312">
        <v>5116765</v>
      </c>
      <c r="H32" s="312">
        <v>9049303</v>
      </c>
      <c r="I32" s="314">
        <v>0.75</v>
      </c>
      <c r="J32" s="312">
        <v>0</v>
      </c>
      <c r="K32" s="311">
        <f t="shared" si="22"/>
        <v>0</v>
      </c>
      <c r="L32" s="312">
        <f t="shared" si="26"/>
        <v>0</v>
      </c>
      <c r="M32" s="312">
        <v>0</v>
      </c>
      <c r="N32" s="311">
        <f t="shared" si="23"/>
        <v>0</v>
      </c>
      <c r="O32" s="312">
        <f t="shared" si="24"/>
        <v>-3837573.75</v>
      </c>
      <c r="P32" s="312">
        <f t="shared" si="25"/>
        <v>-3325897.25</v>
      </c>
      <c r="Q32" s="10"/>
      <c r="S32" s="288">
        <f t="shared" si="27"/>
        <v>0</v>
      </c>
      <c r="U32" s="295" t="str">
        <f t="shared" si="28"/>
        <v>OK</v>
      </c>
    </row>
    <row r="33" spans="1:24" s="8" customFormat="1" ht="69.75" x14ac:dyDescent="0.2">
      <c r="A33" s="89">
        <v>8</v>
      </c>
      <c r="B33" s="90" t="s">
        <v>1</v>
      </c>
      <c r="C33" s="71" t="s">
        <v>23</v>
      </c>
      <c r="D33" s="91" t="s">
        <v>126</v>
      </c>
      <c r="E33" s="312">
        <v>122252616</v>
      </c>
      <c r="F33" s="312"/>
      <c r="G33" s="312">
        <v>17499122</v>
      </c>
      <c r="H33" s="312">
        <v>0</v>
      </c>
      <c r="I33" s="314">
        <v>0.75</v>
      </c>
      <c r="J33" s="312">
        <v>21735191.640000008</v>
      </c>
      <c r="K33" s="311">
        <f t="shared" si="22"/>
        <v>1.2420732674473616</v>
      </c>
      <c r="L33" s="312">
        <f t="shared" si="26"/>
        <v>6437981.2599999905</v>
      </c>
      <c r="M33" s="312">
        <v>28173172.899999999</v>
      </c>
      <c r="N33" s="311">
        <f t="shared" si="23"/>
        <v>1.6099763691001181</v>
      </c>
      <c r="O33" s="312">
        <f t="shared" si="24"/>
        <v>15048831.399999999</v>
      </c>
      <c r="P33" s="312">
        <f t="shared" si="25"/>
        <v>16798743.599999998</v>
      </c>
      <c r="S33" s="288">
        <f t="shared" si="27"/>
        <v>6437981.2599999905</v>
      </c>
      <c r="U33" s="295" t="str">
        <f t="shared" si="28"/>
        <v>OK</v>
      </c>
    </row>
    <row r="34" spans="1:24" s="8" customFormat="1" ht="69.75" x14ac:dyDescent="0.2">
      <c r="A34" s="89">
        <v>4</v>
      </c>
      <c r="B34" s="90" t="s">
        <v>1</v>
      </c>
      <c r="C34" s="71" t="s">
        <v>24</v>
      </c>
      <c r="D34" s="91" t="s">
        <v>126</v>
      </c>
      <c r="E34" s="312">
        <v>32552786</v>
      </c>
      <c r="F34" s="312"/>
      <c r="G34" s="312">
        <v>4809228</v>
      </c>
      <c r="H34" s="312">
        <v>7663112</v>
      </c>
      <c r="I34" s="314">
        <v>0.75</v>
      </c>
      <c r="J34" s="312">
        <v>1433908.0700000003</v>
      </c>
      <c r="K34" s="311">
        <f t="shared" si="22"/>
        <v>0.29815763985404731</v>
      </c>
      <c r="L34" s="312">
        <f t="shared" si="26"/>
        <v>0</v>
      </c>
      <c r="M34" s="312">
        <v>1433908.0700000003</v>
      </c>
      <c r="N34" s="311">
        <f t="shared" si="23"/>
        <v>0.29815763985404731</v>
      </c>
      <c r="O34" s="312">
        <f t="shared" si="24"/>
        <v>-2173012.9299999997</v>
      </c>
      <c r="P34" s="312">
        <f t="shared" si="25"/>
        <v>-1692090.13</v>
      </c>
      <c r="S34" s="288">
        <f t="shared" si="27"/>
        <v>0</v>
      </c>
      <c r="U34" s="295" t="str">
        <f t="shared" si="28"/>
        <v>OK</v>
      </c>
    </row>
    <row r="35" spans="1:24" s="8" customFormat="1" ht="69.75" x14ac:dyDescent="0.2">
      <c r="A35" s="89">
        <v>10</v>
      </c>
      <c r="B35" s="95" t="s">
        <v>1</v>
      </c>
      <c r="C35" s="71" t="s">
        <v>25</v>
      </c>
      <c r="D35" s="91" t="s">
        <v>127</v>
      </c>
      <c r="E35" s="312">
        <v>81614203</v>
      </c>
      <c r="F35" s="312"/>
      <c r="G35" s="312">
        <v>13643805</v>
      </c>
      <c r="H35" s="312">
        <v>0</v>
      </c>
      <c r="I35" s="314">
        <v>0.75</v>
      </c>
      <c r="J35" s="312">
        <v>35965870.250000007</v>
      </c>
      <c r="K35" s="311">
        <f t="shared" si="22"/>
        <v>2.6360586544589291</v>
      </c>
      <c r="L35" s="312">
        <f t="shared" si="26"/>
        <v>2572022.6031372398</v>
      </c>
      <c r="M35" s="312">
        <v>38537892.853137247</v>
      </c>
      <c r="N35" s="311">
        <f t="shared" si="23"/>
        <v>2.8245707742918671</v>
      </c>
      <c r="O35" s="312">
        <f t="shared" si="24"/>
        <v>28305039.103137247</v>
      </c>
      <c r="P35" s="312">
        <f t="shared" si="25"/>
        <v>29669419.603137247</v>
      </c>
      <c r="S35" s="288">
        <f t="shared" si="27"/>
        <v>2572022.6031372398</v>
      </c>
      <c r="U35" s="295" t="str">
        <f t="shared" si="28"/>
        <v>OK</v>
      </c>
    </row>
    <row r="36" spans="1:24" s="8" customFormat="1" ht="69.75" x14ac:dyDescent="0.2">
      <c r="A36" s="89">
        <v>3</v>
      </c>
      <c r="B36" s="95" t="s">
        <v>1</v>
      </c>
      <c r="C36" s="71" t="s">
        <v>26</v>
      </c>
      <c r="D36" s="91" t="s">
        <v>127</v>
      </c>
      <c r="E36" s="312">
        <v>42352941</v>
      </c>
      <c r="F36" s="312"/>
      <c r="G36" s="312">
        <v>6352941</v>
      </c>
      <c r="H36" s="312">
        <v>17250001</v>
      </c>
      <c r="I36" s="314">
        <v>0.75</v>
      </c>
      <c r="J36" s="312">
        <v>2513661.41</v>
      </c>
      <c r="K36" s="311">
        <f t="shared" si="22"/>
        <v>0.39566893663895197</v>
      </c>
      <c r="L36" s="312">
        <f t="shared" si="26"/>
        <v>-1.0000000242143869E-2</v>
      </c>
      <c r="M36" s="312">
        <v>2513661.4</v>
      </c>
      <c r="N36" s="311">
        <f t="shared" si="23"/>
        <v>0.39566893506487782</v>
      </c>
      <c r="O36" s="312">
        <f t="shared" si="24"/>
        <v>-2251044.35</v>
      </c>
      <c r="P36" s="312">
        <f t="shared" si="25"/>
        <v>-1615750.2500000005</v>
      </c>
      <c r="S36" s="288">
        <f t="shared" si="27"/>
        <v>-1.0000000242143869E-2</v>
      </c>
      <c r="U36" s="295" t="str">
        <f t="shared" si="28"/>
        <v>Nav labi</v>
      </c>
    </row>
    <row r="37" spans="1:24" s="8" customFormat="1" ht="46.5" x14ac:dyDescent="0.2">
      <c r="A37" s="89">
        <v>11</v>
      </c>
      <c r="B37" s="95" t="s">
        <v>1</v>
      </c>
      <c r="C37" s="71" t="s">
        <v>27</v>
      </c>
      <c r="D37" s="91" t="s">
        <v>127</v>
      </c>
      <c r="E37" s="312">
        <v>142117362</v>
      </c>
      <c r="F37" s="312"/>
      <c r="G37" s="312">
        <v>9000000</v>
      </c>
      <c r="H37" s="312">
        <v>0</v>
      </c>
      <c r="I37" s="314">
        <v>0.75</v>
      </c>
      <c r="J37" s="312">
        <v>11092906.880000001</v>
      </c>
      <c r="K37" s="311">
        <f t="shared" si="22"/>
        <v>1.2325452088888891</v>
      </c>
      <c r="L37" s="312">
        <f t="shared" si="26"/>
        <v>0</v>
      </c>
      <c r="M37" s="312">
        <v>11092906.880000001</v>
      </c>
      <c r="N37" s="311">
        <f t="shared" si="23"/>
        <v>1.2325452088888891</v>
      </c>
      <c r="O37" s="312">
        <f t="shared" si="24"/>
        <v>4342906.8800000008</v>
      </c>
      <c r="P37" s="312">
        <f t="shared" si="25"/>
        <v>5242906.8800000008</v>
      </c>
      <c r="S37" s="288">
        <f t="shared" si="27"/>
        <v>0</v>
      </c>
      <c r="U37" s="295" t="str">
        <f t="shared" si="28"/>
        <v>OK</v>
      </c>
    </row>
    <row r="38" spans="1:24" s="8" customFormat="1" ht="69.75" x14ac:dyDescent="0.2">
      <c r="A38" s="89">
        <v>7</v>
      </c>
      <c r="B38" s="95" t="s">
        <v>1</v>
      </c>
      <c r="C38" s="71" t="s">
        <v>28</v>
      </c>
      <c r="D38" s="91" t="s">
        <v>127</v>
      </c>
      <c r="E38" s="312">
        <v>21176470</v>
      </c>
      <c r="F38" s="312"/>
      <c r="G38" s="312">
        <v>3736236</v>
      </c>
      <c r="H38" s="312">
        <v>0</v>
      </c>
      <c r="I38" s="314">
        <v>0.75</v>
      </c>
      <c r="J38" s="312">
        <v>6686550.0599999987</v>
      </c>
      <c r="K38" s="311">
        <f t="shared" si="22"/>
        <v>1.7896487427453722</v>
      </c>
      <c r="L38" s="312">
        <f t="shared" si="26"/>
        <v>131050.2350819679</v>
      </c>
      <c r="M38" s="312">
        <v>6817600.2950819666</v>
      </c>
      <c r="N38" s="311">
        <f t="shared" si="23"/>
        <v>1.824724213106979</v>
      </c>
      <c r="O38" s="312">
        <f t="shared" si="24"/>
        <v>4015423.2950819666</v>
      </c>
      <c r="P38" s="312">
        <f t="shared" si="25"/>
        <v>4389046.8950819671</v>
      </c>
      <c r="S38" s="288">
        <f t="shared" si="27"/>
        <v>131050.2350819679</v>
      </c>
      <c r="U38" s="295" t="str">
        <f t="shared" si="28"/>
        <v>OK</v>
      </c>
    </row>
    <row r="39" spans="1:24" s="8" customFormat="1" ht="69.75" x14ac:dyDescent="0.2">
      <c r="A39" s="89">
        <v>5</v>
      </c>
      <c r="B39" s="95" t="s">
        <v>1</v>
      </c>
      <c r="C39" s="71" t="s">
        <v>29</v>
      </c>
      <c r="D39" s="91" t="s">
        <v>127</v>
      </c>
      <c r="E39" s="312">
        <v>5648462</v>
      </c>
      <c r="F39" s="312"/>
      <c r="G39" s="312">
        <v>847269</v>
      </c>
      <c r="H39" s="312">
        <v>292849.87196192326</v>
      </c>
      <c r="I39" s="314">
        <v>0.75</v>
      </c>
      <c r="J39" s="312">
        <v>1241505.1600000001</v>
      </c>
      <c r="K39" s="311">
        <f t="shared" si="22"/>
        <v>1.4653022357716383</v>
      </c>
      <c r="L39" s="312">
        <f t="shared" si="26"/>
        <v>157703.72235294105</v>
      </c>
      <c r="M39" s="312">
        <v>1399208.8823529412</v>
      </c>
      <c r="N39" s="311">
        <f t="shared" si="23"/>
        <v>1.6514340573689599</v>
      </c>
      <c r="O39" s="312">
        <f t="shared" si="24"/>
        <v>763757.1323529412</v>
      </c>
      <c r="P39" s="312">
        <f t="shared" si="25"/>
        <v>848484.03235294123</v>
      </c>
      <c r="S39" s="288">
        <f t="shared" si="27"/>
        <v>157703.72235294105</v>
      </c>
      <c r="U39" s="295" t="str">
        <f t="shared" si="28"/>
        <v>OK</v>
      </c>
    </row>
    <row r="40" spans="1:24" s="8" customFormat="1" ht="69.75" x14ac:dyDescent="0.2">
      <c r="A40" s="89">
        <v>6</v>
      </c>
      <c r="B40" s="95" t="s">
        <v>1</v>
      </c>
      <c r="C40" s="71" t="s">
        <v>30</v>
      </c>
      <c r="D40" s="91" t="s">
        <v>127</v>
      </c>
      <c r="E40" s="312">
        <v>8127343</v>
      </c>
      <c r="F40" s="312"/>
      <c r="G40" s="312">
        <v>749999</v>
      </c>
      <c r="H40" s="312">
        <v>0</v>
      </c>
      <c r="I40" s="314">
        <v>0.75</v>
      </c>
      <c r="J40" s="312">
        <v>891959.66</v>
      </c>
      <c r="K40" s="311">
        <f t="shared" si="22"/>
        <v>1.1892811323748431</v>
      </c>
      <c r="L40" s="312">
        <f t="shared" si="26"/>
        <v>-21316.137611940387</v>
      </c>
      <c r="M40" s="312">
        <v>870643.52238805965</v>
      </c>
      <c r="N40" s="311">
        <f t="shared" si="23"/>
        <v>1.1608595776635164</v>
      </c>
      <c r="O40" s="312">
        <f t="shared" si="24"/>
        <v>308144.27238805965</v>
      </c>
      <c r="P40" s="312">
        <f t="shared" si="25"/>
        <v>383144.17238805961</v>
      </c>
      <c r="S40" s="288">
        <f t="shared" si="27"/>
        <v>-21316.137611940387</v>
      </c>
      <c r="U40" s="295" t="str">
        <f t="shared" si="28"/>
        <v>Nav labi</v>
      </c>
    </row>
    <row r="41" spans="1:24" s="8" customFormat="1" ht="28.5" x14ac:dyDescent="0.2">
      <c r="A41" s="414" t="s">
        <v>217</v>
      </c>
      <c r="B41" s="414"/>
      <c r="C41" s="414"/>
      <c r="D41" s="414"/>
      <c r="E41" s="414"/>
      <c r="F41" s="414"/>
      <c r="G41" s="414"/>
      <c r="H41" s="414"/>
      <c r="I41" s="414"/>
      <c r="J41" s="414"/>
      <c r="K41" s="414"/>
      <c r="L41" s="414"/>
      <c r="M41" s="414"/>
      <c r="N41" s="414"/>
      <c r="O41" s="414"/>
      <c r="P41" s="414"/>
      <c r="S41" s="288">
        <f t="shared" si="27"/>
        <v>0</v>
      </c>
      <c r="U41" s="295" t="str">
        <f t="shared" si="28"/>
        <v>OK</v>
      </c>
    </row>
    <row r="42" spans="1:24" s="8" customFormat="1" ht="69.75" x14ac:dyDescent="0.2">
      <c r="A42" s="89">
        <v>12</v>
      </c>
      <c r="B42" s="89" t="s">
        <v>2</v>
      </c>
      <c r="C42" s="71" t="s">
        <v>31</v>
      </c>
      <c r="D42" s="91" t="s">
        <v>128</v>
      </c>
      <c r="E42" s="312">
        <v>51734253</v>
      </c>
      <c r="F42" s="312"/>
      <c r="G42" s="312">
        <v>8821904</v>
      </c>
      <c r="H42" s="312">
        <v>2682212</v>
      </c>
      <c r="I42" s="314">
        <v>0.75</v>
      </c>
      <c r="J42" s="312">
        <v>592506.03999999992</v>
      </c>
      <c r="K42" s="311">
        <f>IFERROR(J42/G42,"n/a")</f>
        <v>6.7163056863915077E-2</v>
      </c>
      <c r="L42" s="312">
        <f t="shared" si="26"/>
        <v>1732240.4541176469</v>
      </c>
      <c r="M42" s="312">
        <v>2324746.4941176469</v>
      </c>
      <c r="N42" s="311">
        <f>IFERROR(M42/G42,"n/a")</f>
        <v>0.26351981319652162</v>
      </c>
      <c r="O42" s="312">
        <f>IFERROR(M42-(G42*I42),"n/a")</f>
        <v>-4291681.5058823526</v>
      </c>
      <c r="P42" s="312">
        <f>IFERROR(M42-(G42*0.65),"n/a")</f>
        <v>-3409491.1058823536</v>
      </c>
      <c r="S42" s="288">
        <f t="shared" si="27"/>
        <v>1732240.4541176469</v>
      </c>
      <c r="U42" s="295" t="str">
        <f t="shared" si="28"/>
        <v>OK</v>
      </c>
    </row>
    <row r="43" spans="1:24" s="8" customFormat="1" ht="69.75" x14ac:dyDescent="0.2">
      <c r="A43" s="89">
        <v>14</v>
      </c>
      <c r="B43" s="89" t="s">
        <v>2</v>
      </c>
      <c r="C43" s="71" t="s">
        <v>162</v>
      </c>
      <c r="D43" s="91" t="s">
        <v>129</v>
      </c>
      <c r="E43" s="312">
        <v>139640840</v>
      </c>
      <c r="F43" s="312"/>
      <c r="G43" s="312">
        <v>13754084</v>
      </c>
      <c r="H43" s="312">
        <v>7130936.6605614899</v>
      </c>
      <c r="I43" s="314">
        <v>0.75</v>
      </c>
      <c r="J43" s="312">
        <v>14334273.870000001</v>
      </c>
      <c r="K43" s="311">
        <f>IFERROR(J43/G43,"n/a")</f>
        <v>1.0421830977620903</v>
      </c>
      <c r="L43" s="312">
        <f t="shared" si="26"/>
        <v>1307531.0241176486</v>
      </c>
      <c r="M43" s="312">
        <v>15641804.89411765</v>
      </c>
      <c r="N43" s="311">
        <f>IFERROR(M43/G43,"n/a")</f>
        <v>1.1372480271399861</v>
      </c>
      <c r="O43" s="312">
        <f>IFERROR(M43-(G43*I43),"n/a")</f>
        <v>5326241.8941176496</v>
      </c>
      <c r="P43" s="312">
        <f>IFERROR(M43-(G43*0.65),"n/a")</f>
        <v>6701650.29411765</v>
      </c>
      <c r="S43" s="288">
        <f t="shared" si="27"/>
        <v>1307531.0241176486</v>
      </c>
      <c r="U43" s="295" t="str">
        <f t="shared" si="28"/>
        <v>OK</v>
      </c>
    </row>
    <row r="44" spans="1:24" s="27" customFormat="1" ht="69.75" x14ac:dyDescent="0.2">
      <c r="A44" s="89">
        <v>13</v>
      </c>
      <c r="B44" s="89" t="s">
        <v>2</v>
      </c>
      <c r="C44" s="71" t="s">
        <v>32</v>
      </c>
      <c r="D44" s="91" t="s">
        <v>129</v>
      </c>
      <c r="E44" s="312">
        <v>11900000</v>
      </c>
      <c r="F44" s="312"/>
      <c r="G44" s="312">
        <v>1400000</v>
      </c>
      <c r="H44" s="312">
        <v>725843.41674706095</v>
      </c>
      <c r="I44" s="314">
        <v>0.75</v>
      </c>
      <c r="J44" s="312">
        <v>2487451.2000000002</v>
      </c>
      <c r="K44" s="311">
        <f>IFERROR(J44/G44,"n/a")</f>
        <v>1.7767508571428572</v>
      </c>
      <c r="L44" s="312">
        <f t="shared" si="26"/>
        <v>1.1764706112444401E-2</v>
      </c>
      <c r="M44" s="312">
        <v>2487451.2117647063</v>
      </c>
      <c r="N44" s="311">
        <f>IFERROR(M44/G44,"n/a")</f>
        <v>1.7767508655462187</v>
      </c>
      <c r="O44" s="312">
        <f>IFERROR(M44-(G44*I44),"n/a")</f>
        <v>1437451.2117647063</v>
      </c>
      <c r="P44" s="312">
        <f>IFERROR(M44-(G44*0.65),"n/a")</f>
        <v>1577451.2117647063</v>
      </c>
      <c r="S44" s="288">
        <f t="shared" si="27"/>
        <v>1.1764706112444401E-2</v>
      </c>
      <c r="U44" s="295" t="str">
        <f t="shared" si="28"/>
        <v>OK</v>
      </c>
    </row>
    <row r="45" spans="1:24" s="27" customFormat="1" ht="28.5" x14ac:dyDescent="0.2">
      <c r="A45" s="414" t="s">
        <v>218</v>
      </c>
      <c r="B45" s="414"/>
      <c r="C45" s="414"/>
      <c r="D45" s="414"/>
      <c r="E45" s="414"/>
      <c r="F45" s="414"/>
      <c r="G45" s="414"/>
      <c r="H45" s="414"/>
      <c r="I45" s="414"/>
      <c r="J45" s="414"/>
      <c r="K45" s="414"/>
      <c r="L45" s="414"/>
      <c r="M45" s="414"/>
      <c r="N45" s="414"/>
      <c r="O45" s="414"/>
      <c r="P45" s="414"/>
      <c r="S45" s="288">
        <f t="shared" si="27"/>
        <v>0</v>
      </c>
      <c r="U45" s="295" t="str">
        <f t="shared" si="28"/>
        <v>OK</v>
      </c>
    </row>
    <row r="46" spans="1:24" s="8" customFormat="1" ht="46.5" x14ac:dyDescent="0.2">
      <c r="A46" s="89">
        <v>18</v>
      </c>
      <c r="B46" s="89" t="s">
        <v>3</v>
      </c>
      <c r="C46" s="71" t="s">
        <v>33</v>
      </c>
      <c r="D46" s="91" t="s">
        <v>127</v>
      </c>
      <c r="E46" s="312">
        <v>25882353</v>
      </c>
      <c r="F46" s="411"/>
      <c r="G46" s="410">
        <v>15955365.4</v>
      </c>
      <c r="H46" s="410">
        <v>3136162.7714382587</v>
      </c>
      <c r="I46" s="412">
        <v>0.85</v>
      </c>
      <c r="J46" s="410">
        <v>22312236.858149264</v>
      </c>
      <c r="K46" s="311">
        <f t="shared" ref="K46:K56" si="29">IFERROR(J46/G46,"n/a")</f>
        <v>1.3984159120636162</v>
      </c>
      <c r="L46" s="312">
        <f t="shared" si="26"/>
        <v>0</v>
      </c>
      <c r="M46" s="413">
        <v>22312236.858149264</v>
      </c>
      <c r="N46" s="409">
        <f>IFERROR(M46/G46,"n/a")</f>
        <v>1.3984159120636162</v>
      </c>
      <c r="O46" s="413">
        <f>IFERROR(M46-(G46*I46),"n/a")</f>
        <v>8750176.2681492642</v>
      </c>
      <c r="P46" s="413">
        <f>IFERROR(M46-(G46*0.65),"n/a")</f>
        <v>11941249.348149264</v>
      </c>
      <c r="S46" s="288">
        <f t="shared" si="27"/>
        <v>0</v>
      </c>
      <c r="U46" s="295" t="str">
        <f t="shared" si="28"/>
        <v>OK</v>
      </c>
    </row>
    <row r="47" spans="1:24" s="8" customFormat="1" ht="46.5" x14ac:dyDescent="0.2">
      <c r="A47" s="89">
        <v>19</v>
      </c>
      <c r="B47" s="89" t="s">
        <v>3</v>
      </c>
      <c r="C47" s="71" t="s">
        <v>34</v>
      </c>
      <c r="D47" s="91" t="s">
        <v>127</v>
      </c>
      <c r="E47" s="312">
        <v>8235294</v>
      </c>
      <c r="F47" s="411"/>
      <c r="G47" s="410"/>
      <c r="H47" s="410"/>
      <c r="I47" s="412"/>
      <c r="J47" s="410"/>
      <c r="K47" s="311" t="str">
        <f t="shared" si="29"/>
        <v>n/a</v>
      </c>
      <c r="L47" s="312">
        <f t="shared" si="26"/>
        <v>0</v>
      </c>
      <c r="M47" s="413"/>
      <c r="N47" s="409"/>
      <c r="O47" s="413"/>
      <c r="P47" s="413"/>
      <c r="S47" s="288">
        <f t="shared" si="27"/>
        <v>0</v>
      </c>
      <c r="U47" s="295" t="str">
        <f t="shared" si="28"/>
        <v>OK</v>
      </c>
      <c r="W47" s="128"/>
      <c r="X47" s="128"/>
    </row>
    <row r="48" spans="1:24" s="8" customFormat="1" ht="46.5" x14ac:dyDescent="0.2">
      <c r="A48" s="89">
        <v>20</v>
      </c>
      <c r="B48" s="89" t="s">
        <v>3</v>
      </c>
      <c r="C48" s="71" t="s">
        <v>35</v>
      </c>
      <c r="D48" s="91" t="s">
        <v>127</v>
      </c>
      <c r="E48" s="312">
        <v>12254724</v>
      </c>
      <c r="F48" s="411"/>
      <c r="G48" s="410"/>
      <c r="H48" s="410"/>
      <c r="I48" s="412"/>
      <c r="J48" s="410"/>
      <c r="K48" s="311" t="str">
        <f t="shared" si="29"/>
        <v>n/a</v>
      </c>
      <c r="L48" s="312">
        <f t="shared" si="26"/>
        <v>0</v>
      </c>
      <c r="M48" s="413"/>
      <c r="N48" s="409"/>
      <c r="O48" s="413"/>
      <c r="P48" s="413"/>
      <c r="S48" s="288">
        <f t="shared" si="27"/>
        <v>0</v>
      </c>
      <c r="U48" s="295" t="str">
        <f t="shared" si="28"/>
        <v>OK</v>
      </c>
    </row>
    <row r="49" spans="1:21" s="9" customFormat="1" ht="69.75" x14ac:dyDescent="0.2">
      <c r="A49" s="89">
        <v>21</v>
      </c>
      <c r="B49" s="89" t="s">
        <v>3</v>
      </c>
      <c r="C49" s="71" t="s">
        <v>36</v>
      </c>
      <c r="D49" s="91" t="s">
        <v>127</v>
      </c>
      <c r="E49" s="312">
        <v>14117647</v>
      </c>
      <c r="F49" s="411"/>
      <c r="G49" s="410"/>
      <c r="H49" s="410"/>
      <c r="I49" s="412"/>
      <c r="J49" s="410"/>
      <c r="K49" s="311" t="str">
        <f t="shared" si="29"/>
        <v>n/a</v>
      </c>
      <c r="L49" s="312">
        <f t="shared" si="26"/>
        <v>0</v>
      </c>
      <c r="M49" s="413"/>
      <c r="N49" s="409"/>
      <c r="O49" s="413"/>
      <c r="P49" s="413"/>
      <c r="S49" s="288">
        <f t="shared" si="27"/>
        <v>0</v>
      </c>
      <c r="U49" s="295" t="str">
        <f t="shared" si="28"/>
        <v>OK</v>
      </c>
    </row>
    <row r="50" spans="1:21" s="8" customFormat="1" ht="46.5" x14ac:dyDescent="0.2">
      <c r="A50" s="89">
        <v>17</v>
      </c>
      <c r="B50" s="89" t="s">
        <v>3</v>
      </c>
      <c r="C50" s="71" t="s">
        <v>37</v>
      </c>
      <c r="D50" s="91" t="s">
        <v>127</v>
      </c>
      <c r="E50" s="312">
        <v>29565515</v>
      </c>
      <c r="F50" s="313"/>
      <c r="G50" s="312">
        <v>7712947</v>
      </c>
      <c r="H50" s="312">
        <v>1532852.3333420665</v>
      </c>
      <c r="I50" s="314">
        <v>0.85</v>
      </c>
      <c r="J50" s="312">
        <v>15214801.230000008</v>
      </c>
      <c r="K50" s="311">
        <f t="shared" si="29"/>
        <v>1.9726313729369602</v>
      </c>
      <c r="L50" s="312">
        <f t="shared" si="26"/>
        <v>1044226.9518181756</v>
      </c>
      <c r="M50" s="312">
        <v>16259028.181818184</v>
      </c>
      <c r="N50" s="311">
        <f>IFERROR(M50/G50,"n/a")</f>
        <v>2.1080176204786811</v>
      </c>
      <c r="O50" s="312">
        <f t="shared" ref="O50:O56" si="30">IFERROR(M50-(G50*I50),"n/a")</f>
        <v>9703023.2318181843</v>
      </c>
      <c r="P50" s="312">
        <f t="shared" ref="P50:P56" si="31">IFERROR(M50-(G50*0.65),"n/a")</f>
        <v>11245612.631818183</v>
      </c>
      <c r="S50" s="288">
        <f t="shared" si="27"/>
        <v>1044226.9518181756</v>
      </c>
      <c r="U50" s="295" t="str">
        <f t="shared" si="28"/>
        <v>OK</v>
      </c>
    </row>
    <row r="51" spans="1:21" s="8" customFormat="1" ht="46.5" x14ac:dyDescent="0.2">
      <c r="A51" s="89">
        <v>15</v>
      </c>
      <c r="B51" s="89" t="s">
        <v>3</v>
      </c>
      <c r="C51" s="71" t="s">
        <v>38</v>
      </c>
      <c r="D51" s="91" t="s">
        <v>127</v>
      </c>
      <c r="E51" s="312">
        <v>32823529</v>
      </c>
      <c r="F51" s="313"/>
      <c r="G51" s="312">
        <v>8657815</v>
      </c>
      <c r="H51" s="312">
        <v>1701767.2497470386</v>
      </c>
      <c r="I51" s="314">
        <v>0.85</v>
      </c>
      <c r="J51" s="312">
        <v>3603255.8300000005</v>
      </c>
      <c r="K51" s="311">
        <f t="shared" si="29"/>
        <v>0.4161853573909815</v>
      </c>
      <c r="L51" s="312">
        <f t="shared" si="26"/>
        <v>5.2941171452403069E-3</v>
      </c>
      <c r="M51" s="312">
        <v>3603255.8352941177</v>
      </c>
      <c r="N51" s="311">
        <f>IFERROR(M51/G51,"n/a")</f>
        <v>0.4161853580024657</v>
      </c>
      <c r="O51" s="312">
        <f t="shared" si="30"/>
        <v>-3755886.9147058823</v>
      </c>
      <c r="P51" s="312">
        <f t="shared" si="31"/>
        <v>-2024323.9147058823</v>
      </c>
      <c r="S51" s="288">
        <f t="shared" si="27"/>
        <v>5.2941171452403069E-3</v>
      </c>
      <c r="U51" s="295" t="str">
        <f t="shared" si="28"/>
        <v>OK</v>
      </c>
    </row>
    <row r="52" spans="1:21" s="8" customFormat="1" ht="46.5" x14ac:dyDescent="0.2">
      <c r="A52" s="89">
        <v>22</v>
      </c>
      <c r="B52" s="89" t="s">
        <v>3</v>
      </c>
      <c r="C52" s="71" t="s">
        <v>39</v>
      </c>
      <c r="D52" s="91" t="s">
        <v>127</v>
      </c>
      <c r="E52" s="312">
        <v>70588236</v>
      </c>
      <c r="F52" s="411"/>
      <c r="G52" s="410">
        <v>22220807.399999999</v>
      </c>
      <c r="H52" s="410">
        <v>4574643.1444812873</v>
      </c>
      <c r="I52" s="412">
        <v>0.85</v>
      </c>
      <c r="J52" s="410">
        <v>32546308.600674231</v>
      </c>
      <c r="K52" s="311">
        <f t="shared" si="29"/>
        <v>1.4646771386297257</v>
      </c>
      <c r="L52" s="312">
        <f t="shared" si="26"/>
        <v>0</v>
      </c>
      <c r="M52" s="413">
        <v>32546308.600674231</v>
      </c>
      <c r="N52" s="409">
        <f>IFERROR(M52/G52,"n/a")</f>
        <v>1.4646771386297257</v>
      </c>
      <c r="O52" s="410">
        <f t="shared" si="30"/>
        <v>13658622.310674231</v>
      </c>
      <c r="P52" s="410">
        <f t="shared" si="31"/>
        <v>18102783.790674232</v>
      </c>
      <c r="S52" s="288">
        <f t="shared" si="27"/>
        <v>0</v>
      </c>
      <c r="U52" s="295" t="str">
        <f t="shared" si="28"/>
        <v>OK</v>
      </c>
    </row>
    <row r="53" spans="1:21" s="8" customFormat="1" ht="69.75" x14ac:dyDescent="0.2">
      <c r="A53" s="89">
        <v>23</v>
      </c>
      <c r="B53" s="89" t="s">
        <v>3</v>
      </c>
      <c r="C53" s="71" t="s">
        <v>40</v>
      </c>
      <c r="D53" s="91" t="s">
        <v>127</v>
      </c>
      <c r="E53" s="312">
        <v>17647059</v>
      </c>
      <c r="F53" s="411"/>
      <c r="G53" s="410"/>
      <c r="H53" s="410"/>
      <c r="I53" s="412"/>
      <c r="J53" s="410"/>
      <c r="K53" s="311" t="str">
        <f t="shared" si="29"/>
        <v>n/a</v>
      </c>
      <c r="L53" s="312">
        <f t="shared" si="26"/>
        <v>0</v>
      </c>
      <c r="M53" s="413"/>
      <c r="N53" s="409"/>
      <c r="O53" s="410">
        <f t="shared" si="30"/>
        <v>0</v>
      </c>
      <c r="P53" s="410">
        <f t="shared" si="31"/>
        <v>0</v>
      </c>
      <c r="S53" s="288">
        <f t="shared" si="27"/>
        <v>0</v>
      </c>
      <c r="U53" s="295" t="str">
        <f t="shared" si="28"/>
        <v>OK</v>
      </c>
    </row>
    <row r="54" spans="1:21" s="8" customFormat="1" ht="46.5" x14ac:dyDescent="0.2">
      <c r="A54" s="89">
        <v>16</v>
      </c>
      <c r="B54" s="89" t="s">
        <v>3</v>
      </c>
      <c r="C54" s="71" t="s">
        <v>41</v>
      </c>
      <c r="D54" s="91" t="s">
        <v>127</v>
      </c>
      <c r="E54" s="312">
        <v>7294119</v>
      </c>
      <c r="F54" s="104"/>
      <c r="G54" s="312">
        <v>1201009</v>
      </c>
      <c r="H54" s="312">
        <v>378170.56093902828</v>
      </c>
      <c r="I54" s="314">
        <v>0.85</v>
      </c>
      <c r="J54" s="312">
        <v>2147480.1</v>
      </c>
      <c r="K54" s="311">
        <f t="shared" si="29"/>
        <v>1.7880632867863606</v>
      </c>
      <c r="L54" s="312">
        <f t="shared" si="26"/>
        <v>139062.74337349366</v>
      </c>
      <c r="M54" s="312">
        <v>2286542.8433734938</v>
      </c>
      <c r="N54" s="311">
        <f>IFERROR(M54/G54,"n/a")</f>
        <v>1.9038515476349418</v>
      </c>
      <c r="O54" s="312">
        <f t="shared" si="30"/>
        <v>1265685.1933734939</v>
      </c>
      <c r="P54" s="312">
        <f t="shared" si="31"/>
        <v>1505886.9933734937</v>
      </c>
      <c r="S54" s="288">
        <f t="shared" si="27"/>
        <v>139062.74337349366</v>
      </c>
      <c r="U54" s="295" t="str">
        <f t="shared" si="28"/>
        <v>OK</v>
      </c>
    </row>
    <row r="55" spans="1:21" s="8" customFormat="1" ht="69.75" x14ac:dyDescent="0.2">
      <c r="A55" s="89">
        <v>25</v>
      </c>
      <c r="B55" s="89" t="s">
        <v>3</v>
      </c>
      <c r="C55" s="71" t="s">
        <v>42</v>
      </c>
      <c r="D55" s="91" t="s">
        <v>127</v>
      </c>
      <c r="E55" s="312">
        <v>60620418</v>
      </c>
      <c r="F55" s="104"/>
      <c r="G55" s="312">
        <v>10034796</v>
      </c>
      <c r="H55" s="312">
        <v>3143014</v>
      </c>
      <c r="I55" s="314">
        <v>0.85</v>
      </c>
      <c r="J55" s="312">
        <v>32996595.120000008</v>
      </c>
      <c r="K55" s="311">
        <f t="shared" si="29"/>
        <v>3.2882178292413724</v>
      </c>
      <c r="L55" s="312">
        <f t="shared" si="26"/>
        <v>0</v>
      </c>
      <c r="M55" s="312">
        <v>32996595.120000008</v>
      </c>
      <c r="N55" s="311">
        <f>IFERROR(M55/G55,"n/a")</f>
        <v>3.2882178292413724</v>
      </c>
      <c r="O55" s="312">
        <f t="shared" si="30"/>
        <v>24467018.520000011</v>
      </c>
      <c r="P55" s="312">
        <f t="shared" si="31"/>
        <v>26473977.720000006</v>
      </c>
      <c r="S55" s="288">
        <f t="shared" si="27"/>
        <v>0</v>
      </c>
      <c r="U55" s="295" t="str">
        <f t="shared" si="28"/>
        <v>OK</v>
      </c>
    </row>
    <row r="56" spans="1:21" s="8" customFormat="1" ht="69.75" x14ac:dyDescent="0.2">
      <c r="A56" s="89">
        <v>24</v>
      </c>
      <c r="B56" s="89" t="s">
        <v>3</v>
      </c>
      <c r="C56" s="71" t="s">
        <v>43</v>
      </c>
      <c r="D56" s="91" t="s">
        <v>129</v>
      </c>
      <c r="E56" s="312">
        <v>75552110.395380691</v>
      </c>
      <c r="F56" s="104"/>
      <c r="G56" s="312">
        <v>13886292.199999999</v>
      </c>
      <c r="H56" s="312">
        <v>3599739.3892945535</v>
      </c>
      <c r="I56" s="314">
        <v>0.85</v>
      </c>
      <c r="J56" s="312">
        <v>23369815.039999995</v>
      </c>
      <c r="K56" s="311">
        <f t="shared" si="29"/>
        <v>1.6829413282834418</v>
      </c>
      <c r="L56" s="312">
        <f t="shared" si="26"/>
        <v>4965141.6896261089</v>
      </c>
      <c r="M56" s="312">
        <v>28334956.729626104</v>
      </c>
      <c r="N56" s="311">
        <f>IFERROR(M56/G56,"n/a")</f>
        <v>2.0404983793748848</v>
      </c>
      <c r="O56" s="312">
        <f t="shared" si="30"/>
        <v>16531608.359626105</v>
      </c>
      <c r="P56" s="312">
        <f t="shared" si="31"/>
        <v>19308866.799626105</v>
      </c>
      <c r="S56" s="288">
        <f t="shared" si="27"/>
        <v>4965141.6896261089</v>
      </c>
      <c r="U56" s="295" t="str">
        <f t="shared" si="28"/>
        <v>OK</v>
      </c>
    </row>
    <row r="57" spans="1:21" s="8" customFormat="1" ht="28.5" x14ac:dyDescent="0.2">
      <c r="A57" s="414" t="s">
        <v>219</v>
      </c>
      <c r="B57" s="414"/>
      <c r="C57" s="414"/>
      <c r="D57" s="414"/>
      <c r="E57" s="414"/>
      <c r="F57" s="414"/>
      <c r="G57" s="414"/>
      <c r="H57" s="414"/>
      <c r="I57" s="414"/>
      <c r="J57" s="414"/>
      <c r="K57" s="414"/>
      <c r="L57" s="414"/>
      <c r="M57" s="414"/>
      <c r="N57" s="414"/>
      <c r="O57" s="414"/>
      <c r="P57" s="414"/>
      <c r="S57" s="288">
        <f t="shared" si="27"/>
        <v>0</v>
      </c>
      <c r="U57" s="295" t="str">
        <f t="shared" si="28"/>
        <v>OK</v>
      </c>
    </row>
    <row r="58" spans="1:21" s="8" customFormat="1" ht="116.25" x14ac:dyDescent="0.2">
      <c r="A58" s="89">
        <v>26</v>
      </c>
      <c r="B58" s="89" t="s">
        <v>3</v>
      </c>
      <c r="C58" s="71" t="s">
        <v>44</v>
      </c>
      <c r="D58" s="91" t="s">
        <v>130</v>
      </c>
      <c r="E58" s="312">
        <v>11169393</v>
      </c>
      <c r="F58" s="312"/>
      <c r="G58" s="312">
        <v>3672987</v>
      </c>
      <c r="H58" s="312">
        <v>590386</v>
      </c>
      <c r="I58" s="314">
        <v>0.85</v>
      </c>
      <c r="J58" s="312">
        <v>3833123.8600000008</v>
      </c>
      <c r="K58" s="311">
        <f>IFERROR(J58/G58,"n/a")</f>
        <v>1.0435985371034531</v>
      </c>
      <c r="L58" s="312">
        <f t="shared" si="26"/>
        <v>194766.32823529374</v>
      </c>
      <c r="M58" s="312">
        <v>4027890.1882352945</v>
      </c>
      <c r="N58" s="311">
        <f>IFERROR(M58/G58,"n/a")</f>
        <v>1.0966252230773739</v>
      </c>
      <c r="O58" s="312">
        <f>IFERROR(M58-(G58*I58),"n/a")</f>
        <v>905851.23823529482</v>
      </c>
      <c r="P58" s="312">
        <f>IFERROR(M58-(G58*0.65),"n/a")</f>
        <v>1640448.6382352943</v>
      </c>
      <c r="Q58" s="10"/>
      <c r="S58" s="288">
        <f t="shared" si="27"/>
        <v>194766.32823529374</v>
      </c>
      <c r="U58" s="295" t="str">
        <f t="shared" si="28"/>
        <v>OK</v>
      </c>
    </row>
    <row r="59" spans="1:21" s="8" customFormat="1" ht="93" x14ac:dyDescent="0.2">
      <c r="A59" s="89">
        <v>27</v>
      </c>
      <c r="B59" s="89" t="s">
        <v>3</v>
      </c>
      <c r="C59" s="71" t="s">
        <v>45</v>
      </c>
      <c r="D59" s="91" t="s">
        <v>131</v>
      </c>
      <c r="E59" s="312">
        <v>8181615</v>
      </c>
      <c r="F59" s="312"/>
      <c r="G59" s="312">
        <v>3132164</v>
      </c>
      <c r="H59" s="312">
        <v>453602</v>
      </c>
      <c r="I59" s="314">
        <v>0.85</v>
      </c>
      <c r="J59" s="312">
        <v>2973217.27</v>
      </c>
      <c r="K59" s="311">
        <f>IFERROR(J59/G59,"n/a")</f>
        <v>0.94925338200681697</v>
      </c>
      <c r="L59" s="312">
        <f t="shared" si="26"/>
        <v>465249.91823529406</v>
      </c>
      <c r="M59" s="312">
        <v>3438467.1882352941</v>
      </c>
      <c r="N59" s="311">
        <f>IFERROR(M59/G59,"n/a")</f>
        <v>1.0977928321235075</v>
      </c>
      <c r="O59" s="312">
        <f>IFERROR(M59-(G59*I59),"n/a")</f>
        <v>776127.78823529417</v>
      </c>
      <c r="P59" s="312">
        <f>IFERROR(M59-(G59*0.65),"n/a")</f>
        <v>1402560.588235294</v>
      </c>
      <c r="S59" s="288">
        <f t="shared" si="27"/>
        <v>465249.91823529406</v>
      </c>
      <c r="U59" s="295" t="str">
        <f t="shared" si="28"/>
        <v>OK</v>
      </c>
    </row>
    <row r="60" spans="1:21" s="8" customFormat="1" ht="46.5" x14ac:dyDescent="0.5">
      <c r="A60" s="89">
        <v>29</v>
      </c>
      <c r="B60" s="89" t="s">
        <v>3</v>
      </c>
      <c r="C60" s="71" t="s">
        <v>46</v>
      </c>
      <c r="D60" s="91" t="s">
        <v>131</v>
      </c>
      <c r="E60" s="312">
        <v>1500000</v>
      </c>
      <c r="F60" s="312"/>
      <c r="G60" s="312">
        <v>207687</v>
      </c>
      <c r="H60" s="312">
        <v>79286.167571177386</v>
      </c>
      <c r="I60" s="314">
        <v>0.85</v>
      </c>
      <c r="J60" s="312">
        <v>332596.59000000003</v>
      </c>
      <c r="K60" s="311">
        <f>IFERROR(J60/G60,"n/a")</f>
        <v>1.6014319143711451</v>
      </c>
      <c r="L60" s="312">
        <f t="shared" si="26"/>
        <v>44280.633529411745</v>
      </c>
      <c r="M60" s="312">
        <v>376877.22352941177</v>
      </c>
      <c r="N60" s="311">
        <f>IFERROR(M60/G60,"n/a")</f>
        <v>1.8146404133595833</v>
      </c>
      <c r="O60" s="312">
        <f>IFERROR(M60-(G60*I60),"n/a")</f>
        <v>200343.27352941179</v>
      </c>
      <c r="P60" s="312">
        <f>IFERROR(M60-(G60*0.65),"n/a")</f>
        <v>241880.67352941175</v>
      </c>
      <c r="Q60" s="30"/>
      <c r="S60" s="288">
        <f t="shared" si="27"/>
        <v>44280.633529411745</v>
      </c>
      <c r="U60" s="296" t="str">
        <f t="shared" si="28"/>
        <v>OK</v>
      </c>
    </row>
    <row r="61" spans="1:21" s="8" customFormat="1" ht="139.5" x14ac:dyDescent="0.2">
      <c r="A61" s="89">
        <v>28</v>
      </c>
      <c r="B61" s="89" t="s">
        <v>3</v>
      </c>
      <c r="C61" s="71" t="s">
        <v>47</v>
      </c>
      <c r="D61" s="91" t="s">
        <v>131</v>
      </c>
      <c r="E61" s="312">
        <v>400000</v>
      </c>
      <c r="F61" s="312"/>
      <c r="G61" s="312">
        <v>0</v>
      </c>
      <c r="H61" s="312">
        <v>0</v>
      </c>
      <c r="I61" s="314">
        <v>0.85</v>
      </c>
      <c r="J61" s="312">
        <v>0</v>
      </c>
      <c r="K61" s="311" t="str">
        <f>IFERROR(J61/G61,"n/a")</f>
        <v>n/a</v>
      </c>
      <c r="L61" s="312">
        <f t="shared" si="26"/>
        <v>0</v>
      </c>
      <c r="M61" s="312">
        <v>0</v>
      </c>
      <c r="N61" s="311" t="str">
        <f>IFERROR(M61/G61,"n/a")</f>
        <v>n/a</v>
      </c>
      <c r="O61" s="312">
        <f>IFERROR(M61-(G61*I61),"n/a")</f>
        <v>0</v>
      </c>
      <c r="P61" s="312">
        <f>IFERROR(M61-(G61*0.65),"n/a")</f>
        <v>0</v>
      </c>
      <c r="S61" s="288">
        <f t="shared" si="27"/>
        <v>0</v>
      </c>
      <c r="U61" s="295" t="str">
        <f t="shared" si="28"/>
        <v>OK</v>
      </c>
    </row>
    <row r="62" spans="1:21" s="8" customFormat="1" ht="28.5" x14ac:dyDescent="0.2">
      <c r="A62" s="414" t="s">
        <v>220</v>
      </c>
      <c r="B62" s="414"/>
      <c r="C62" s="414"/>
      <c r="D62" s="414"/>
      <c r="E62" s="414"/>
      <c r="F62" s="414"/>
      <c r="G62" s="414"/>
      <c r="H62" s="414"/>
      <c r="I62" s="414"/>
      <c r="J62" s="414"/>
      <c r="K62" s="414"/>
      <c r="L62" s="414"/>
      <c r="M62" s="414"/>
      <c r="N62" s="414"/>
      <c r="O62" s="414"/>
      <c r="P62" s="414"/>
      <c r="S62" s="288">
        <f t="shared" si="27"/>
        <v>0</v>
      </c>
      <c r="U62" s="295" t="str">
        <f t="shared" si="28"/>
        <v>OK</v>
      </c>
    </row>
    <row r="63" spans="1:21" s="9" customFormat="1" ht="69.75" x14ac:dyDescent="0.2">
      <c r="A63" s="89">
        <v>31</v>
      </c>
      <c r="B63" s="89" t="s">
        <v>4</v>
      </c>
      <c r="C63" s="298" t="s">
        <v>49</v>
      </c>
      <c r="D63" s="91" t="s">
        <v>127</v>
      </c>
      <c r="E63" s="312">
        <v>176471763</v>
      </c>
      <c r="F63" s="312"/>
      <c r="G63" s="312">
        <v>30007856</v>
      </c>
      <c r="H63" s="312">
        <v>11926141.999999985</v>
      </c>
      <c r="I63" s="314">
        <v>0.75</v>
      </c>
      <c r="J63" s="312">
        <v>7750473.4399999995</v>
      </c>
      <c r="K63" s="311">
        <f>IFERROR(J63/G63,"n/a")</f>
        <v>0.25828147935660578</v>
      </c>
      <c r="L63" s="312">
        <f t="shared" si="26"/>
        <v>0</v>
      </c>
      <c r="M63" s="312">
        <v>7750473.4399999995</v>
      </c>
      <c r="N63" s="311">
        <f>IFERROR(M63/G63,"n/a")</f>
        <v>0.25828147935660578</v>
      </c>
      <c r="O63" s="312">
        <f>IFERROR(M63-(G63*I63),"n/a")</f>
        <v>-14755418.560000001</v>
      </c>
      <c r="P63" s="312">
        <f>IFERROR(M63-(G63*0.65),"n/a")</f>
        <v>-11754632.960000003</v>
      </c>
      <c r="S63" s="288">
        <f t="shared" si="27"/>
        <v>0</v>
      </c>
      <c r="U63" s="295" t="str">
        <f t="shared" si="28"/>
        <v>OK</v>
      </c>
    </row>
    <row r="64" spans="1:21" s="9" customFormat="1" ht="46.5" x14ac:dyDescent="0.2">
      <c r="A64" s="89">
        <v>30</v>
      </c>
      <c r="B64" s="89" t="s">
        <v>4</v>
      </c>
      <c r="C64" s="71" t="s">
        <v>50</v>
      </c>
      <c r="D64" s="91" t="s">
        <v>127</v>
      </c>
      <c r="E64" s="312">
        <v>115127027</v>
      </c>
      <c r="F64" s="312"/>
      <c r="G64" s="312">
        <v>19412881</v>
      </c>
      <c r="H64" s="312">
        <v>3192016</v>
      </c>
      <c r="I64" s="314">
        <v>0.75</v>
      </c>
      <c r="J64" s="312">
        <f>4512372.86-7345.3</f>
        <v>4505027.5600000005</v>
      </c>
      <c r="K64" s="311">
        <f>IFERROR(J64/G64,"n/a")</f>
        <v>0.23206383225653116</v>
      </c>
      <c r="L64" s="312">
        <f t="shared" si="26"/>
        <v>1208619.5988235297</v>
      </c>
      <c r="M64" s="312">
        <f>5720992.45882353-7345.3</f>
        <v>5713647.1588235302</v>
      </c>
      <c r="N64" s="311">
        <f>IFERROR(M64/G64,"n/a")</f>
        <v>0.29432247376489507</v>
      </c>
      <c r="O64" s="312">
        <f>IFERROR(M64-(G64*I64),"n/a")</f>
        <v>-8846013.5911764689</v>
      </c>
      <c r="P64" s="312">
        <f>IFERROR(M64-(G64*0.65),"n/a")</f>
        <v>-6904725.4911764702</v>
      </c>
      <c r="S64" s="288">
        <f t="shared" si="27"/>
        <v>1208619.5988235297</v>
      </c>
      <c r="U64" s="295" t="str">
        <f t="shared" si="28"/>
        <v>OK</v>
      </c>
    </row>
    <row r="65" spans="1:21" s="8" customFormat="1" ht="69.75" x14ac:dyDescent="0.2">
      <c r="A65" s="89">
        <v>33</v>
      </c>
      <c r="B65" s="89" t="s">
        <v>4</v>
      </c>
      <c r="C65" s="71" t="s">
        <v>51</v>
      </c>
      <c r="D65" s="91" t="s">
        <v>129</v>
      </c>
      <c r="E65" s="312">
        <v>55289876.350825503</v>
      </c>
      <c r="F65" s="312"/>
      <c r="G65" s="312">
        <v>3250551</v>
      </c>
      <c r="H65" s="312">
        <v>1914863.8170615549</v>
      </c>
      <c r="I65" s="314">
        <v>0.75</v>
      </c>
      <c r="J65" s="312">
        <v>10998007.09</v>
      </c>
      <c r="K65" s="311">
        <f>IFERROR(J65/G65,"n/a")</f>
        <v>3.3834285602656289</v>
      </c>
      <c r="L65" s="312">
        <f t="shared" si="26"/>
        <v>920475.66198728047</v>
      </c>
      <c r="M65" s="312">
        <v>11918482.75198728</v>
      </c>
      <c r="N65" s="311">
        <f>IFERROR(M65/G65,"n/a")</f>
        <v>3.666603831777222</v>
      </c>
      <c r="O65" s="312">
        <f>IFERROR(M65-(G65*I65),"n/a")</f>
        <v>9480569.5019872803</v>
      </c>
      <c r="P65" s="312">
        <f>IFERROR(M65-(G65*0.65),"n/a")</f>
        <v>9805624.60198728</v>
      </c>
      <c r="S65" s="288">
        <f t="shared" si="27"/>
        <v>920475.66198728047</v>
      </c>
      <c r="U65" s="295" t="str">
        <f t="shared" si="28"/>
        <v>OK</v>
      </c>
    </row>
    <row r="66" spans="1:21" s="8" customFormat="1" ht="93" x14ac:dyDescent="0.2">
      <c r="A66" s="89">
        <v>32</v>
      </c>
      <c r="B66" s="89" t="s">
        <v>4</v>
      </c>
      <c r="C66" s="71" t="s">
        <v>195</v>
      </c>
      <c r="D66" s="91" t="s">
        <v>128</v>
      </c>
      <c r="E66" s="312">
        <v>8344235</v>
      </c>
      <c r="F66" s="312"/>
      <c r="G66" s="312">
        <v>3490000</v>
      </c>
      <c r="H66" s="312">
        <v>432614.80372968857</v>
      </c>
      <c r="I66" s="314">
        <v>0.75</v>
      </c>
      <c r="J66" s="312">
        <v>2864578.81</v>
      </c>
      <c r="K66" s="311">
        <f>IFERROR(J66/G66,"n/a")</f>
        <v>0.8207962206303725</v>
      </c>
      <c r="L66" s="312">
        <f t="shared" si="26"/>
        <v>917345.59000000032</v>
      </c>
      <c r="M66" s="312">
        <v>3781924.4000000004</v>
      </c>
      <c r="N66" s="311">
        <f>IFERROR(M66/G66,"n/a")</f>
        <v>1.0836459598853869</v>
      </c>
      <c r="O66" s="312">
        <f>IFERROR(M66-(G66*I66),"n/a")</f>
        <v>1164424.4000000004</v>
      </c>
      <c r="P66" s="312">
        <f>IFERROR(M66-(G66*0.65),"n/a")</f>
        <v>1513424.4000000004</v>
      </c>
      <c r="S66" s="288">
        <f t="shared" si="27"/>
        <v>917345.59000000032</v>
      </c>
      <c r="U66" s="295" t="str">
        <f t="shared" si="28"/>
        <v>OK</v>
      </c>
    </row>
    <row r="67" spans="1:21" s="8" customFormat="1" ht="28.5" x14ac:dyDescent="0.2">
      <c r="A67" s="414" t="s">
        <v>204</v>
      </c>
      <c r="B67" s="414"/>
      <c r="C67" s="414"/>
      <c r="D67" s="414"/>
      <c r="E67" s="414"/>
      <c r="F67" s="414"/>
      <c r="G67" s="414"/>
      <c r="H67" s="414"/>
      <c r="I67" s="414"/>
      <c r="J67" s="414"/>
      <c r="K67" s="414"/>
      <c r="L67" s="414"/>
      <c r="M67" s="414"/>
      <c r="N67" s="414"/>
      <c r="O67" s="414"/>
      <c r="P67" s="414"/>
      <c r="S67" s="288">
        <f t="shared" si="27"/>
        <v>0</v>
      </c>
      <c r="U67" s="295" t="str">
        <f t="shared" si="28"/>
        <v>OK</v>
      </c>
    </row>
    <row r="68" spans="1:21" s="8" customFormat="1" ht="93" x14ac:dyDescent="0.2">
      <c r="A68" s="89">
        <v>37</v>
      </c>
      <c r="B68" s="89" t="s">
        <v>4</v>
      </c>
      <c r="C68" s="71" t="s">
        <v>48</v>
      </c>
      <c r="D68" s="91" t="s">
        <v>132</v>
      </c>
      <c r="E68" s="312">
        <v>85830850</v>
      </c>
      <c r="F68" s="312"/>
      <c r="G68" s="312">
        <v>5745006</v>
      </c>
      <c r="H68" s="312">
        <v>2015156</v>
      </c>
      <c r="I68" s="314">
        <v>0.75</v>
      </c>
      <c r="J68" s="312">
        <v>15085352.02</v>
      </c>
      <c r="K68" s="311">
        <f>IFERROR(J68/G68,"n/a")</f>
        <v>2.6258200635473661</v>
      </c>
      <c r="L68" s="312">
        <f t="shared" si="26"/>
        <v>599840.61333333701</v>
      </c>
      <c r="M68" s="312">
        <v>15685192.633333337</v>
      </c>
      <c r="N68" s="311">
        <f>IFERROR(M68/G68,"n/a")</f>
        <v>2.7302308532546942</v>
      </c>
      <c r="O68" s="312">
        <f>IFERROR(M68-(G68*I68),"n/a")</f>
        <v>11376438.133333337</v>
      </c>
      <c r="P68" s="312">
        <f>IFERROR(M68-(G68*0.65),"n/a")</f>
        <v>11950938.733333336</v>
      </c>
      <c r="S68" s="288">
        <f t="shared" si="27"/>
        <v>599840.61333333701</v>
      </c>
      <c r="U68" s="295" t="str">
        <f t="shared" si="28"/>
        <v>OK</v>
      </c>
    </row>
    <row r="69" spans="1:21" s="8" customFormat="1" ht="69.75" x14ac:dyDescent="0.2">
      <c r="A69" s="89">
        <v>34</v>
      </c>
      <c r="B69" s="89" t="s">
        <v>4</v>
      </c>
      <c r="C69" s="71" t="s">
        <v>52</v>
      </c>
      <c r="D69" s="91" t="s">
        <v>132</v>
      </c>
      <c r="E69" s="312">
        <v>150000673</v>
      </c>
      <c r="F69" s="312"/>
      <c r="G69" s="312">
        <v>9387264</v>
      </c>
      <c r="H69" s="312">
        <v>3290568</v>
      </c>
      <c r="I69" s="314">
        <v>0.75</v>
      </c>
      <c r="J69" s="312">
        <v>1412922.68</v>
      </c>
      <c r="K69" s="311">
        <f>IFERROR(J69/G69,"n/a")</f>
        <v>0.15051485502058959</v>
      </c>
      <c r="L69" s="312">
        <f t="shared" si="26"/>
        <v>2512648.9610256404</v>
      </c>
      <c r="M69" s="312">
        <v>3925571.6410256405</v>
      </c>
      <c r="N69" s="311">
        <f>IFERROR(M69/G69,"n/a")</f>
        <v>0.41818059458279222</v>
      </c>
      <c r="O69" s="312">
        <f>IFERROR(M69-(G69*I69),"n/a")</f>
        <v>-3114876.3589743595</v>
      </c>
      <c r="P69" s="312">
        <f>IFERROR(M69-(G69*0.65),"n/a")</f>
        <v>-2176149.95897436</v>
      </c>
      <c r="S69" s="288">
        <f t="shared" si="27"/>
        <v>2512648.9610256404</v>
      </c>
      <c r="U69" s="295" t="str">
        <f t="shared" si="28"/>
        <v>OK</v>
      </c>
    </row>
    <row r="70" spans="1:21" s="8" customFormat="1" ht="46.5" x14ac:dyDescent="0.2">
      <c r="A70" s="89">
        <v>35</v>
      </c>
      <c r="B70" s="89" t="s">
        <v>4</v>
      </c>
      <c r="C70" s="298" t="s">
        <v>53</v>
      </c>
      <c r="D70" s="91" t="s">
        <v>133</v>
      </c>
      <c r="E70" s="312">
        <v>112941177</v>
      </c>
      <c r="F70" s="312"/>
      <c r="G70" s="312">
        <v>16545781</v>
      </c>
      <c r="H70" s="312">
        <v>5939202.9987374237</v>
      </c>
      <c r="I70" s="314">
        <v>0.75</v>
      </c>
      <c r="J70" s="312">
        <f>9602801.05-686302.51</f>
        <v>8916498.540000001</v>
      </c>
      <c r="K70" s="311">
        <f>IFERROR(J70/G70,"n/a")</f>
        <v>0.53889861953328166</v>
      </c>
      <c r="L70" s="312">
        <f t="shared" si="26"/>
        <v>66908.349999999627</v>
      </c>
      <c r="M70" s="312">
        <f>9669709.4-686302.51</f>
        <v>8983406.8900000006</v>
      </c>
      <c r="N70" s="311">
        <f>IFERROR(M70/G70,"n/a")</f>
        <v>0.54294245100911231</v>
      </c>
      <c r="O70" s="312">
        <f>IFERROR(M70-(G70*I70),"n/a")</f>
        <v>-3425928.8599999994</v>
      </c>
      <c r="P70" s="312">
        <f>IFERROR(M70-(G70*0.65),"n/a")</f>
        <v>-1771350.7599999998</v>
      </c>
      <c r="S70" s="288">
        <f t="shared" si="27"/>
        <v>66908.349999999627</v>
      </c>
      <c r="U70" s="295" t="str">
        <f t="shared" si="28"/>
        <v>OK</v>
      </c>
    </row>
    <row r="71" spans="1:21" s="8" customFormat="1" ht="46.5" x14ac:dyDescent="0.2">
      <c r="A71" s="89">
        <v>36</v>
      </c>
      <c r="B71" s="89" t="s">
        <v>4</v>
      </c>
      <c r="C71" s="71" t="s">
        <v>54</v>
      </c>
      <c r="D71" s="91" t="s">
        <v>133</v>
      </c>
      <c r="E71" s="312">
        <v>14725610</v>
      </c>
      <c r="F71" s="312"/>
      <c r="G71" s="312">
        <v>0</v>
      </c>
      <c r="H71" s="312">
        <v>774371.10458438157</v>
      </c>
      <c r="I71" s="314">
        <v>0.75</v>
      </c>
      <c r="J71" s="312">
        <v>3068106.7500000005</v>
      </c>
      <c r="K71" s="311" t="str">
        <f>IFERROR(J71/G71,"n/a")</f>
        <v>n/a</v>
      </c>
      <c r="L71" s="312">
        <f t="shared" si="26"/>
        <v>0</v>
      </c>
      <c r="M71" s="312">
        <v>3068106.7500000005</v>
      </c>
      <c r="N71" s="311" t="str">
        <f>IFERROR(M71/G71,"n/a")</f>
        <v>n/a</v>
      </c>
      <c r="O71" s="312">
        <f>IFERROR(M71-(G71*I71),"n/a")</f>
        <v>3068106.7500000005</v>
      </c>
      <c r="P71" s="312">
        <f>IFERROR(M71-(G71*0.65),"n/a")</f>
        <v>3068106.7500000005</v>
      </c>
      <c r="S71" s="288">
        <f t="shared" si="27"/>
        <v>0</v>
      </c>
      <c r="U71" s="295" t="str">
        <f t="shared" si="28"/>
        <v>OK</v>
      </c>
    </row>
    <row r="72" spans="1:21" s="8" customFormat="1" ht="28.5" x14ac:dyDescent="0.2">
      <c r="A72" s="414" t="s">
        <v>205</v>
      </c>
      <c r="B72" s="414"/>
      <c r="C72" s="414"/>
      <c r="D72" s="414"/>
      <c r="E72" s="414"/>
      <c r="F72" s="414"/>
      <c r="G72" s="414"/>
      <c r="H72" s="414"/>
      <c r="I72" s="414"/>
      <c r="J72" s="414"/>
      <c r="K72" s="414"/>
      <c r="L72" s="414"/>
      <c r="M72" s="414"/>
      <c r="N72" s="414"/>
      <c r="O72" s="414"/>
      <c r="P72" s="414"/>
      <c r="S72" s="288">
        <f t="shared" si="27"/>
        <v>0</v>
      </c>
      <c r="U72" s="295" t="str">
        <f t="shared" si="28"/>
        <v>OK</v>
      </c>
    </row>
    <row r="73" spans="1:21" s="8" customFormat="1" ht="93" x14ac:dyDescent="0.2">
      <c r="A73" s="89">
        <v>40</v>
      </c>
      <c r="B73" s="89" t="s">
        <v>5</v>
      </c>
      <c r="C73" s="294" t="s">
        <v>55</v>
      </c>
      <c r="D73" s="91" t="s">
        <v>129</v>
      </c>
      <c r="E73" s="312">
        <v>34044477</v>
      </c>
      <c r="F73" s="312"/>
      <c r="G73" s="312">
        <v>6056264</v>
      </c>
      <c r="H73" s="312">
        <v>2679997</v>
      </c>
      <c r="I73" s="314">
        <v>0.75</v>
      </c>
      <c r="J73" s="312">
        <v>2690365.4399999999</v>
      </c>
      <c r="K73" s="311">
        <f t="shared" ref="K73:K79" si="32">IFERROR(J73/G73,"n/a")</f>
        <v>0.44422856071003508</v>
      </c>
      <c r="L73" s="312">
        <f t="shared" si="26"/>
        <v>530183.94823529432</v>
      </c>
      <c r="M73" s="312">
        <v>3220549.3882352943</v>
      </c>
      <c r="N73" s="311">
        <f t="shared" ref="N73:N79" si="33">IFERROR(M73/G73,"n/a")</f>
        <v>0.53177163152651441</v>
      </c>
      <c r="O73" s="312">
        <f t="shared" ref="O73:O79" si="34">IFERROR(M73-(G73*I73),"n/a")</f>
        <v>-1321648.6117647057</v>
      </c>
      <c r="P73" s="312">
        <f t="shared" ref="P73:P79" si="35">IFERROR(M73-(G73*0.65),"n/a")</f>
        <v>-716022.21176470583</v>
      </c>
      <c r="S73" s="288">
        <f t="shared" si="27"/>
        <v>530183.94823529432</v>
      </c>
      <c r="U73" s="295" t="str">
        <f t="shared" si="28"/>
        <v>OK</v>
      </c>
    </row>
    <row r="74" spans="1:21" s="8" customFormat="1" ht="69.75" x14ac:dyDescent="0.2">
      <c r="A74" s="89">
        <v>39</v>
      </c>
      <c r="B74" s="89" t="s">
        <v>5</v>
      </c>
      <c r="C74" s="71" t="s">
        <v>56</v>
      </c>
      <c r="D74" s="91" t="s">
        <v>134</v>
      </c>
      <c r="E74" s="312">
        <v>43390019</v>
      </c>
      <c r="F74" s="312"/>
      <c r="G74" s="312">
        <v>15186507</v>
      </c>
      <c r="H74" s="312">
        <v>2249596.9460619083</v>
      </c>
      <c r="I74" s="314">
        <v>0.75</v>
      </c>
      <c r="J74" s="312">
        <v>11571675.450000001</v>
      </c>
      <c r="K74" s="311">
        <f t="shared" si="32"/>
        <v>0.76197083700682466</v>
      </c>
      <c r="L74" s="312">
        <f t="shared" si="26"/>
        <v>390203.63235293888</v>
      </c>
      <c r="M74" s="312">
        <v>11961879.08235294</v>
      </c>
      <c r="N74" s="311">
        <f t="shared" si="33"/>
        <v>0.7876649371941119</v>
      </c>
      <c r="O74" s="312">
        <f t="shared" si="34"/>
        <v>571998.83235293999</v>
      </c>
      <c r="P74" s="312">
        <f t="shared" si="35"/>
        <v>2090649.5323529392</v>
      </c>
      <c r="S74" s="288">
        <f t="shared" si="27"/>
        <v>390203.63235293888</v>
      </c>
      <c r="U74" s="295" t="str">
        <f t="shared" si="28"/>
        <v>OK</v>
      </c>
    </row>
    <row r="75" spans="1:21" s="8" customFormat="1" ht="93" x14ac:dyDescent="0.2">
      <c r="A75" s="89">
        <v>42</v>
      </c>
      <c r="B75" s="89" t="s">
        <v>5</v>
      </c>
      <c r="C75" s="71" t="s">
        <v>61</v>
      </c>
      <c r="D75" s="91" t="s">
        <v>129</v>
      </c>
      <c r="E75" s="312">
        <v>4000000</v>
      </c>
      <c r="F75" s="312"/>
      <c r="G75" s="312">
        <v>1964706</v>
      </c>
      <c r="H75" s="312">
        <v>0</v>
      </c>
      <c r="I75" s="314">
        <v>0.75</v>
      </c>
      <c r="J75" s="312">
        <v>1428912.63</v>
      </c>
      <c r="K75" s="311">
        <f t="shared" si="32"/>
        <v>0.72729081603048995</v>
      </c>
      <c r="L75" s="312">
        <f t="shared" si="26"/>
        <v>260811.29941176507</v>
      </c>
      <c r="M75" s="312">
        <v>1689723.929411765</v>
      </c>
      <c r="N75" s="311">
        <f t="shared" si="33"/>
        <v>0.86003907424915738</v>
      </c>
      <c r="O75" s="312">
        <f t="shared" si="34"/>
        <v>216194.42941176496</v>
      </c>
      <c r="P75" s="312">
        <f t="shared" si="35"/>
        <v>412665.02941176482</v>
      </c>
      <c r="S75" s="288">
        <f t="shared" si="27"/>
        <v>260811.29941176507</v>
      </c>
      <c r="U75" s="295" t="str">
        <f t="shared" si="28"/>
        <v>OK</v>
      </c>
    </row>
    <row r="76" spans="1:21" s="8" customFormat="1" ht="69.75" x14ac:dyDescent="0.2">
      <c r="A76" s="89">
        <v>43</v>
      </c>
      <c r="B76" s="89" t="s">
        <v>5</v>
      </c>
      <c r="C76" s="71" t="s">
        <v>65</v>
      </c>
      <c r="D76" s="91" t="s">
        <v>136</v>
      </c>
      <c r="E76" s="312">
        <v>70717732.736073375</v>
      </c>
      <c r="F76" s="312"/>
      <c r="G76" s="312">
        <v>8041664.4461944811</v>
      </c>
      <c r="H76" s="312">
        <v>2146457</v>
      </c>
      <c r="I76" s="314">
        <v>0.75</v>
      </c>
      <c r="J76" s="312">
        <v>3225658.32</v>
      </c>
      <c r="K76" s="311">
        <f t="shared" si="32"/>
        <v>0.4011182438141227</v>
      </c>
      <c r="L76" s="312">
        <f t="shared" si="26"/>
        <v>1650836.8242073175</v>
      </c>
      <c r="M76" s="312">
        <v>4876495.1442073174</v>
      </c>
      <c r="N76" s="311">
        <f t="shared" si="33"/>
        <v>0.60640370868931226</v>
      </c>
      <c r="O76" s="312">
        <f t="shared" si="34"/>
        <v>-1154753.1904385434</v>
      </c>
      <c r="P76" s="312">
        <f t="shared" si="35"/>
        <v>-350586.74581909552</v>
      </c>
      <c r="Q76" s="10"/>
      <c r="S76" s="288">
        <f t="shared" si="27"/>
        <v>1650836.8242073175</v>
      </c>
      <c r="U76" s="295" t="str">
        <f t="shared" si="28"/>
        <v>OK</v>
      </c>
    </row>
    <row r="77" spans="1:21" s="8" customFormat="1" ht="46.5" x14ac:dyDescent="0.2">
      <c r="A77" s="89">
        <v>38</v>
      </c>
      <c r="B77" s="89" t="s">
        <v>5</v>
      </c>
      <c r="C77" s="71" t="s">
        <v>66</v>
      </c>
      <c r="D77" s="91" t="s">
        <v>136</v>
      </c>
      <c r="E77" s="312">
        <v>94567990</v>
      </c>
      <c r="F77" s="312"/>
      <c r="G77" s="312">
        <v>18913598</v>
      </c>
      <c r="H77" s="312">
        <v>4902967.6857516551</v>
      </c>
      <c r="I77" s="314">
        <v>0.75</v>
      </c>
      <c r="J77" s="312">
        <f>15421243.78-75300.91</f>
        <v>15345942.869999999</v>
      </c>
      <c r="K77" s="311">
        <f t="shared" si="32"/>
        <v>0.81137089146126506</v>
      </c>
      <c r="L77" s="312">
        <f t="shared" si="26"/>
        <v>336403.78410260007</v>
      </c>
      <c r="M77" s="312">
        <f>15757647.5641026-75300.91</f>
        <v>15682346.654102599</v>
      </c>
      <c r="N77" s="311">
        <f t="shared" si="33"/>
        <v>0.8291572367194544</v>
      </c>
      <c r="O77" s="312">
        <f t="shared" si="34"/>
        <v>1497148.1541025992</v>
      </c>
      <c r="P77" s="312">
        <f t="shared" si="35"/>
        <v>3388507.9541025981</v>
      </c>
      <c r="S77" s="288">
        <f t="shared" si="27"/>
        <v>336403.78410260007</v>
      </c>
      <c r="U77" s="295" t="str">
        <f t="shared" si="28"/>
        <v>OK</v>
      </c>
    </row>
    <row r="78" spans="1:21" s="8" customFormat="1" ht="69.75" x14ac:dyDescent="0.2">
      <c r="A78" s="89">
        <v>44</v>
      </c>
      <c r="B78" s="89" t="s">
        <v>5</v>
      </c>
      <c r="C78" s="71" t="s">
        <v>67</v>
      </c>
      <c r="D78" s="91" t="s">
        <v>129</v>
      </c>
      <c r="E78" s="312">
        <v>282004866.82961953</v>
      </c>
      <c r="F78" s="312"/>
      <c r="G78" s="312">
        <v>56868726.553805523</v>
      </c>
      <c r="H78" s="312">
        <v>14426860.076131295</v>
      </c>
      <c r="I78" s="314">
        <v>0.75</v>
      </c>
      <c r="J78" s="312">
        <v>37134725.13000001</v>
      </c>
      <c r="K78" s="311">
        <f t="shared" si="32"/>
        <v>0.65299027040574797</v>
      </c>
      <c r="L78" s="312">
        <f t="shared" si="26"/>
        <v>1008069.3880722821</v>
      </c>
      <c r="M78" s="312">
        <v>38142794.518072292</v>
      </c>
      <c r="N78" s="311">
        <f t="shared" si="33"/>
        <v>0.67071652258617109</v>
      </c>
      <c r="O78" s="312">
        <f t="shared" si="34"/>
        <v>-4508750.3972818479</v>
      </c>
      <c r="P78" s="312">
        <f t="shared" si="35"/>
        <v>1178122.2580986992</v>
      </c>
      <c r="Q78" s="10"/>
      <c r="S78" s="288">
        <f t="shared" si="27"/>
        <v>1008069.3880722821</v>
      </c>
      <c r="U78" s="295" t="str">
        <f t="shared" si="28"/>
        <v>OK</v>
      </c>
    </row>
    <row r="79" spans="1:21" s="8" customFormat="1" ht="69.75" x14ac:dyDescent="0.2">
      <c r="A79" s="89">
        <v>41</v>
      </c>
      <c r="B79" s="89" t="s">
        <v>5</v>
      </c>
      <c r="C79" s="71" t="s">
        <v>68</v>
      </c>
      <c r="D79" s="91" t="s">
        <v>129</v>
      </c>
      <c r="E79" s="312">
        <v>29257750</v>
      </c>
      <c r="F79" s="312"/>
      <c r="G79" s="312">
        <v>2926000</v>
      </c>
      <c r="H79" s="312">
        <v>0</v>
      </c>
      <c r="I79" s="314">
        <v>0.75</v>
      </c>
      <c r="J79" s="312">
        <f>5756046.46-1276800.73</f>
        <v>4479245.7300000004</v>
      </c>
      <c r="K79" s="311">
        <f t="shared" si="32"/>
        <v>1.5308426965140125</v>
      </c>
      <c r="L79" s="312">
        <f t="shared" si="26"/>
        <v>381008.39823528938</v>
      </c>
      <c r="M79" s="312">
        <f>6137054.85823529-1276800.73</f>
        <v>4860254.1282352898</v>
      </c>
      <c r="N79" s="311">
        <f t="shared" si="33"/>
        <v>1.6610574600940839</v>
      </c>
      <c r="O79" s="312">
        <f t="shared" si="34"/>
        <v>2665754.1282352898</v>
      </c>
      <c r="P79" s="312">
        <f t="shared" si="35"/>
        <v>2958354.1282352898</v>
      </c>
      <c r="S79" s="288">
        <f t="shared" si="27"/>
        <v>381008.39823528938</v>
      </c>
      <c r="U79" s="295" t="str">
        <f t="shared" si="28"/>
        <v>OK</v>
      </c>
    </row>
    <row r="80" spans="1:21" s="8" customFormat="1" ht="28.5" x14ac:dyDescent="0.2">
      <c r="A80" s="414" t="s">
        <v>206</v>
      </c>
      <c r="B80" s="414"/>
      <c r="C80" s="414"/>
      <c r="D80" s="414"/>
      <c r="E80" s="414"/>
      <c r="F80" s="414"/>
      <c r="G80" s="414"/>
      <c r="H80" s="414"/>
      <c r="I80" s="414"/>
      <c r="J80" s="414"/>
      <c r="K80" s="414"/>
      <c r="L80" s="414"/>
      <c r="M80" s="414"/>
      <c r="N80" s="414"/>
      <c r="O80" s="414"/>
      <c r="P80" s="414"/>
      <c r="S80" s="288">
        <f t="shared" si="27"/>
        <v>0</v>
      </c>
      <c r="U80" s="295" t="str">
        <f t="shared" si="28"/>
        <v>OK</v>
      </c>
    </row>
    <row r="81" spans="1:25" s="8" customFormat="1" ht="69.75" x14ac:dyDescent="0.2">
      <c r="A81" s="89">
        <v>49</v>
      </c>
      <c r="B81" s="89" t="s">
        <v>5</v>
      </c>
      <c r="C81" s="71" t="s">
        <v>57</v>
      </c>
      <c r="D81" s="91" t="s">
        <v>135</v>
      </c>
      <c r="E81" s="312">
        <v>423470</v>
      </c>
      <c r="F81" s="312"/>
      <c r="G81" s="312">
        <v>0</v>
      </c>
      <c r="H81" s="312">
        <v>338911.19150268601</v>
      </c>
      <c r="I81" s="314">
        <v>0.85</v>
      </c>
      <c r="J81" s="312">
        <v>167381.69999999998</v>
      </c>
      <c r="K81" s="311" t="str">
        <f t="shared" ref="K81:K87" si="36">IFERROR(J81/G81,"n/a")</f>
        <v>n/a</v>
      </c>
      <c r="L81" s="312">
        <f t="shared" si="26"/>
        <v>-38305.679999999993</v>
      </c>
      <c r="M81" s="312">
        <v>129076.01999999999</v>
      </c>
      <c r="N81" s="311" t="str">
        <f t="shared" ref="N81:N87" si="37">IFERROR(M81/G81,"n/a")</f>
        <v>n/a</v>
      </c>
      <c r="O81" s="312">
        <f t="shared" ref="O81:O87" si="38">IFERROR(M81-(G81*I81),"n/a")</f>
        <v>129076.01999999999</v>
      </c>
      <c r="P81" s="312">
        <f t="shared" ref="P81:P87" si="39">IFERROR(M81-(G81*0.65),"n/a")</f>
        <v>129076.01999999999</v>
      </c>
      <c r="S81" s="288">
        <f t="shared" si="27"/>
        <v>-38305.679999999993</v>
      </c>
      <c r="U81" s="296" t="str">
        <f t="shared" si="28"/>
        <v>Nav labi</v>
      </c>
    </row>
    <row r="82" spans="1:25" s="27" customFormat="1" ht="69.75" x14ac:dyDescent="0.2">
      <c r="A82" s="89">
        <v>46</v>
      </c>
      <c r="B82" s="89" t="s">
        <v>5</v>
      </c>
      <c r="C82" s="71" t="s">
        <v>58</v>
      </c>
      <c r="D82" s="91" t="s">
        <v>135</v>
      </c>
      <c r="E82" s="312">
        <v>54484011</v>
      </c>
      <c r="F82" s="312"/>
      <c r="G82" s="312">
        <v>3720862.9344055778</v>
      </c>
      <c r="H82" s="312">
        <v>1642779</v>
      </c>
      <c r="I82" s="314">
        <v>0.85</v>
      </c>
      <c r="J82" s="312">
        <v>40598.480000000003</v>
      </c>
      <c r="K82" s="311">
        <f t="shared" si="36"/>
        <v>1.0911038841178321E-2</v>
      </c>
      <c r="L82" s="312">
        <f t="shared" si="26"/>
        <v>5.7142857112921774E-3</v>
      </c>
      <c r="M82" s="312">
        <v>40598.485714285714</v>
      </c>
      <c r="N82" s="311">
        <f t="shared" si="37"/>
        <v>1.0911040376920382E-2</v>
      </c>
      <c r="O82" s="312">
        <f t="shared" si="38"/>
        <v>-3122135.0085304556</v>
      </c>
      <c r="P82" s="312">
        <f t="shared" si="39"/>
        <v>-2377962.4216493401</v>
      </c>
      <c r="Q82" s="33"/>
      <c r="S82" s="288">
        <f t="shared" si="27"/>
        <v>5.7142857112921774E-3</v>
      </c>
      <c r="U82" s="295" t="str">
        <f t="shared" si="28"/>
        <v>OK</v>
      </c>
      <c r="X82" s="299"/>
      <c r="Y82" s="8"/>
    </row>
    <row r="83" spans="1:25" s="8" customFormat="1" ht="69.75" x14ac:dyDescent="0.2">
      <c r="A83" s="89">
        <v>47</v>
      </c>
      <c r="B83" s="89" t="s">
        <v>5</v>
      </c>
      <c r="C83" s="71" t="s">
        <v>59</v>
      </c>
      <c r="D83" s="91" t="s">
        <v>135</v>
      </c>
      <c r="E83" s="312">
        <v>10804999</v>
      </c>
      <c r="F83" s="312"/>
      <c r="G83" s="312">
        <v>0</v>
      </c>
      <c r="H83" s="312">
        <v>0</v>
      </c>
      <c r="I83" s="314">
        <v>0.85</v>
      </c>
      <c r="J83" s="312">
        <v>0</v>
      </c>
      <c r="K83" s="311" t="str">
        <f t="shared" si="36"/>
        <v>n/a</v>
      </c>
      <c r="L83" s="312">
        <f t="shared" si="26"/>
        <v>0</v>
      </c>
      <c r="M83" s="312">
        <v>0</v>
      </c>
      <c r="N83" s="311" t="str">
        <f t="shared" si="37"/>
        <v>n/a</v>
      </c>
      <c r="O83" s="312">
        <f t="shared" si="38"/>
        <v>0</v>
      </c>
      <c r="P83" s="312">
        <f t="shared" si="39"/>
        <v>0</v>
      </c>
      <c r="S83" s="288">
        <f t="shared" si="27"/>
        <v>0</v>
      </c>
      <c r="U83" s="295" t="str">
        <f t="shared" si="28"/>
        <v>OK</v>
      </c>
    </row>
    <row r="84" spans="1:25" s="8" customFormat="1" ht="69.75" x14ac:dyDescent="0.2">
      <c r="A84" s="89">
        <v>45</v>
      </c>
      <c r="B84" s="89" t="s">
        <v>5</v>
      </c>
      <c r="C84" s="71" t="s">
        <v>60</v>
      </c>
      <c r="D84" s="91" t="s">
        <v>135</v>
      </c>
      <c r="E84" s="312">
        <v>139698189</v>
      </c>
      <c r="F84" s="312"/>
      <c r="G84" s="312">
        <v>28479654.521559395</v>
      </c>
      <c r="H84" s="312">
        <v>0</v>
      </c>
      <c r="I84" s="314">
        <v>0.85</v>
      </c>
      <c r="J84" s="312">
        <f>20335089.31-21097.7</f>
        <v>20313991.609999999</v>
      </c>
      <c r="K84" s="311">
        <f t="shared" si="36"/>
        <v>0.71328082981561791</v>
      </c>
      <c r="L84" s="312">
        <f t="shared" si="26"/>
        <v>3504089.4902070016</v>
      </c>
      <c r="M84" s="312">
        <f>23839178.800207-21097.7</f>
        <v>23818081.100207001</v>
      </c>
      <c r="N84" s="311">
        <f t="shared" si="37"/>
        <v>0.83631917241750475</v>
      </c>
      <c r="O84" s="312">
        <f t="shared" si="38"/>
        <v>-389625.24311848357</v>
      </c>
      <c r="P84" s="312">
        <f t="shared" si="39"/>
        <v>5306305.6611933932</v>
      </c>
      <c r="S84" s="288">
        <f t="shared" si="27"/>
        <v>3504089.4902070016</v>
      </c>
      <c r="U84" s="295" t="str">
        <f t="shared" si="28"/>
        <v>OK</v>
      </c>
    </row>
    <row r="85" spans="1:25" s="8" customFormat="1" ht="69.75" x14ac:dyDescent="0.2">
      <c r="A85" s="89">
        <v>50</v>
      </c>
      <c r="B85" s="89" t="s">
        <v>5</v>
      </c>
      <c r="C85" s="71" t="s">
        <v>62</v>
      </c>
      <c r="D85" s="91" t="s">
        <v>135</v>
      </c>
      <c r="E85" s="312">
        <v>9500000</v>
      </c>
      <c r="F85" s="312"/>
      <c r="G85" s="312">
        <v>1853242.6452677706</v>
      </c>
      <c r="H85" s="312">
        <v>0</v>
      </c>
      <c r="I85" s="314">
        <v>0.85</v>
      </c>
      <c r="J85" s="312">
        <v>3656659.1400000006</v>
      </c>
      <c r="K85" s="311">
        <f t="shared" si="36"/>
        <v>1.9731140708083903</v>
      </c>
      <c r="L85" s="312">
        <f t="shared" si="26"/>
        <v>-1.0588236153125763E-2</v>
      </c>
      <c r="M85" s="312">
        <v>3656659.1294117644</v>
      </c>
      <c r="N85" s="311">
        <f t="shared" si="37"/>
        <v>1.9731140650950336</v>
      </c>
      <c r="O85" s="312">
        <f t="shared" si="38"/>
        <v>2081402.8809341595</v>
      </c>
      <c r="P85" s="312">
        <f t="shared" si="39"/>
        <v>2452051.4099877132</v>
      </c>
      <c r="S85" s="288">
        <f t="shared" si="27"/>
        <v>-1.0588236153125763E-2</v>
      </c>
      <c r="U85" s="295" t="str">
        <f t="shared" si="28"/>
        <v>Nav labi</v>
      </c>
    </row>
    <row r="86" spans="1:25" s="8" customFormat="1" ht="69.75" x14ac:dyDescent="0.2">
      <c r="A86" s="89">
        <v>51</v>
      </c>
      <c r="B86" s="89" t="s">
        <v>5</v>
      </c>
      <c r="C86" s="71" t="s">
        <v>63</v>
      </c>
      <c r="D86" s="91" t="s">
        <v>135</v>
      </c>
      <c r="E86" s="312">
        <v>16643483</v>
      </c>
      <c r="F86" s="312"/>
      <c r="G86" s="312">
        <v>1146778.8987672578</v>
      </c>
      <c r="H86" s="312">
        <v>2289729</v>
      </c>
      <c r="I86" s="314">
        <v>0.85</v>
      </c>
      <c r="J86" s="312">
        <v>1143861.8</v>
      </c>
      <c r="K86" s="311">
        <f t="shared" si="36"/>
        <v>0.99745626748940575</v>
      </c>
      <c r="L86" s="312">
        <f t="shared" si="26"/>
        <v>1314718.3647058827</v>
      </c>
      <c r="M86" s="312">
        <v>2458580.1647058828</v>
      </c>
      <c r="N86" s="311">
        <f t="shared" si="37"/>
        <v>2.1439007705397786</v>
      </c>
      <c r="O86" s="312">
        <f t="shared" si="38"/>
        <v>1483818.1007537136</v>
      </c>
      <c r="P86" s="312">
        <f t="shared" si="39"/>
        <v>1713173.8805071651</v>
      </c>
      <c r="S86" s="288">
        <f t="shared" si="27"/>
        <v>1314718.3647058827</v>
      </c>
      <c r="U86" s="295" t="str">
        <f t="shared" si="28"/>
        <v>OK</v>
      </c>
    </row>
    <row r="87" spans="1:25" s="8" customFormat="1" ht="69.75" x14ac:dyDescent="0.2">
      <c r="A87" s="89">
        <v>48</v>
      </c>
      <c r="B87" s="89" t="s">
        <v>5</v>
      </c>
      <c r="C87" s="71" t="s">
        <v>64</v>
      </c>
      <c r="D87" s="91" t="s">
        <v>135</v>
      </c>
      <c r="E87" s="312">
        <v>9212619</v>
      </c>
      <c r="F87" s="312"/>
      <c r="G87" s="312">
        <v>0</v>
      </c>
      <c r="H87" s="312">
        <v>7830726</v>
      </c>
      <c r="I87" s="314">
        <v>0.85</v>
      </c>
      <c r="J87" s="312">
        <v>0</v>
      </c>
      <c r="K87" s="311" t="str">
        <f t="shared" si="36"/>
        <v>n/a</v>
      </c>
      <c r="L87" s="312">
        <f t="shared" si="26"/>
        <v>0</v>
      </c>
      <c r="M87" s="312">
        <v>0</v>
      </c>
      <c r="N87" s="311" t="str">
        <f t="shared" si="37"/>
        <v>n/a</v>
      </c>
      <c r="O87" s="312">
        <f t="shared" si="38"/>
        <v>0</v>
      </c>
      <c r="P87" s="312">
        <f t="shared" si="39"/>
        <v>0</v>
      </c>
      <c r="S87" s="288">
        <f t="shared" si="27"/>
        <v>0</v>
      </c>
      <c r="U87" s="295" t="str">
        <f t="shared" si="28"/>
        <v>OK</v>
      </c>
    </row>
    <row r="88" spans="1:25" s="8" customFormat="1" ht="28.5" x14ac:dyDescent="0.2">
      <c r="A88" s="414" t="s">
        <v>207</v>
      </c>
      <c r="B88" s="414"/>
      <c r="C88" s="414"/>
      <c r="D88" s="414"/>
      <c r="E88" s="414"/>
      <c r="F88" s="414"/>
      <c r="G88" s="414"/>
      <c r="H88" s="414"/>
      <c r="I88" s="414"/>
      <c r="J88" s="414"/>
      <c r="K88" s="414"/>
      <c r="L88" s="414"/>
      <c r="M88" s="414"/>
      <c r="N88" s="414"/>
      <c r="O88" s="414"/>
      <c r="P88" s="414"/>
      <c r="S88" s="288">
        <f t="shared" si="27"/>
        <v>0</v>
      </c>
      <c r="U88" s="295" t="str">
        <f t="shared" si="28"/>
        <v>OK</v>
      </c>
    </row>
    <row r="89" spans="1:25" s="8" customFormat="1" ht="46.5" x14ac:dyDescent="0.2">
      <c r="A89" s="89">
        <v>52</v>
      </c>
      <c r="B89" s="89" t="s">
        <v>7</v>
      </c>
      <c r="C89" s="71" t="s">
        <v>78</v>
      </c>
      <c r="D89" s="91" t="s">
        <v>128</v>
      </c>
      <c r="E89" s="312">
        <v>277032428</v>
      </c>
      <c r="F89" s="108"/>
      <c r="G89" s="312">
        <v>72852630</v>
      </c>
      <c r="H89" s="312">
        <v>14363011</v>
      </c>
      <c r="I89" s="314">
        <v>0.75</v>
      </c>
      <c r="J89" s="312">
        <f>169812105.68-5614617.18</f>
        <v>164197488.5</v>
      </c>
      <c r="K89" s="311">
        <f>IFERROR(J89/G89,"n/a")</f>
        <v>2.2538306235478389</v>
      </c>
      <c r="L89" s="312">
        <f t="shared" si="26"/>
        <v>17082866.872940987</v>
      </c>
      <c r="M89" s="312">
        <f>186894972.552941-5614617.18</f>
        <v>181280355.37294099</v>
      </c>
      <c r="N89" s="311">
        <f>IFERROR(M89/G89,"n/a")</f>
        <v>2.4883158696253105</v>
      </c>
      <c r="O89" s="312">
        <f>IFERROR(M89-(G89*I89),"n/a")</f>
        <v>126640882.87294099</v>
      </c>
      <c r="P89" s="312">
        <f>IFERROR(M89-(G89*0.65),"n/a")</f>
        <v>133926145.87294099</v>
      </c>
      <c r="S89" s="288">
        <f t="shared" si="27"/>
        <v>17082866.872940987</v>
      </c>
      <c r="U89" s="295" t="str">
        <f t="shared" si="28"/>
        <v>OK</v>
      </c>
    </row>
    <row r="90" spans="1:25" s="8" customFormat="1" ht="28.5" x14ac:dyDescent="0.2">
      <c r="A90" s="414" t="s">
        <v>208</v>
      </c>
      <c r="B90" s="414"/>
      <c r="C90" s="414"/>
      <c r="D90" s="414"/>
      <c r="E90" s="414"/>
      <c r="F90" s="414"/>
      <c r="G90" s="414"/>
      <c r="H90" s="414"/>
      <c r="I90" s="414"/>
      <c r="J90" s="414"/>
      <c r="K90" s="414"/>
      <c r="L90" s="414"/>
      <c r="M90" s="414"/>
      <c r="N90" s="414"/>
      <c r="O90" s="414"/>
      <c r="P90" s="414"/>
      <c r="S90" s="288">
        <f t="shared" si="27"/>
        <v>0</v>
      </c>
      <c r="U90" s="295" t="str">
        <f t="shared" si="28"/>
        <v>OK</v>
      </c>
    </row>
    <row r="91" spans="1:25" s="8" customFormat="1" ht="46.5" x14ac:dyDescent="0.2">
      <c r="A91" s="89">
        <v>55</v>
      </c>
      <c r="B91" s="89" t="s">
        <v>7</v>
      </c>
      <c r="C91" s="71" t="s">
        <v>69</v>
      </c>
      <c r="D91" s="91" t="s">
        <v>133</v>
      </c>
      <c r="E91" s="312">
        <v>105073678</v>
      </c>
      <c r="F91" s="108"/>
      <c r="G91" s="312">
        <v>33802200</v>
      </c>
      <c r="H91" s="312">
        <v>5525477.0040577287</v>
      </c>
      <c r="I91" s="314">
        <v>0.75</v>
      </c>
      <c r="J91" s="312">
        <v>6976329.4699999988</v>
      </c>
      <c r="K91" s="311">
        <f t="shared" ref="K91:K99" si="40">IFERROR(J91/G91,"n/a")</f>
        <v>0.20638684671411917</v>
      </c>
      <c r="L91" s="312">
        <f t="shared" si="26"/>
        <v>15394603.890759494</v>
      </c>
      <c r="M91" s="312">
        <v>22370933.360759493</v>
      </c>
      <c r="N91" s="311">
        <f t="shared" ref="N91:N99" si="41">IFERROR(M91/G91,"n/a")</f>
        <v>0.66181885678327135</v>
      </c>
      <c r="O91" s="312">
        <f t="shared" ref="O91:O99" si="42">IFERROR(M91-(G91*I91),"n/a")</f>
        <v>-2980716.639240507</v>
      </c>
      <c r="P91" s="312">
        <f t="shared" ref="P91:P99" si="43">IFERROR(M91-(G91*0.65),"n/a")</f>
        <v>399503.36075949296</v>
      </c>
      <c r="S91" s="288">
        <f t="shared" si="27"/>
        <v>15394603.890759494</v>
      </c>
      <c r="U91" s="295" t="str">
        <f t="shared" si="28"/>
        <v>OK</v>
      </c>
    </row>
    <row r="92" spans="1:25" s="8" customFormat="1" ht="69.75" x14ac:dyDescent="0.2">
      <c r="A92" s="89">
        <v>58</v>
      </c>
      <c r="B92" s="89" t="s">
        <v>7</v>
      </c>
      <c r="C92" s="71" t="s">
        <v>70</v>
      </c>
      <c r="D92" s="91" t="s">
        <v>133</v>
      </c>
      <c r="E92" s="312">
        <v>23049010</v>
      </c>
      <c r="F92" s="108"/>
      <c r="G92" s="312">
        <v>2000000</v>
      </c>
      <c r="H92" s="312">
        <v>710524.46285737387</v>
      </c>
      <c r="I92" s="314">
        <v>0.75</v>
      </c>
      <c r="J92" s="312">
        <v>32450</v>
      </c>
      <c r="K92" s="311">
        <f t="shared" si="40"/>
        <v>1.6225E-2</v>
      </c>
      <c r="L92" s="312">
        <f t="shared" si="26"/>
        <v>423658.39130434778</v>
      </c>
      <c r="M92" s="312">
        <v>456108.39130434778</v>
      </c>
      <c r="N92" s="311">
        <f t="shared" si="41"/>
        <v>0.22805419565217389</v>
      </c>
      <c r="O92" s="312">
        <f t="shared" si="42"/>
        <v>-1043891.6086956522</v>
      </c>
      <c r="P92" s="312">
        <f t="shared" si="43"/>
        <v>-843891.60869565222</v>
      </c>
      <c r="S92" s="288">
        <f t="shared" si="27"/>
        <v>423658.39130434778</v>
      </c>
      <c r="U92" s="295" t="str">
        <f t="shared" si="28"/>
        <v>OK</v>
      </c>
    </row>
    <row r="93" spans="1:25" s="8" customFormat="1" ht="69.75" x14ac:dyDescent="0.2">
      <c r="A93" s="89">
        <v>56</v>
      </c>
      <c r="B93" s="89" t="s">
        <v>7</v>
      </c>
      <c r="C93" s="71" t="s">
        <v>71</v>
      </c>
      <c r="D93" s="91" t="s">
        <v>133</v>
      </c>
      <c r="E93" s="312">
        <v>88364076</v>
      </c>
      <c r="F93" s="108"/>
      <c r="G93" s="312">
        <v>24085192</v>
      </c>
      <c r="H93" s="312">
        <v>4646774.3627410103</v>
      </c>
      <c r="I93" s="314">
        <v>0.75</v>
      </c>
      <c r="J93" s="312">
        <v>9575540.1799999997</v>
      </c>
      <c r="K93" s="311">
        <f t="shared" si="40"/>
        <v>0.39756960127201807</v>
      </c>
      <c r="L93" s="312">
        <f t="shared" si="26"/>
        <v>768449.8200000003</v>
      </c>
      <c r="M93" s="312">
        <v>10343990</v>
      </c>
      <c r="N93" s="311">
        <f t="shared" si="41"/>
        <v>0.42947508992247185</v>
      </c>
      <c r="O93" s="312">
        <f t="shared" si="42"/>
        <v>-7719904</v>
      </c>
      <c r="P93" s="312">
        <f t="shared" si="43"/>
        <v>-5311384.8000000007</v>
      </c>
      <c r="S93" s="288">
        <f t="shared" si="27"/>
        <v>768449.8200000003</v>
      </c>
      <c r="U93" s="295" t="str">
        <f t="shared" si="28"/>
        <v>OK</v>
      </c>
    </row>
    <row r="94" spans="1:25" s="8" customFormat="1" ht="69.75" x14ac:dyDescent="0.2">
      <c r="A94" s="89">
        <v>59</v>
      </c>
      <c r="B94" s="89" t="s">
        <v>7</v>
      </c>
      <c r="C94" s="71" t="s">
        <v>72</v>
      </c>
      <c r="D94" s="91" t="s">
        <v>133</v>
      </c>
      <c r="E94" s="312">
        <v>8345106</v>
      </c>
      <c r="F94" s="108"/>
      <c r="G94" s="312">
        <v>0</v>
      </c>
      <c r="H94" s="312">
        <v>438842</v>
      </c>
      <c r="I94" s="314">
        <v>0.75</v>
      </c>
      <c r="J94" s="312">
        <v>0</v>
      </c>
      <c r="K94" s="311" t="str">
        <f t="shared" si="40"/>
        <v>n/a</v>
      </c>
      <c r="L94" s="312">
        <f t="shared" si="26"/>
        <v>0</v>
      </c>
      <c r="M94" s="312">
        <v>0</v>
      </c>
      <c r="N94" s="311" t="str">
        <f t="shared" si="41"/>
        <v>n/a</v>
      </c>
      <c r="O94" s="312">
        <f t="shared" si="42"/>
        <v>0</v>
      </c>
      <c r="P94" s="312">
        <f t="shared" si="43"/>
        <v>0</v>
      </c>
      <c r="S94" s="288">
        <f t="shared" si="27"/>
        <v>0</v>
      </c>
      <c r="U94" s="295" t="str">
        <f t="shared" si="28"/>
        <v>OK</v>
      </c>
    </row>
    <row r="95" spans="1:25" s="8" customFormat="1" ht="93" x14ac:dyDescent="0.2">
      <c r="A95" s="89">
        <v>57</v>
      </c>
      <c r="B95" s="89" t="s">
        <v>7</v>
      </c>
      <c r="C95" s="71" t="s">
        <v>73</v>
      </c>
      <c r="D95" s="91" t="s">
        <v>133</v>
      </c>
      <c r="E95" s="312">
        <v>28235294</v>
      </c>
      <c r="F95" s="108"/>
      <c r="G95" s="312">
        <v>5170932</v>
      </c>
      <c r="H95" s="312">
        <v>1484802.3639075528</v>
      </c>
      <c r="I95" s="314">
        <v>0.75</v>
      </c>
      <c r="J95" s="312">
        <v>0</v>
      </c>
      <c r="K95" s="311">
        <f t="shared" si="40"/>
        <v>0</v>
      </c>
      <c r="L95" s="312">
        <f t="shared" ref="L95:L158" si="44">M95-J95</f>
        <v>513558.3</v>
      </c>
      <c r="M95" s="312">
        <v>513558.3</v>
      </c>
      <c r="N95" s="311">
        <f t="shared" si="41"/>
        <v>9.9316390159452872E-2</v>
      </c>
      <c r="O95" s="312">
        <f t="shared" si="42"/>
        <v>-3364640.7</v>
      </c>
      <c r="P95" s="312">
        <f t="shared" si="43"/>
        <v>-2847547.5000000005</v>
      </c>
      <c r="S95" s="288">
        <f t="shared" ref="S95:S158" si="45">M95-J95</f>
        <v>513558.3</v>
      </c>
      <c r="U95" s="295" t="str">
        <f t="shared" ref="U95:U158" si="46">IF(J95&gt;M95,"Nav labi","OK")</f>
        <v>OK</v>
      </c>
    </row>
    <row r="96" spans="1:25" s="8" customFormat="1" ht="69.75" x14ac:dyDescent="0.2">
      <c r="A96" s="89">
        <v>60</v>
      </c>
      <c r="B96" s="89" t="s">
        <v>7</v>
      </c>
      <c r="C96" s="71" t="s">
        <v>74</v>
      </c>
      <c r="D96" s="91" t="s">
        <v>133</v>
      </c>
      <c r="E96" s="312">
        <v>51570514</v>
      </c>
      <c r="F96" s="108"/>
      <c r="G96" s="312">
        <v>6554146</v>
      </c>
      <c r="H96" s="312">
        <v>2778862.1693609911</v>
      </c>
      <c r="I96" s="314">
        <v>0.75</v>
      </c>
      <c r="J96" s="312">
        <v>11782480.350000001</v>
      </c>
      <c r="K96" s="311">
        <f t="shared" si="40"/>
        <v>1.7977140500074307</v>
      </c>
      <c r="L96" s="312">
        <f t="shared" si="44"/>
        <v>2274466.6089041084</v>
      </c>
      <c r="M96" s="312">
        <v>14056946.95890411</v>
      </c>
      <c r="N96" s="311">
        <f t="shared" si="41"/>
        <v>2.1447412002882009</v>
      </c>
      <c r="O96" s="312">
        <f t="shared" si="42"/>
        <v>9141337.4589041099</v>
      </c>
      <c r="P96" s="312">
        <f t="shared" si="43"/>
        <v>9796752.0589041095</v>
      </c>
      <c r="S96" s="288">
        <f t="shared" si="45"/>
        <v>2274466.6089041084</v>
      </c>
      <c r="U96" s="295" t="str">
        <f t="shared" si="46"/>
        <v>OK</v>
      </c>
    </row>
    <row r="97" spans="1:28" s="8" customFormat="1" ht="46.5" x14ac:dyDescent="0.2">
      <c r="A97" s="89">
        <v>61</v>
      </c>
      <c r="B97" s="89" t="s">
        <v>7</v>
      </c>
      <c r="C97" s="71" t="s">
        <v>75</v>
      </c>
      <c r="D97" s="91" t="s">
        <v>133</v>
      </c>
      <c r="E97" s="312">
        <v>256999769</v>
      </c>
      <c r="F97" s="108"/>
      <c r="G97" s="312">
        <v>197688520</v>
      </c>
      <c r="H97" s="312">
        <v>13514767.514866358</v>
      </c>
      <c r="I97" s="314">
        <v>0.75</v>
      </c>
      <c r="J97" s="312">
        <f>200328946.07-2480825.6</f>
        <v>197848120.47</v>
      </c>
      <c r="K97" s="311">
        <f t="shared" si="40"/>
        <v>1.0008073330206528</v>
      </c>
      <c r="L97" s="312">
        <f t="shared" si="44"/>
        <v>8230488.7888230085</v>
      </c>
      <c r="M97" s="312">
        <f>208559434.858823-2480825.6</f>
        <v>206078609.25882301</v>
      </c>
      <c r="N97" s="311">
        <f t="shared" si="41"/>
        <v>1.042440953368577</v>
      </c>
      <c r="O97" s="312">
        <f t="shared" si="42"/>
        <v>57812219.258823007</v>
      </c>
      <c r="P97" s="312">
        <f t="shared" si="43"/>
        <v>77581071.258823007</v>
      </c>
      <c r="S97" s="288">
        <f t="shared" si="45"/>
        <v>8230488.7888230085</v>
      </c>
      <c r="U97" s="295" t="str">
        <f t="shared" si="46"/>
        <v>OK</v>
      </c>
    </row>
    <row r="98" spans="1:28" s="8" customFormat="1" ht="46.5" x14ac:dyDescent="0.2">
      <c r="A98" s="89">
        <v>53</v>
      </c>
      <c r="B98" s="89" t="s">
        <v>7</v>
      </c>
      <c r="C98" s="71" t="s">
        <v>76</v>
      </c>
      <c r="D98" s="91" t="s">
        <v>133</v>
      </c>
      <c r="E98" s="312">
        <v>407810998</v>
      </c>
      <c r="F98" s="108"/>
      <c r="G98" s="312">
        <v>0</v>
      </c>
      <c r="H98" s="312">
        <v>28082986</v>
      </c>
      <c r="I98" s="314">
        <v>0.75</v>
      </c>
      <c r="J98" s="312">
        <v>0</v>
      </c>
      <c r="K98" s="311" t="str">
        <f t="shared" si="40"/>
        <v>n/a</v>
      </c>
      <c r="L98" s="312">
        <f t="shared" si="44"/>
        <v>0</v>
      </c>
      <c r="M98" s="312">
        <v>0</v>
      </c>
      <c r="N98" s="311" t="str">
        <f t="shared" si="41"/>
        <v>n/a</v>
      </c>
      <c r="O98" s="312">
        <f t="shared" si="42"/>
        <v>0</v>
      </c>
      <c r="P98" s="312">
        <f t="shared" si="43"/>
        <v>0</v>
      </c>
      <c r="S98" s="288">
        <f t="shared" si="45"/>
        <v>0</v>
      </c>
      <c r="U98" s="295" t="str">
        <f t="shared" si="46"/>
        <v>OK</v>
      </c>
    </row>
    <row r="99" spans="1:28" s="8" customFormat="1" ht="46.5" x14ac:dyDescent="0.2">
      <c r="A99" s="89">
        <v>54</v>
      </c>
      <c r="B99" s="89" t="s">
        <v>7</v>
      </c>
      <c r="C99" s="71" t="s">
        <v>77</v>
      </c>
      <c r="D99" s="91" t="s">
        <v>133</v>
      </c>
      <c r="E99" s="312">
        <v>126221198</v>
      </c>
      <c r="F99" s="108"/>
      <c r="G99" s="312">
        <v>36847633</v>
      </c>
      <c r="H99" s="312">
        <v>0</v>
      </c>
      <c r="I99" s="314">
        <v>0.75</v>
      </c>
      <c r="J99" s="312">
        <v>0</v>
      </c>
      <c r="K99" s="311">
        <f t="shared" si="40"/>
        <v>0</v>
      </c>
      <c r="L99" s="312">
        <f t="shared" si="44"/>
        <v>0</v>
      </c>
      <c r="M99" s="312">
        <v>0</v>
      </c>
      <c r="N99" s="311">
        <f t="shared" si="41"/>
        <v>0</v>
      </c>
      <c r="O99" s="312">
        <f t="shared" si="42"/>
        <v>-27635724.75</v>
      </c>
      <c r="P99" s="312">
        <f t="shared" si="43"/>
        <v>-23950961.449999999</v>
      </c>
      <c r="S99" s="288">
        <f t="shared" si="45"/>
        <v>0</v>
      </c>
      <c r="U99" s="295" t="str">
        <f t="shared" si="46"/>
        <v>OK</v>
      </c>
    </row>
    <row r="100" spans="1:28" s="8" customFormat="1" ht="28.5" x14ac:dyDescent="0.2">
      <c r="A100" s="414" t="s">
        <v>209</v>
      </c>
      <c r="B100" s="414"/>
      <c r="C100" s="414"/>
      <c r="D100" s="414"/>
      <c r="E100" s="414"/>
      <c r="F100" s="414"/>
      <c r="G100" s="414"/>
      <c r="H100" s="414"/>
      <c r="I100" s="414"/>
      <c r="J100" s="414"/>
      <c r="K100" s="414"/>
      <c r="L100" s="414"/>
      <c r="M100" s="414"/>
      <c r="N100" s="414"/>
      <c r="O100" s="414"/>
      <c r="P100" s="414"/>
      <c r="S100" s="288">
        <f t="shared" si="45"/>
        <v>0</v>
      </c>
      <c r="U100" s="295" t="str">
        <f t="shared" si="46"/>
        <v>OK</v>
      </c>
    </row>
    <row r="101" spans="1:28" s="8" customFormat="1" ht="69.75" x14ac:dyDescent="0.35">
      <c r="A101" s="89">
        <v>69</v>
      </c>
      <c r="B101" s="89" t="s">
        <v>8</v>
      </c>
      <c r="C101" s="71" t="s">
        <v>79</v>
      </c>
      <c r="D101" s="91" t="s">
        <v>137</v>
      </c>
      <c r="E101" s="312">
        <v>96428049</v>
      </c>
      <c r="F101" s="108"/>
      <c r="G101" s="312">
        <v>43496163</v>
      </c>
      <c r="H101" s="312">
        <v>4203913</v>
      </c>
      <c r="I101" s="314">
        <v>0.85</v>
      </c>
      <c r="J101" s="312">
        <v>46685818.79999999</v>
      </c>
      <c r="K101" s="311">
        <f t="shared" ref="K101:K108" si="47">IFERROR(J101/G101,"n/a")</f>
        <v>1.0733318890680079</v>
      </c>
      <c r="L101" s="312">
        <f t="shared" si="44"/>
        <v>0</v>
      </c>
      <c r="M101" s="312">
        <v>46685818.79999999</v>
      </c>
      <c r="N101" s="311">
        <f t="shared" ref="N101:N108" si="48">IFERROR(M101/G101,"n/a")</f>
        <v>1.0733318890680079</v>
      </c>
      <c r="O101" s="312">
        <f t="shared" ref="O101:O108" si="49">IFERROR(M101-(G101*I101),"n/a")</f>
        <v>9714080.2499999925</v>
      </c>
      <c r="P101" s="312">
        <f t="shared" ref="P101:P108" si="50">IFERROR(M101-(G101*0.65),"n/a")</f>
        <v>18413312.84999999</v>
      </c>
      <c r="Q101" s="34"/>
      <c r="S101" s="288">
        <f t="shared" si="45"/>
        <v>0</v>
      </c>
      <c r="U101" s="295" t="str">
        <f t="shared" si="46"/>
        <v>OK</v>
      </c>
    </row>
    <row r="102" spans="1:28" s="8" customFormat="1" ht="46.5" x14ac:dyDescent="0.35">
      <c r="A102" s="89">
        <v>67</v>
      </c>
      <c r="B102" s="89" t="s">
        <v>8</v>
      </c>
      <c r="C102" s="71" t="s">
        <v>80</v>
      </c>
      <c r="D102" s="91" t="s">
        <v>137</v>
      </c>
      <c r="E102" s="312">
        <v>591250</v>
      </c>
      <c r="F102" s="108"/>
      <c r="G102" s="312">
        <v>256935</v>
      </c>
      <c r="H102" s="312">
        <v>0</v>
      </c>
      <c r="I102" s="314">
        <v>0.85</v>
      </c>
      <c r="J102" s="312">
        <v>301882.82999999996</v>
      </c>
      <c r="K102" s="311">
        <f t="shared" si="47"/>
        <v>1.1749385253079572</v>
      </c>
      <c r="L102" s="312">
        <f t="shared" si="44"/>
        <v>18397.028823529487</v>
      </c>
      <c r="M102" s="312">
        <v>320279.85882352944</v>
      </c>
      <c r="N102" s="311">
        <f t="shared" si="48"/>
        <v>1.2465404044740087</v>
      </c>
      <c r="O102" s="312">
        <f t="shared" si="49"/>
        <v>101885.10882352944</v>
      </c>
      <c r="P102" s="312">
        <f t="shared" si="50"/>
        <v>153272.10882352944</v>
      </c>
      <c r="Q102" s="34"/>
      <c r="S102" s="288">
        <f t="shared" si="45"/>
        <v>18397.028823529487</v>
      </c>
      <c r="U102" s="295" t="str">
        <f t="shared" si="46"/>
        <v>OK</v>
      </c>
    </row>
    <row r="103" spans="1:28" s="8" customFormat="1" ht="93" x14ac:dyDescent="0.35">
      <c r="A103" s="89">
        <v>68</v>
      </c>
      <c r="B103" s="89" t="s">
        <v>8</v>
      </c>
      <c r="C103" s="71" t="s">
        <v>81</v>
      </c>
      <c r="D103" s="91" t="s">
        <v>137</v>
      </c>
      <c r="E103" s="312">
        <v>1400770</v>
      </c>
      <c r="F103" s="108"/>
      <c r="G103" s="312">
        <v>648614</v>
      </c>
      <c r="H103" s="312">
        <v>0</v>
      </c>
      <c r="I103" s="314">
        <v>0.85</v>
      </c>
      <c r="J103" s="312">
        <v>908448.55</v>
      </c>
      <c r="K103" s="311">
        <f t="shared" si="47"/>
        <v>1.4005996632820137</v>
      </c>
      <c r="L103" s="312">
        <f t="shared" si="44"/>
        <v>39557.755882353056</v>
      </c>
      <c r="M103" s="312">
        <v>948006.3058823531</v>
      </c>
      <c r="N103" s="311">
        <f t="shared" si="48"/>
        <v>1.4615877947166622</v>
      </c>
      <c r="O103" s="312">
        <f t="shared" si="49"/>
        <v>396684.40588235308</v>
      </c>
      <c r="P103" s="312">
        <f t="shared" si="50"/>
        <v>526407.20588235301</v>
      </c>
      <c r="Q103" s="34"/>
      <c r="S103" s="288">
        <f t="shared" si="45"/>
        <v>39557.755882353056</v>
      </c>
      <c r="U103" s="295" t="str">
        <f t="shared" si="46"/>
        <v>OK</v>
      </c>
    </row>
    <row r="104" spans="1:28" s="8" customFormat="1" ht="116.25" x14ac:dyDescent="0.35">
      <c r="A104" s="89">
        <v>65</v>
      </c>
      <c r="B104" s="89"/>
      <c r="C104" s="71" t="s">
        <v>164</v>
      </c>
      <c r="D104" s="91" t="s">
        <v>137</v>
      </c>
      <c r="E104" s="312">
        <v>208000</v>
      </c>
      <c r="F104" s="108"/>
      <c r="G104" s="312">
        <v>208000</v>
      </c>
      <c r="H104" s="312">
        <v>0</v>
      </c>
      <c r="I104" s="314">
        <v>0.85</v>
      </c>
      <c r="J104" s="312">
        <v>192471.5</v>
      </c>
      <c r="K104" s="311">
        <f t="shared" si="47"/>
        <v>0.92534375000000002</v>
      </c>
      <c r="L104" s="312">
        <f t="shared" si="44"/>
        <v>2291.4999999701977</v>
      </c>
      <c r="M104" s="312">
        <v>194762.9999999702</v>
      </c>
      <c r="N104" s="311">
        <f t="shared" si="48"/>
        <v>0.93636057692293362</v>
      </c>
      <c r="O104" s="312">
        <f t="shared" si="49"/>
        <v>17962.999999970198</v>
      </c>
      <c r="P104" s="312">
        <f t="shared" si="50"/>
        <v>59562.999999970198</v>
      </c>
      <c r="Q104" s="34"/>
      <c r="S104" s="288">
        <f t="shared" si="45"/>
        <v>2291.4999999701977</v>
      </c>
      <c r="U104" s="295" t="str">
        <f t="shared" si="46"/>
        <v>OK</v>
      </c>
      <c r="V104" s="128"/>
      <c r="W104" s="128"/>
      <c r="X104" s="128"/>
      <c r="Z104" s="128"/>
      <c r="AA104" s="128"/>
    </row>
    <row r="105" spans="1:28" s="8" customFormat="1" ht="93" x14ac:dyDescent="0.4">
      <c r="A105" s="89">
        <v>64</v>
      </c>
      <c r="B105" s="89"/>
      <c r="C105" s="71" t="s">
        <v>165</v>
      </c>
      <c r="D105" s="91" t="s">
        <v>137</v>
      </c>
      <c r="E105" s="312">
        <v>6812578</v>
      </c>
      <c r="F105" s="108"/>
      <c r="G105" s="312">
        <v>3308896</v>
      </c>
      <c r="H105" s="312">
        <v>0</v>
      </c>
      <c r="I105" s="314">
        <v>0.85</v>
      </c>
      <c r="J105" s="312">
        <v>6786180.6400000006</v>
      </c>
      <c r="K105" s="311">
        <f t="shared" si="47"/>
        <v>2.0508896743808207</v>
      </c>
      <c r="L105" s="312">
        <f t="shared" si="44"/>
        <v>0</v>
      </c>
      <c r="M105" s="312">
        <v>6786180.6400000006</v>
      </c>
      <c r="N105" s="311">
        <f t="shared" si="48"/>
        <v>2.0508896743808207</v>
      </c>
      <c r="O105" s="312">
        <f t="shared" si="49"/>
        <v>3973619.0400000005</v>
      </c>
      <c r="P105" s="312">
        <f t="shared" si="50"/>
        <v>4635398.24</v>
      </c>
      <c r="Q105" s="34"/>
      <c r="S105" s="288">
        <f t="shared" si="45"/>
        <v>0</v>
      </c>
      <c r="U105" s="295" t="str">
        <f t="shared" si="46"/>
        <v>OK</v>
      </c>
      <c r="V105" s="128"/>
      <c r="W105" s="128"/>
      <c r="X105" s="322"/>
      <c r="Y105" s="323"/>
      <c r="Z105" s="322"/>
      <c r="AA105" s="323"/>
    </row>
    <row r="106" spans="1:28" s="8" customFormat="1" ht="116.25" x14ac:dyDescent="0.4">
      <c r="A106" s="89">
        <v>66</v>
      </c>
      <c r="B106" s="89" t="s">
        <v>8</v>
      </c>
      <c r="C106" s="71" t="s">
        <v>82</v>
      </c>
      <c r="D106" s="91" t="s">
        <v>137</v>
      </c>
      <c r="E106" s="312">
        <v>3258896</v>
      </c>
      <c r="F106" s="108"/>
      <c r="G106" s="312">
        <v>0</v>
      </c>
      <c r="H106" s="312">
        <v>2770061</v>
      </c>
      <c r="I106" s="314">
        <v>0.85</v>
      </c>
      <c r="J106" s="312">
        <v>0</v>
      </c>
      <c r="K106" s="311" t="str">
        <f t="shared" si="47"/>
        <v>n/a</v>
      </c>
      <c r="L106" s="312">
        <f t="shared" si="44"/>
        <v>0</v>
      </c>
      <c r="M106" s="312">
        <v>0</v>
      </c>
      <c r="N106" s="311" t="str">
        <f t="shared" si="48"/>
        <v>n/a</v>
      </c>
      <c r="O106" s="312">
        <f t="shared" si="49"/>
        <v>0</v>
      </c>
      <c r="P106" s="312">
        <f t="shared" si="50"/>
        <v>0</v>
      </c>
      <c r="Q106" s="34"/>
      <c r="S106" s="288">
        <f t="shared" si="45"/>
        <v>0</v>
      </c>
      <c r="U106" s="295" t="str">
        <f t="shared" si="46"/>
        <v>OK</v>
      </c>
      <c r="W106" s="128"/>
      <c r="X106" s="323"/>
      <c r="Y106" s="323"/>
      <c r="Z106" s="323"/>
      <c r="AA106" s="323"/>
    </row>
    <row r="107" spans="1:28" s="8" customFormat="1" ht="69.75" x14ac:dyDescent="0.4">
      <c r="A107" s="89">
        <v>63</v>
      </c>
      <c r="B107" s="89" t="s">
        <v>8</v>
      </c>
      <c r="C107" s="71" t="s">
        <v>83</v>
      </c>
      <c r="D107" s="91" t="s">
        <v>137</v>
      </c>
      <c r="E107" s="312">
        <v>12643472</v>
      </c>
      <c r="F107" s="108"/>
      <c r="G107" s="312">
        <v>954835</v>
      </c>
      <c r="H107" s="312">
        <v>0</v>
      </c>
      <c r="I107" s="314">
        <v>0.85</v>
      </c>
      <c r="J107" s="312">
        <v>730446.68000000017</v>
      </c>
      <c r="K107" s="311">
        <f t="shared" si="47"/>
        <v>0.76499780590363797</v>
      </c>
      <c r="L107" s="312">
        <f t="shared" si="44"/>
        <v>144110.82588235277</v>
      </c>
      <c r="M107" s="312">
        <v>874557.50588235294</v>
      </c>
      <c r="N107" s="311">
        <f t="shared" si="48"/>
        <v>0.91592527073510388</v>
      </c>
      <c r="O107" s="312">
        <f t="shared" si="49"/>
        <v>62947.75588235294</v>
      </c>
      <c r="P107" s="312">
        <f t="shared" si="50"/>
        <v>253914.75588235294</v>
      </c>
      <c r="Q107" s="34"/>
      <c r="S107" s="288">
        <f t="shared" si="45"/>
        <v>144110.82588235277</v>
      </c>
      <c r="U107" s="295" t="str">
        <f t="shared" si="46"/>
        <v>OK</v>
      </c>
      <c r="X107" s="323"/>
      <c r="Y107" s="323"/>
      <c r="Z107" s="323"/>
      <c r="AA107" s="322"/>
    </row>
    <row r="108" spans="1:28" s="8" customFormat="1" ht="116.25" x14ac:dyDescent="0.4">
      <c r="A108" s="89">
        <v>62</v>
      </c>
      <c r="B108" s="89" t="s">
        <v>8</v>
      </c>
      <c r="C108" s="71" t="s">
        <v>84</v>
      </c>
      <c r="D108" s="91" t="s">
        <v>137</v>
      </c>
      <c r="E108" s="312">
        <v>10596211</v>
      </c>
      <c r="F108" s="108"/>
      <c r="G108" s="312">
        <v>503251</v>
      </c>
      <c r="H108" s="312">
        <v>0</v>
      </c>
      <c r="I108" s="314">
        <v>0.85</v>
      </c>
      <c r="J108" s="312">
        <v>307511.89</v>
      </c>
      <c r="K108" s="311">
        <f t="shared" si="47"/>
        <v>0.61105072816546813</v>
      </c>
      <c r="L108" s="312">
        <f t="shared" si="44"/>
        <v>101402.61588235298</v>
      </c>
      <c r="M108" s="312">
        <v>408914.505882353</v>
      </c>
      <c r="N108" s="311">
        <f t="shared" si="48"/>
        <v>0.8125458387213399</v>
      </c>
      <c r="O108" s="312">
        <f t="shared" si="49"/>
        <v>-18848.844117646979</v>
      </c>
      <c r="P108" s="312">
        <f t="shared" si="50"/>
        <v>81801.355882352975</v>
      </c>
      <c r="Q108" s="34"/>
      <c r="S108" s="288">
        <f t="shared" si="45"/>
        <v>101402.61588235298</v>
      </c>
      <c r="U108" s="295" t="str">
        <f t="shared" si="46"/>
        <v>OK</v>
      </c>
      <c r="X108" s="323"/>
      <c r="Y108" s="323"/>
      <c r="Z108" s="323"/>
      <c r="AA108" s="323"/>
    </row>
    <row r="109" spans="1:28" s="8" customFormat="1" ht="28.5" x14ac:dyDescent="0.4">
      <c r="A109" s="414" t="s">
        <v>210</v>
      </c>
      <c r="B109" s="414"/>
      <c r="C109" s="414"/>
      <c r="D109" s="414"/>
      <c r="E109" s="414"/>
      <c r="F109" s="414"/>
      <c r="G109" s="414"/>
      <c r="H109" s="414"/>
      <c r="I109" s="414"/>
      <c r="J109" s="414"/>
      <c r="K109" s="414"/>
      <c r="L109" s="414"/>
      <c r="M109" s="414"/>
      <c r="N109" s="414"/>
      <c r="O109" s="414"/>
      <c r="P109" s="414"/>
      <c r="S109" s="288">
        <f t="shared" si="45"/>
        <v>0</v>
      </c>
      <c r="U109" s="295" t="str">
        <f t="shared" si="46"/>
        <v>OK</v>
      </c>
      <c r="X109" s="323"/>
      <c r="Y109" s="323"/>
      <c r="Z109" s="323"/>
      <c r="AA109" s="323"/>
      <c r="AB109" s="128"/>
    </row>
    <row r="110" spans="1:28" s="8" customFormat="1" ht="116.25" x14ac:dyDescent="0.4">
      <c r="A110" s="89">
        <v>71</v>
      </c>
      <c r="B110" s="89" t="s">
        <v>8</v>
      </c>
      <c r="C110" s="71" t="s">
        <v>166</v>
      </c>
      <c r="D110" s="91" t="s">
        <v>138</v>
      </c>
      <c r="E110" s="312">
        <v>33769162</v>
      </c>
      <c r="F110" s="108"/>
      <c r="G110" s="312">
        <v>26050171.876714714</v>
      </c>
      <c r="H110" s="312">
        <v>0</v>
      </c>
      <c r="I110" s="314">
        <v>0.85</v>
      </c>
      <c r="J110" s="312">
        <v>34002727.099999994</v>
      </c>
      <c r="K110" s="311">
        <f>IFERROR(J110/G110,"n/a")</f>
        <v>1.3052784166231846</v>
      </c>
      <c r="L110" s="312">
        <f t="shared" si="44"/>
        <v>1117239.2571428046</v>
      </c>
      <c r="M110" s="312">
        <v>35119966.357142799</v>
      </c>
      <c r="N110" s="311">
        <f>IFERROR(M110/G110,"n/a")</f>
        <v>1.3481663968802924</v>
      </c>
      <c r="O110" s="312">
        <f>IFERROR(M110-(G110*I110),"n/a")</f>
        <v>12977320.261935294</v>
      </c>
      <c r="P110" s="312">
        <f>IFERROR(M110-(G110*0.65),"n/a")</f>
        <v>18187354.637278233</v>
      </c>
      <c r="Q110" s="36"/>
      <c r="S110" s="288">
        <f t="shared" si="45"/>
        <v>1117239.2571428046</v>
      </c>
      <c r="U110" s="295" t="str">
        <f t="shared" si="46"/>
        <v>OK</v>
      </c>
      <c r="X110" s="323"/>
      <c r="Y110" s="323"/>
      <c r="Z110" s="322"/>
      <c r="AA110" s="323"/>
    </row>
    <row r="111" spans="1:28" s="8" customFormat="1" ht="93" x14ac:dyDescent="0.2">
      <c r="A111" s="89">
        <v>70</v>
      </c>
      <c r="B111" s="89" t="s">
        <v>8</v>
      </c>
      <c r="C111" s="71" t="s">
        <v>167</v>
      </c>
      <c r="D111" s="91" t="s">
        <v>138</v>
      </c>
      <c r="E111" s="312">
        <v>29371641</v>
      </c>
      <c r="F111" s="108"/>
      <c r="G111" s="312">
        <v>22657840.123285286</v>
      </c>
      <c r="H111" s="312">
        <v>0</v>
      </c>
      <c r="I111" s="314">
        <v>0.85</v>
      </c>
      <c r="J111" s="312">
        <v>23852642.75</v>
      </c>
      <c r="K111" s="311">
        <f>IFERROR(J111/G111,"n/a")</f>
        <v>1.052732414926294</v>
      </c>
      <c r="L111" s="312">
        <f t="shared" si="44"/>
        <v>342256.96302419901</v>
      </c>
      <c r="M111" s="312">
        <v>24194899.713024199</v>
      </c>
      <c r="N111" s="311">
        <f>IFERROR(M111/G111,"n/a")</f>
        <v>1.0678378689837822</v>
      </c>
      <c r="O111" s="312">
        <f>IFERROR(M111-(G111*I111),"n/a")</f>
        <v>4935735.6082317047</v>
      </c>
      <c r="P111" s="312">
        <f>IFERROR(M111-(G111*0.65),"n/a")</f>
        <v>9467303.6328887623</v>
      </c>
      <c r="S111" s="288">
        <f t="shared" si="45"/>
        <v>342256.96302419901</v>
      </c>
      <c r="U111" s="295" t="str">
        <f t="shared" si="46"/>
        <v>OK</v>
      </c>
    </row>
    <row r="112" spans="1:28" s="8" customFormat="1" ht="28.5" x14ac:dyDescent="0.2">
      <c r="A112" s="414" t="s">
        <v>211</v>
      </c>
      <c r="B112" s="414"/>
      <c r="C112" s="414"/>
      <c r="D112" s="414"/>
      <c r="E112" s="414"/>
      <c r="F112" s="414"/>
      <c r="G112" s="414"/>
      <c r="H112" s="414"/>
      <c r="I112" s="414"/>
      <c r="J112" s="414"/>
      <c r="K112" s="414"/>
      <c r="L112" s="414"/>
      <c r="M112" s="414"/>
      <c r="N112" s="414"/>
      <c r="O112" s="414"/>
      <c r="P112" s="414"/>
      <c r="S112" s="288">
        <f t="shared" si="45"/>
        <v>0</v>
      </c>
      <c r="U112" s="295" t="str">
        <f t="shared" si="46"/>
        <v>OK</v>
      </c>
    </row>
    <row r="113" spans="1:21" s="8" customFormat="1" ht="69.75" x14ac:dyDescent="0.2">
      <c r="A113" s="89">
        <v>73</v>
      </c>
      <c r="B113" s="89" t="s">
        <v>9</v>
      </c>
      <c r="C113" s="71" t="s">
        <v>85</v>
      </c>
      <c r="D113" s="91" t="s">
        <v>126</v>
      </c>
      <c r="E113" s="312">
        <v>44641656</v>
      </c>
      <c r="F113" s="108"/>
      <c r="G113" s="312">
        <v>11160414</v>
      </c>
      <c r="H113" s="312">
        <v>2314490</v>
      </c>
      <c r="I113" s="314">
        <v>0.85</v>
      </c>
      <c r="J113" s="312">
        <v>7775204.1799999969</v>
      </c>
      <c r="K113" s="311">
        <f>IFERROR(J113/G113,"n/a")</f>
        <v>0.69667703904174139</v>
      </c>
      <c r="L113" s="312">
        <f t="shared" si="44"/>
        <v>0</v>
      </c>
      <c r="M113" s="312">
        <v>7775204.1799999969</v>
      </c>
      <c r="N113" s="311">
        <f>IFERROR(M113/G113,"n/a")</f>
        <v>0.69667703904174139</v>
      </c>
      <c r="O113" s="312">
        <f>IFERROR(M113-(G113*I113),"n/a")</f>
        <v>-1711147.7200000035</v>
      </c>
      <c r="P113" s="312">
        <f>IFERROR(M113-(G113*0.65),"n/a")</f>
        <v>520935.07999999635</v>
      </c>
      <c r="S113" s="288">
        <f t="shared" si="45"/>
        <v>0</v>
      </c>
      <c r="U113" s="295" t="str">
        <f t="shared" si="46"/>
        <v>OK</v>
      </c>
    </row>
    <row r="114" spans="1:21" s="8" customFormat="1" ht="69.75" x14ac:dyDescent="0.2">
      <c r="A114" s="89">
        <v>75</v>
      </c>
      <c r="B114" s="89" t="s">
        <v>9</v>
      </c>
      <c r="C114" s="71" t="s">
        <v>86</v>
      </c>
      <c r="D114" s="91" t="s">
        <v>126</v>
      </c>
      <c r="E114" s="312">
        <v>168136850.14364851</v>
      </c>
      <c r="F114" s="108"/>
      <c r="G114" s="312">
        <v>32373977.000000007</v>
      </c>
      <c r="H114" s="312">
        <v>8470217</v>
      </c>
      <c r="I114" s="314">
        <v>0.85</v>
      </c>
      <c r="J114" s="312">
        <v>34455195.629999995</v>
      </c>
      <c r="K114" s="311">
        <f>IFERROR(J114/G114,"n/a")</f>
        <v>1.0642867766910438</v>
      </c>
      <c r="L114" s="312">
        <f t="shared" si="44"/>
        <v>0</v>
      </c>
      <c r="M114" s="312">
        <v>34455195.629999995</v>
      </c>
      <c r="N114" s="311">
        <f>IFERROR(M114/G114,"n/a")</f>
        <v>1.0642867766910438</v>
      </c>
      <c r="O114" s="312">
        <f>IFERROR(M114-(G114*I114),"n/a")</f>
        <v>6937315.1799999885</v>
      </c>
      <c r="P114" s="312">
        <f>IFERROR(M114-(G114*0.65),"n/a")</f>
        <v>13412110.579999991</v>
      </c>
      <c r="S114" s="288">
        <f t="shared" si="45"/>
        <v>0</v>
      </c>
      <c r="U114" s="295" t="str">
        <f t="shared" si="46"/>
        <v>OK</v>
      </c>
    </row>
    <row r="115" spans="1:21" s="27" customFormat="1" ht="93" x14ac:dyDescent="0.2">
      <c r="A115" s="89">
        <v>72</v>
      </c>
      <c r="B115" s="89" t="s">
        <v>9</v>
      </c>
      <c r="C115" s="294" t="s">
        <v>87</v>
      </c>
      <c r="D115" s="91" t="s">
        <v>126</v>
      </c>
      <c r="E115" s="312">
        <v>104224880</v>
      </c>
      <c r="F115" s="108"/>
      <c r="G115" s="312">
        <v>33454181</v>
      </c>
      <c r="H115" s="312">
        <v>5404059.7000000002</v>
      </c>
      <c r="I115" s="314">
        <v>0.85</v>
      </c>
      <c r="J115" s="312">
        <v>16489443.059999991</v>
      </c>
      <c r="K115" s="311">
        <f>IFERROR(J115/G115,"n/a")</f>
        <v>0.49289633065594973</v>
      </c>
      <c r="L115" s="312">
        <f t="shared" si="44"/>
        <v>1501752.7282353006</v>
      </c>
      <c r="M115" s="312">
        <v>17991195.788235292</v>
      </c>
      <c r="N115" s="311">
        <f>IFERROR(M115/G115,"n/a")</f>
        <v>0.53778616754166819</v>
      </c>
      <c r="O115" s="312">
        <f>IFERROR(M115-(G115*I115),"n/a")</f>
        <v>-10444858.061764706</v>
      </c>
      <c r="P115" s="312">
        <f>IFERROR(M115-(G115*0.65),"n/a")</f>
        <v>-3754021.8617647104</v>
      </c>
      <c r="S115" s="288">
        <f t="shared" si="45"/>
        <v>1501752.7282353006</v>
      </c>
      <c r="U115" s="295" t="str">
        <f t="shared" si="46"/>
        <v>OK</v>
      </c>
    </row>
    <row r="116" spans="1:21" s="8" customFormat="1" ht="69.75" x14ac:dyDescent="0.2">
      <c r="A116" s="89">
        <v>74</v>
      </c>
      <c r="B116" s="89" t="s">
        <v>9</v>
      </c>
      <c r="C116" s="71" t="s">
        <v>88</v>
      </c>
      <c r="D116" s="91" t="s">
        <v>126</v>
      </c>
      <c r="E116" s="312">
        <v>14185198</v>
      </c>
      <c r="F116" s="108"/>
      <c r="G116" s="312">
        <v>3546300</v>
      </c>
      <c r="H116" s="312">
        <v>735445</v>
      </c>
      <c r="I116" s="314">
        <v>0.85</v>
      </c>
      <c r="J116" s="312">
        <v>3070741.3999999994</v>
      </c>
      <c r="K116" s="311">
        <f>IFERROR(J116/G116,"n/a")</f>
        <v>0.86590006485632898</v>
      </c>
      <c r="L116" s="312">
        <f t="shared" si="44"/>
        <v>192518.65882352972</v>
      </c>
      <c r="M116" s="312">
        <v>3263260.0588235292</v>
      </c>
      <c r="N116" s="311">
        <f>IFERROR(M116/G116,"n/a")</f>
        <v>0.92018725398965939</v>
      </c>
      <c r="O116" s="312">
        <f>IFERROR(M116-(G116*I116),"n/a")</f>
        <v>248905.05882352917</v>
      </c>
      <c r="P116" s="312">
        <f>IFERROR(M116-(G116*0.65),"n/a")</f>
        <v>958165.05882352917</v>
      </c>
      <c r="S116" s="288">
        <f t="shared" si="45"/>
        <v>192518.65882352972</v>
      </c>
      <c r="U116" s="295" t="str">
        <f t="shared" si="46"/>
        <v>OK</v>
      </c>
    </row>
    <row r="117" spans="1:21" s="8" customFormat="1" ht="28.5" x14ac:dyDescent="0.35">
      <c r="A117" s="414" t="s">
        <v>212</v>
      </c>
      <c r="B117" s="414"/>
      <c r="C117" s="414"/>
      <c r="D117" s="414"/>
      <c r="E117" s="414"/>
      <c r="F117" s="414"/>
      <c r="G117" s="414"/>
      <c r="H117" s="414"/>
      <c r="I117" s="414"/>
      <c r="J117" s="414"/>
      <c r="K117" s="414"/>
      <c r="L117" s="414"/>
      <c r="M117" s="414"/>
      <c r="N117" s="414"/>
      <c r="O117" s="414"/>
      <c r="P117" s="414"/>
      <c r="Q117" s="26"/>
      <c r="S117" s="288">
        <f t="shared" si="45"/>
        <v>0</v>
      </c>
      <c r="U117" s="295" t="str">
        <f t="shared" si="46"/>
        <v>OK</v>
      </c>
    </row>
    <row r="118" spans="1:21" s="8" customFormat="1" ht="93" x14ac:dyDescent="0.2">
      <c r="A118" s="89">
        <v>86</v>
      </c>
      <c r="B118" s="90" t="s">
        <v>9</v>
      </c>
      <c r="C118" s="71" t="s">
        <v>89</v>
      </c>
      <c r="D118" s="91" t="s">
        <v>139</v>
      </c>
      <c r="E118" s="312">
        <v>10815000</v>
      </c>
      <c r="F118" s="313"/>
      <c r="G118" s="312">
        <v>306783.08034535614</v>
      </c>
      <c r="H118" s="312">
        <v>571654</v>
      </c>
      <c r="I118" s="314">
        <v>0.75</v>
      </c>
      <c r="J118" s="312">
        <v>3560.7</v>
      </c>
      <c r="K118" s="311">
        <f t="shared" ref="K118:K134" si="51">IFERROR(J118/G118,"n/a")</f>
        <v>1.1606572292029922E-2</v>
      </c>
      <c r="L118" s="312">
        <f t="shared" si="44"/>
        <v>20647.864705882352</v>
      </c>
      <c r="M118" s="312">
        <v>24208.564705882352</v>
      </c>
      <c r="N118" s="311">
        <f t="shared" ref="N118:N134" si="52">IFERROR(M118/G118,"n/a")</f>
        <v>7.8911016470106329E-2</v>
      </c>
      <c r="O118" s="312">
        <f t="shared" ref="O118:O134" si="53">IFERROR(M118-(G118*I118),"n/a")</f>
        <v>-205878.74555313477</v>
      </c>
      <c r="P118" s="312">
        <f t="shared" ref="P118:P134" si="54">IFERROR(M118-(G118*0.65),"n/a")</f>
        <v>-175200.43751859915</v>
      </c>
      <c r="Q118" s="10"/>
      <c r="S118" s="288">
        <f t="shared" si="45"/>
        <v>20647.864705882352</v>
      </c>
      <c r="U118" s="295" t="str">
        <f t="shared" si="46"/>
        <v>OK</v>
      </c>
    </row>
    <row r="119" spans="1:21" s="8" customFormat="1" ht="116.25" x14ac:dyDescent="0.2">
      <c r="A119" s="89">
        <v>84</v>
      </c>
      <c r="B119" s="90" t="s">
        <v>9</v>
      </c>
      <c r="C119" s="71" t="s">
        <v>90</v>
      </c>
      <c r="D119" s="91" t="s">
        <v>139</v>
      </c>
      <c r="E119" s="312">
        <v>34340686</v>
      </c>
      <c r="F119" s="313"/>
      <c r="G119" s="312">
        <v>613566.16069071228</v>
      </c>
      <c r="H119" s="312">
        <v>1815162</v>
      </c>
      <c r="I119" s="314">
        <v>0.75</v>
      </c>
      <c r="J119" s="312">
        <v>0</v>
      </c>
      <c r="K119" s="311">
        <f t="shared" si="51"/>
        <v>0</v>
      </c>
      <c r="L119" s="312">
        <f t="shared" si="44"/>
        <v>0</v>
      </c>
      <c r="M119" s="312">
        <v>0</v>
      </c>
      <c r="N119" s="311">
        <f t="shared" si="52"/>
        <v>0</v>
      </c>
      <c r="O119" s="312">
        <f t="shared" si="53"/>
        <v>-460174.62051803421</v>
      </c>
      <c r="P119" s="312">
        <f t="shared" si="54"/>
        <v>-398818.00444896298</v>
      </c>
      <c r="Q119" s="10"/>
      <c r="S119" s="288">
        <f t="shared" si="45"/>
        <v>0</v>
      </c>
      <c r="U119" s="295" t="str">
        <f t="shared" si="46"/>
        <v>OK</v>
      </c>
    </row>
    <row r="120" spans="1:21" s="8" customFormat="1" ht="93" x14ac:dyDescent="0.2">
      <c r="A120" s="89">
        <v>81</v>
      </c>
      <c r="B120" s="90" t="s">
        <v>9</v>
      </c>
      <c r="C120" s="71" t="s">
        <v>91</v>
      </c>
      <c r="D120" s="91" t="s">
        <v>139</v>
      </c>
      <c r="E120" s="312">
        <v>20000000</v>
      </c>
      <c r="F120" s="313"/>
      <c r="G120" s="312">
        <v>876523.08670101757</v>
      </c>
      <c r="H120" s="312">
        <v>1136067</v>
      </c>
      <c r="I120" s="314">
        <v>0.75</v>
      </c>
      <c r="J120" s="312">
        <v>1910.86</v>
      </c>
      <c r="K120" s="311">
        <f t="shared" si="51"/>
        <v>2.1800452594944544E-3</v>
      </c>
      <c r="L120" s="312">
        <f t="shared" si="44"/>
        <v>0</v>
      </c>
      <c r="M120" s="312">
        <v>1910.86</v>
      </c>
      <c r="N120" s="311">
        <f t="shared" si="52"/>
        <v>2.1800452594944544E-3</v>
      </c>
      <c r="O120" s="312">
        <f t="shared" si="53"/>
        <v>-655481.45502576313</v>
      </c>
      <c r="P120" s="312">
        <f t="shared" si="54"/>
        <v>-567829.14635566145</v>
      </c>
      <c r="Q120" s="10"/>
      <c r="S120" s="288">
        <f t="shared" si="45"/>
        <v>0</v>
      </c>
      <c r="U120" s="296" t="str">
        <f t="shared" si="46"/>
        <v>OK</v>
      </c>
    </row>
    <row r="121" spans="1:21" s="8" customFormat="1" ht="46.5" x14ac:dyDescent="0.2">
      <c r="A121" s="89">
        <v>85</v>
      </c>
      <c r="B121" s="90" t="s">
        <v>9</v>
      </c>
      <c r="C121" s="71" t="s">
        <v>92</v>
      </c>
      <c r="D121" s="91" t="s">
        <v>139</v>
      </c>
      <c r="E121" s="312">
        <v>1500000</v>
      </c>
      <c r="F121" s="313"/>
      <c r="G121" s="312">
        <v>1051827.7040412212</v>
      </c>
      <c r="H121" s="312">
        <v>0</v>
      </c>
      <c r="I121" s="314">
        <v>0.75</v>
      </c>
      <c r="J121" s="312">
        <v>777002.00999999989</v>
      </c>
      <c r="K121" s="311">
        <f t="shared" si="51"/>
        <v>0.7387160530329111</v>
      </c>
      <c r="L121" s="312">
        <f t="shared" si="44"/>
        <v>0</v>
      </c>
      <c r="M121" s="312">
        <v>777002.00999999989</v>
      </c>
      <c r="N121" s="311">
        <f t="shared" si="52"/>
        <v>0.7387160530329111</v>
      </c>
      <c r="O121" s="312">
        <f t="shared" si="53"/>
        <v>-11868.768030915991</v>
      </c>
      <c r="P121" s="312">
        <f t="shared" si="54"/>
        <v>93314.00237320608</v>
      </c>
      <c r="Q121" s="10"/>
      <c r="S121" s="288">
        <f t="shared" si="45"/>
        <v>0</v>
      </c>
      <c r="U121" s="295" t="str">
        <f t="shared" si="46"/>
        <v>OK</v>
      </c>
    </row>
    <row r="122" spans="1:21" s="8" customFormat="1" ht="93" x14ac:dyDescent="0.2">
      <c r="A122" s="89">
        <v>92</v>
      </c>
      <c r="B122" s="90" t="s">
        <v>9</v>
      </c>
      <c r="C122" s="71" t="s">
        <v>93</v>
      </c>
      <c r="D122" s="91" t="s">
        <v>139</v>
      </c>
      <c r="E122" s="312">
        <v>13960884</v>
      </c>
      <c r="F122" s="313"/>
      <c r="G122" s="312">
        <v>5090334</v>
      </c>
      <c r="H122" s="312">
        <v>0</v>
      </c>
      <c r="I122" s="314">
        <v>0.75</v>
      </c>
      <c r="J122" s="312">
        <v>5809274.5100000007</v>
      </c>
      <c r="K122" s="311">
        <f t="shared" si="51"/>
        <v>1.1412364119918261</v>
      </c>
      <c r="L122" s="312">
        <f t="shared" si="44"/>
        <v>7.6470579952001572E-3</v>
      </c>
      <c r="M122" s="312">
        <v>5809274.5176470587</v>
      </c>
      <c r="N122" s="311">
        <f t="shared" si="52"/>
        <v>1.1412364134940967</v>
      </c>
      <c r="O122" s="312">
        <f t="shared" si="53"/>
        <v>1991524.0176470587</v>
      </c>
      <c r="P122" s="312">
        <f t="shared" si="54"/>
        <v>2500557.4176470586</v>
      </c>
      <c r="S122" s="288">
        <f t="shared" si="45"/>
        <v>7.6470579952001572E-3</v>
      </c>
      <c r="U122" s="295" t="str">
        <f t="shared" si="46"/>
        <v>OK</v>
      </c>
    </row>
    <row r="123" spans="1:21" s="8" customFormat="1" ht="69.75" x14ac:dyDescent="0.2">
      <c r="A123" s="89">
        <v>82</v>
      </c>
      <c r="B123" s="90" t="s">
        <v>9</v>
      </c>
      <c r="C123" s="71" t="s">
        <v>94</v>
      </c>
      <c r="D123" s="91" t="s">
        <v>139</v>
      </c>
      <c r="E123" s="312">
        <v>4221188</v>
      </c>
      <c r="F123" s="313"/>
      <c r="G123" s="312">
        <v>593149.30843218556</v>
      </c>
      <c r="H123" s="312">
        <v>961286</v>
      </c>
      <c r="I123" s="314">
        <v>0.75</v>
      </c>
      <c r="J123" s="312">
        <v>0</v>
      </c>
      <c r="K123" s="311">
        <f t="shared" si="51"/>
        <v>0</v>
      </c>
      <c r="L123" s="312">
        <f t="shared" si="44"/>
        <v>0</v>
      </c>
      <c r="M123" s="312">
        <v>0</v>
      </c>
      <c r="N123" s="311">
        <f t="shared" si="52"/>
        <v>0</v>
      </c>
      <c r="O123" s="312">
        <f t="shared" si="53"/>
        <v>-444861.98132413917</v>
      </c>
      <c r="P123" s="312">
        <f t="shared" si="54"/>
        <v>-385547.05048092065</v>
      </c>
      <c r="Q123" s="10"/>
      <c r="S123" s="288">
        <f t="shared" si="45"/>
        <v>0</v>
      </c>
      <c r="U123" s="295" t="str">
        <f t="shared" si="46"/>
        <v>OK</v>
      </c>
    </row>
    <row r="124" spans="1:21" s="8" customFormat="1" ht="46.5" x14ac:dyDescent="0.2">
      <c r="A124" s="89">
        <v>88</v>
      </c>
      <c r="B124" s="90" t="s">
        <v>9</v>
      </c>
      <c r="C124" s="71" t="s">
        <v>95</v>
      </c>
      <c r="D124" s="91" t="s">
        <v>139</v>
      </c>
      <c r="E124" s="312">
        <v>3287350</v>
      </c>
      <c r="F124" s="313"/>
      <c r="G124" s="312">
        <v>864430.57419689035</v>
      </c>
      <c r="H124" s="313">
        <v>0</v>
      </c>
      <c r="I124" s="314">
        <v>0.75</v>
      </c>
      <c r="J124" s="312">
        <v>1047860.76</v>
      </c>
      <c r="K124" s="311">
        <f t="shared" si="51"/>
        <v>1.21219770711318</v>
      </c>
      <c r="L124" s="312">
        <f t="shared" si="44"/>
        <v>45494.369411764666</v>
      </c>
      <c r="M124" s="312">
        <v>1093355.1294117647</v>
      </c>
      <c r="N124" s="311">
        <f t="shared" si="52"/>
        <v>1.2648269994702113</v>
      </c>
      <c r="O124" s="312">
        <f t="shared" si="53"/>
        <v>445032.19876409695</v>
      </c>
      <c r="P124" s="312">
        <f t="shared" si="54"/>
        <v>531475.25618378597</v>
      </c>
      <c r="Q124" s="10"/>
      <c r="S124" s="288">
        <f t="shared" si="45"/>
        <v>45494.369411764666</v>
      </c>
      <c r="U124" s="295" t="str">
        <f t="shared" si="46"/>
        <v>OK</v>
      </c>
    </row>
    <row r="125" spans="1:21" s="8" customFormat="1" ht="69.75" x14ac:dyDescent="0.2">
      <c r="A125" s="89">
        <v>87</v>
      </c>
      <c r="B125" s="90" t="s">
        <v>9</v>
      </c>
      <c r="C125" s="71" t="s">
        <v>96</v>
      </c>
      <c r="D125" s="91" t="s">
        <v>139</v>
      </c>
      <c r="E125" s="312">
        <v>34345390</v>
      </c>
      <c r="F125" s="313"/>
      <c r="G125" s="312">
        <v>3079923.3159576887</v>
      </c>
      <c r="H125" s="312">
        <v>1989172</v>
      </c>
      <c r="I125" s="314">
        <v>0.75</v>
      </c>
      <c r="J125" s="312">
        <v>4264320.62</v>
      </c>
      <c r="K125" s="311">
        <f t="shared" si="51"/>
        <v>1.3845541536393831</v>
      </c>
      <c r="L125" s="312">
        <f t="shared" si="44"/>
        <v>777495.21529411804</v>
      </c>
      <c r="M125" s="312">
        <v>5041815.8352941182</v>
      </c>
      <c r="N125" s="311">
        <f t="shared" si="52"/>
        <v>1.6369939501972268</v>
      </c>
      <c r="O125" s="312">
        <f t="shared" si="53"/>
        <v>2731873.3483258514</v>
      </c>
      <c r="P125" s="312">
        <f t="shared" si="54"/>
        <v>3039865.6799216205</v>
      </c>
      <c r="Q125" s="10"/>
      <c r="S125" s="288">
        <f t="shared" si="45"/>
        <v>777495.21529411804</v>
      </c>
      <c r="U125" s="295" t="str">
        <f t="shared" si="46"/>
        <v>OK</v>
      </c>
    </row>
    <row r="126" spans="1:21" s="8" customFormat="1" ht="93" x14ac:dyDescent="0.2">
      <c r="A126" s="89">
        <v>77</v>
      </c>
      <c r="B126" s="90" t="s">
        <v>9</v>
      </c>
      <c r="C126" s="71" t="s">
        <v>97</v>
      </c>
      <c r="D126" s="91" t="s">
        <v>139</v>
      </c>
      <c r="E126" s="312">
        <v>9000000</v>
      </c>
      <c r="F126" s="313"/>
      <c r="G126" s="312">
        <v>0</v>
      </c>
      <c r="H126" s="312">
        <v>0</v>
      </c>
      <c r="I126" s="314">
        <v>0.75</v>
      </c>
      <c r="J126" s="312">
        <v>2295433.5699999998</v>
      </c>
      <c r="K126" s="311" t="str">
        <f t="shared" si="51"/>
        <v>n/a</v>
      </c>
      <c r="L126" s="312">
        <f t="shared" si="44"/>
        <v>513491.3947058823</v>
      </c>
      <c r="M126" s="312">
        <v>2808924.9647058821</v>
      </c>
      <c r="N126" s="311" t="str">
        <f t="shared" si="52"/>
        <v>n/a</v>
      </c>
      <c r="O126" s="312">
        <f t="shared" si="53"/>
        <v>2808924.9647058821</v>
      </c>
      <c r="P126" s="312">
        <f t="shared" si="54"/>
        <v>2808924.9647058821</v>
      </c>
      <c r="Q126" s="10"/>
      <c r="S126" s="288">
        <f t="shared" si="45"/>
        <v>513491.3947058823</v>
      </c>
      <c r="U126" s="295" t="str">
        <f t="shared" si="46"/>
        <v>OK</v>
      </c>
    </row>
    <row r="127" spans="1:21" s="8" customFormat="1" ht="93" x14ac:dyDescent="0.2">
      <c r="A127" s="89">
        <v>79</v>
      </c>
      <c r="B127" s="90" t="s">
        <v>9</v>
      </c>
      <c r="C127" s="71" t="s">
        <v>98</v>
      </c>
      <c r="D127" s="91" t="s">
        <v>139</v>
      </c>
      <c r="E127" s="312">
        <v>39812376</v>
      </c>
      <c r="F127" s="313"/>
      <c r="G127" s="312">
        <v>5234469.6544539919</v>
      </c>
      <c r="H127" s="312">
        <v>2580099</v>
      </c>
      <c r="I127" s="314">
        <v>0.75</v>
      </c>
      <c r="J127" s="312">
        <v>2188894.6399999997</v>
      </c>
      <c r="K127" s="311">
        <f t="shared" si="51"/>
        <v>0.41816932459193396</v>
      </c>
      <c r="L127" s="312">
        <f t="shared" si="44"/>
        <v>347166.38352941209</v>
      </c>
      <c r="M127" s="312">
        <v>2536061.0235294118</v>
      </c>
      <c r="N127" s="311">
        <f t="shared" si="52"/>
        <v>0.48449244927258034</v>
      </c>
      <c r="O127" s="312">
        <f t="shared" si="53"/>
        <v>-1389791.2173110819</v>
      </c>
      <c r="P127" s="312">
        <f t="shared" si="54"/>
        <v>-866344.25186568312</v>
      </c>
      <c r="Q127" s="10"/>
      <c r="S127" s="288">
        <f t="shared" si="45"/>
        <v>347166.38352941209</v>
      </c>
      <c r="U127" s="295" t="str">
        <f t="shared" si="46"/>
        <v>OK</v>
      </c>
    </row>
    <row r="128" spans="1:21" s="8" customFormat="1" ht="46.5" x14ac:dyDescent="0.2">
      <c r="A128" s="89">
        <v>83</v>
      </c>
      <c r="B128" s="90" t="s">
        <v>9</v>
      </c>
      <c r="C128" s="71" t="s">
        <v>99</v>
      </c>
      <c r="D128" s="91" t="s">
        <v>139</v>
      </c>
      <c r="E128" s="312">
        <v>23080688</v>
      </c>
      <c r="F128" s="313"/>
      <c r="G128" s="312">
        <v>6069226.416073706</v>
      </c>
      <c r="H128" s="312">
        <v>1219986</v>
      </c>
      <c r="I128" s="314">
        <v>0.75</v>
      </c>
      <c r="J128" s="312">
        <v>4797949.22</v>
      </c>
      <c r="K128" s="311">
        <f t="shared" si="51"/>
        <v>0.79053719388242583</v>
      </c>
      <c r="L128" s="312">
        <f t="shared" si="44"/>
        <v>1798896.3094117641</v>
      </c>
      <c r="M128" s="312">
        <v>6596845.5294117639</v>
      </c>
      <c r="N128" s="311">
        <f t="shared" si="52"/>
        <v>1.0869335030805103</v>
      </c>
      <c r="O128" s="312">
        <f t="shared" si="53"/>
        <v>2044925.7173564844</v>
      </c>
      <c r="P128" s="312">
        <f t="shared" si="54"/>
        <v>2651848.3589638551</v>
      </c>
      <c r="Q128" s="10"/>
      <c r="S128" s="288">
        <f t="shared" si="45"/>
        <v>1798896.3094117641</v>
      </c>
      <c r="U128" s="295" t="str">
        <f t="shared" si="46"/>
        <v>OK</v>
      </c>
    </row>
    <row r="129" spans="1:21" s="8" customFormat="1" ht="69.75" x14ac:dyDescent="0.2">
      <c r="A129" s="89">
        <v>91</v>
      </c>
      <c r="B129" s="90" t="s">
        <v>9</v>
      </c>
      <c r="C129" s="71" t="s">
        <v>100</v>
      </c>
      <c r="D129" s="91" t="s">
        <v>139</v>
      </c>
      <c r="E129" s="312">
        <v>6250000</v>
      </c>
      <c r="F129" s="313"/>
      <c r="G129" s="312">
        <v>1227132.3213814246</v>
      </c>
      <c r="H129" s="312">
        <v>0</v>
      </c>
      <c r="I129" s="314">
        <v>0.75</v>
      </c>
      <c r="J129" s="312">
        <v>1644595.0699999998</v>
      </c>
      <c r="K129" s="311">
        <f t="shared" si="51"/>
        <v>1.3401937520059966</v>
      </c>
      <c r="L129" s="312">
        <f t="shared" si="44"/>
        <v>214643.74176470633</v>
      </c>
      <c r="M129" s="312">
        <v>1859238.8117647062</v>
      </c>
      <c r="N129" s="311">
        <f t="shared" si="52"/>
        <v>1.5151086638087226</v>
      </c>
      <c r="O129" s="312">
        <f t="shared" si="53"/>
        <v>938889.57072863774</v>
      </c>
      <c r="P129" s="312">
        <f t="shared" si="54"/>
        <v>1061602.8028667802</v>
      </c>
      <c r="Q129" s="10"/>
      <c r="S129" s="288">
        <f t="shared" si="45"/>
        <v>214643.74176470633</v>
      </c>
      <c r="U129" s="295" t="str">
        <f t="shared" si="46"/>
        <v>OK</v>
      </c>
    </row>
    <row r="130" spans="1:21" s="8" customFormat="1" ht="93" x14ac:dyDescent="0.2">
      <c r="A130" s="89">
        <v>89</v>
      </c>
      <c r="B130" s="90" t="s">
        <v>9</v>
      </c>
      <c r="C130" s="71" t="s">
        <v>101</v>
      </c>
      <c r="D130" s="91" t="s">
        <v>139</v>
      </c>
      <c r="E130" s="312">
        <v>4814359</v>
      </c>
      <c r="F130" s="313"/>
      <c r="G130" s="312">
        <v>148312.08888524567</v>
      </c>
      <c r="H130" s="312">
        <v>584973</v>
      </c>
      <c r="I130" s="314">
        <v>0.75</v>
      </c>
      <c r="J130" s="312">
        <v>25520.260000000002</v>
      </c>
      <c r="K130" s="311">
        <f t="shared" si="51"/>
        <v>0.17207134085843759</v>
      </c>
      <c r="L130" s="312">
        <f t="shared" si="44"/>
        <v>1378.2811764705839</v>
      </c>
      <c r="M130" s="312">
        <v>26898.541176470586</v>
      </c>
      <c r="N130" s="311">
        <f t="shared" si="52"/>
        <v>0.18136445503968959</v>
      </c>
      <c r="O130" s="312">
        <f t="shared" si="53"/>
        <v>-84335.525487463659</v>
      </c>
      <c r="P130" s="312">
        <f t="shared" si="54"/>
        <v>-69504.316598939098</v>
      </c>
      <c r="Q130" s="10"/>
      <c r="S130" s="288">
        <f t="shared" si="45"/>
        <v>1378.2811764705839</v>
      </c>
      <c r="U130" s="295" t="str">
        <f t="shared" si="46"/>
        <v>OK</v>
      </c>
    </row>
    <row r="131" spans="1:21" s="8" customFormat="1" ht="46.5" x14ac:dyDescent="0.2">
      <c r="A131" s="89">
        <v>76</v>
      </c>
      <c r="B131" s="90" t="s">
        <v>9</v>
      </c>
      <c r="C131" s="298" t="s">
        <v>102</v>
      </c>
      <c r="D131" s="91" t="s">
        <v>139</v>
      </c>
      <c r="E131" s="312">
        <v>27034565</v>
      </c>
      <c r="F131" s="313"/>
      <c r="G131" s="312">
        <v>2644848</v>
      </c>
      <c r="H131" s="312">
        <v>1428978.6074669461</v>
      </c>
      <c r="I131" s="314">
        <v>0.75</v>
      </c>
      <c r="J131" s="312">
        <v>1191370.2</v>
      </c>
      <c r="K131" s="311">
        <f t="shared" si="51"/>
        <v>0.45044940200722305</v>
      </c>
      <c r="L131" s="312">
        <f t="shared" si="44"/>
        <v>687583.61176470574</v>
      </c>
      <c r="M131" s="312">
        <v>1878953.8117647057</v>
      </c>
      <c r="N131" s="311">
        <f t="shared" si="52"/>
        <v>0.71042033862237286</v>
      </c>
      <c r="O131" s="312">
        <f t="shared" si="53"/>
        <v>-104682.18823529431</v>
      </c>
      <c r="P131" s="312">
        <f t="shared" si="54"/>
        <v>159802.61176470574</v>
      </c>
      <c r="S131" s="288">
        <f t="shared" si="45"/>
        <v>687583.61176470574</v>
      </c>
      <c r="U131" s="295" t="str">
        <f t="shared" si="46"/>
        <v>OK</v>
      </c>
    </row>
    <row r="132" spans="1:21" s="8" customFormat="1" ht="69.75" x14ac:dyDescent="0.2">
      <c r="A132" s="89">
        <v>78</v>
      </c>
      <c r="B132" s="90" t="s">
        <v>9</v>
      </c>
      <c r="C132" s="71" t="s">
        <v>103</v>
      </c>
      <c r="D132" s="91" t="s">
        <v>139</v>
      </c>
      <c r="E132" s="312">
        <v>21937153</v>
      </c>
      <c r="F132" s="313"/>
      <c r="G132" s="312">
        <v>3109508</v>
      </c>
      <c r="H132" s="312">
        <v>1159542.3341456992</v>
      </c>
      <c r="I132" s="314">
        <v>0.75</v>
      </c>
      <c r="J132" s="312">
        <v>985714.44000000006</v>
      </c>
      <c r="K132" s="311">
        <f t="shared" si="51"/>
        <v>0.31700012992409088</v>
      </c>
      <c r="L132" s="312">
        <f t="shared" si="44"/>
        <v>0</v>
      </c>
      <c r="M132" s="312">
        <v>985714.44000000006</v>
      </c>
      <c r="N132" s="311">
        <f t="shared" si="52"/>
        <v>0.31700012992409088</v>
      </c>
      <c r="O132" s="312">
        <f t="shared" si="53"/>
        <v>-1346416.56</v>
      </c>
      <c r="P132" s="312">
        <f t="shared" si="54"/>
        <v>-1035465.7599999999</v>
      </c>
      <c r="S132" s="288">
        <f t="shared" si="45"/>
        <v>0</v>
      </c>
      <c r="U132" s="295" t="str">
        <f t="shared" si="46"/>
        <v>OK</v>
      </c>
    </row>
    <row r="133" spans="1:21" s="8" customFormat="1" ht="116.25" x14ac:dyDescent="0.2">
      <c r="A133" s="89">
        <v>80</v>
      </c>
      <c r="B133" s="90" t="s">
        <v>9</v>
      </c>
      <c r="C133" s="298" t="s">
        <v>104</v>
      </c>
      <c r="D133" s="91" t="s">
        <v>139</v>
      </c>
      <c r="E133" s="312">
        <v>12936510</v>
      </c>
      <c r="F133" s="313"/>
      <c r="G133" s="312">
        <v>5102617.7926139049</v>
      </c>
      <c r="H133" s="312">
        <v>683791.11725384148</v>
      </c>
      <c r="I133" s="314">
        <v>0.75</v>
      </c>
      <c r="J133" s="312">
        <v>2758992.1399999997</v>
      </c>
      <c r="K133" s="311">
        <f t="shared" si="51"/>
        <v>0.54070131296011847</v>
      </c>
      <c r="L133" s="312">
        <f t="shared" si="44"/>
        <v>1.2941177003085613E-2</v>
      </c>
      <c r="M133" s="312">
        <v>2758992.1529411767</v>
      </c>
      <c r="N133" s="311">
        <f t="shared" si="52"/>
        <v>0.54070131549630229</v>
      </c>
      <c r="O133" s="312">
        <f t="shared" si="53"/>
        <v>-1067971.191519252</v>
      </c>
      <c r="P133" s="312">
        <f t="shared" si="54"/>
        <v>-557709.41225786181</v>
      </c>
      <c r="Q133" s="10"/>
      <c r="S133" s="288">
        <f t="shared" si="45"/>
        <v>1.2941177003085613E-2</v>
      </c>
      <c r="U133" s="295" t="str">
        <f t="shared" si="46"/>
        <v>OK</v>
      </c>
    </row>
    <row r="134" spans="1:21" s="8" customFormat="1" ht="69.75" x14ac:dyDescent="0.2">
      <c r="A134" s="89">
        <v>90</v>
      </c>
      <c r="B134" s="90" t="s">
        <v>9</v>
      </c>
      <c r="C134" s="71" t="s">
        <v>105</v>
      </c>
      <c r="D134" s="91" t="s">
        <v>139</v>
      </c>
      <c r="E134" s="312">
        <v>6490095</v>
      </c>
      <c r="F134" s="313"/>
      <c r="G134" s="312">
        <v>853307.49622665439</v>
      </c>
      <c r="H134" s="312">
        <v>343049.93461007229</v>
      </c>
      <c r="I134" s="314">
        <v>0.75</v>
      </c>
      <c r="J134" s="312">
        <v>1385830.0899999999</v>
      </c>
      <c r="K134" s="311">
        <f t="shared" si="51"/>
        <v>1.6240688100458192</v>
      </c>
      <c r="L134" s="312">
        <f t="shared" si="44"/>
        <v>260530.22764705913</v>
      </c>
      <c r="M134" s="312">
        <v>1646360.317647059</v>
      </c>
      <c r="N134" s="311">
        <f t="shared" si="52"/>
        <v>1.9293869149483658</v>
      </c>
      <c r="O134" s="312">
        <f t="shared" si="53"/>
        <v>1006379.6954770682</v>
      </c>
      <c r="P134" s="312">
        <f t="shared" si="54"/>
        <v>1091710.4450997338</v>
      </c>
      <c r="Q134" s="10"/>
      <c r="S134" s="288">
        <f t="shared" si="45"/>
        <v>260530.22764705913</v>
      </c>
      <c r="U134" s="295" t="str">
        <f t="shared" si="46"/>
        <v>OK</v>
      </c>
    </row>
    <row r="135" spans="1:21" s="8" customFormat="1" ht="28.5" x14ac:dyDescent="0.2">
      <c r="A135" s="414" t="s">
        <v>213</v>
      </c>
      <c r="B135" s="414"/>
      <c r="C135" s="414"/>
      <c r="D135" s="414"/>
      <c r="E135" s="414"/>
      <c r="F135" s="414"/>
      <c r="G135" s="414"/>
      <c r="H135" s="414"/>
      <c r="I135" s="414"/>
      <c r="J135" s="414"/>
      <c r="K135" s="414"/>
      <c r="L135" s="414"/>
      <c r="M135" s="414"/>
      <c r="N135" s="414"/>
      <c r="O135" s="414"/>
      <c r="P135" s="414"/>
      <c r="S135" s="288">
        <f t="shared" si="45"/>
        <v>0</v>
      </c>
      <c r="U135" s="295" t="str">
        <f t="shared" si="46"/>
        <v>OK</v>
      </c>
    </row>
    <row r="136" spans="1:21" s="8" customFormat="1" ht="93" x14ac:dyDescent="0.2">
      <c r="A136" s="89">
        <v>94</v>
      </c>
      <c r="B136" s="89" t="s">
        <v>6</v>
      </c>
      <c r="C136" s="71" t="s">
        <v>196</v>
      </c>
      <c r="D136" s="91" t="s">
        <v>141</v>
      </c>
      <c r="E136" s="312">
        <v>44441978</v>
      </c>
      <c r="F136" s="313"/>
      <c r="G136" s="312">
        <v>0</v>
      </c>
      <c r="H136" s="312">
        <v>2515517.0000000009</v>
      </c>
      <c r="I136" s="314">
        <v>0.75</v>
      </c>
      <c r="J136" s="312">
        <v>0</v>
      </c>
      <c r="K136" s="311" t="str">
        <f>IFERROR(J136/G136,"n/a")</f>
        <v>n/a</v>
      </c>
      <c r="L136" s="312">
        <f t="shared" si="44"/>
        <v>0</v>
      </c>
      <c r="M136" s="312">
        <v>0</v>
      </c>
      <c r="N136" s="311" t="str">
        <f>IFERROR(M136/G136,"n/a")</f>
        <v>n/a</v>
      </c>
      <c r="O136" s="312">
        <f>IFERROR(M136-(G136*I136),"n/a")</f>
        <v>0</v>
      </c>
      <c r="P136" s="312">
        <f>IFERROR(M136-(G136*0.65),"n/a")</f>
        <v>0</v>
      </c>
      <c r="S136" s="288">
        <f t="shared" si="45"/>
        <v>0</v>
      </c>
      <c r="U136" s="295" t="str">
        <f t="shared" si="46"/>
        <v>OK</v>
      </c>
    </row>
    <row r="137" spans="1:21" s="8" customFormat="1" ht="186" x14ac:dyDescent="0.2">
      <c r="A137" s="89">
        <v>95</v>
      </c>
      <c r="B137" s="89" t="s">
        <v>6</v>
      </c>
      <c r="C137" s="71" t="s">
        <v>124</v>
      </c>
      <c r="D137" s="91" t="s">
        <v>141</v>
      </c>
      <c r="E137" s="312">
        <v>4077075</v>
      </c>
      <c r="F137" s="313"/>
      <c r="G137" s="312">
        <v>0</v>
      </c>
      <c r="H137" s="312">
        <v>0</v>
      </c>
      <c r="I137" s="314">
        <v>0.75</v>
      </c>
      <c r="J137" s="312">
        <v>9394.15</v>
      </c>
      <c r="K137" s="311" t="str">
        <f>IFERROR(J137/G137,"n/a")</f>
        <v>n/a</v>
      </c>
      <c r="L137" s="312">
        <f t="shared" si="44"/>
        <v>2.9411764717224287E-3</v>
      </c>
      <c r="M137" s="312">
        <v>9394.1529411764714</v>
      </c>
      <c r="N137" s="311" t="str">
        <f>IFERROR(M137/G137,"n/a")</f>
        <v>n/a</v>
      </c>
      <c r="O137" s="312">
        <f>IFERROR(M137-(G137*I137),"n/a")</f>
        <v>9394.1529411764714</v>
      </c>
      <c r="P137" s="312">
        <f>IFERROR(M137-(G137*0.65),"n/a")</f>
        <v>9394.1529411764714</v>
      </c>
      <c r="S137" s="288">
        <f t="shared" si="45"/>
        <v>2.9411764717224287E-3</v>
      </c>
      <c r="U137" s="295" t="str">
        <f t="shared" si="46"/>
        <v>OK</v>
      </c>
    </row>
    <row r="138" spans="1:21" s="8" customFormat="1" ht="69.75" x14ac:dyDescent="0.2">
      <c r="A138" s="89">
        <v>93</v>
      </c>
      <c r="B138" s="89" t="s">
        <v>6</v>
      </c>
      <c r="C138" s="71" t="s">
        <v>125</v>
      </c>
      <c r="D138" s="91" t="s">
        <v>142</v>
      </c>
      <c r="E138" s="312">
        <v>194364718</v>
      </c>
      <c r="F138" s="313"/>
      <c r="G138" s="312">
        <v>7796118</v>
      </c>
      <c r="H138" s="312">
        <v>9279588</v>
      </c>
      <c r="I138" s="314">
        <v>0.75</v>
      </c>
      <c r="J138" s="312">
        <v>11101089.979999999</v>
      </c>
      <c r="K138" s="311">
        <f>IFERROR(J138/G138,"n/a")</f>
        <v>1.4239253407914039</v>
      </c>
      <c r="L138" s="312">
        <f t="shared" si="44"/>
        <v>2149247.5494117662</v>
      </c>
      <c r="M138" s="312">
        <v>13250337.529411765</v>
      </c>
      <c r="N138" s="311">
        <f>IFERROR(M138/G138,"n/a")</f>
        <v>1.6996071031007696</v>
      </c>
      <c r="O138" s="312">
        <f>IFERROR(M138-(G138*I138),"n/a")</f>
        <v>7403249.0294117648</v>
      </c>
      <c r="P138" s="312">
        <f>IFERROR(M138-(G138*0.65),"n/a")</f>
        <v>8182860.8294117646</v>
      </c>
      <c r="S138" s="288">
        <f t="shared" si="45"/>
        <v>2149247.5494117662</v>
      </c>
      <c r="U138" s="295" t="str">
        <f t="shared" si="46"/>
        <v>OK</v>
      </c>
    </row>
    <row r="139" spans="1:21" s="8" customFormat="1" ht="28.5" x14ac:dyDescent="0.2">
      <c r="A139" s="414" t="s">
        <v>214</v>
      </c>
      <c r="B139" s="414"/>
      <c r="C139" s="414"/>
      <c r="D139" s="414"/>
      <c r="E139" s="414"/>
      <c r="F139" s="414"/>
      <c r="G139" s="414"/>
      <c r="H139" s="414"/>
      <c r="I139" s="414"/>
      <c r="J139" s="414"/>
      <c r="K139" s="414"/>
      <c r="L139" s="414"/>
      <c r="M139" s="414"/>
      <c r="N139" s="414"/>
      <c r="O139" s="414"/>
      <c r="P139" s="414"/>
      <c r="S139" s="288">
        <f t="shared" si="45"/>
        <v>0</v>
      </c>
      <c r="U139" s="295" t="str">
        <f t="shared" si="46"/>
        <v>OK</v>
      </c>
    </row>
    <row r="140" spans="1:21" s="8" customFormat="1" ht="69.75" x14ac:dyDescent="0.2">
      <c r="A140" s="89">
        <v>114</v>
      </c>
      <c r="B140" s="89" t="s">
        <v>6</v>
      </c>
      <c r="C140" s="71" t="s">
        <v>106</v>
      </c>
      <c r="D140" s="91" t="s">
        <v>137</v>
      </c>
      <c r="E140" s="312">
        <v>37218825</v>
      </c>
      <c r="F140" s="313"/>
      <c r="G140" s="312">
        <v>14870313</v>
      </c>
      <c r="H140" s="312">
        <v>1186027.0906275464</v>
      </c>
      <c r="I140" s="314">
        <v>0.75</v>
      </c>
      <c r="J140" s="312">
        <v>20424896.649999999</v>
      </c>
      <c r="K140" s="311">
        <f t="shared" ref="K140:K158" si="55">IFERROR(J140/G140,"n/a")</f>
        <v>1.3735350863159368</v>
      </c>
      <c r="L140" s="312">
        <f t="shared" si="44"/>
        <v>78870.4145161286</v>
      </c>
      <c r="M140" s="312">
        <v>20503767.064516127</v>
      </c>
      <c r="N140" s="311">
        <f t="shared" ref="N140:N158" si="56">IFERROR(M140/G140,"n/a")</f>
        <v>1.3788389702702375</v>
      </c>
      <c r="O140" s="312">
        <f t="shared" ref="O140:O158" si="57">IFERROR(M140-(G140*I140),"n/a")</f>
        <v>9351032.3145161271</v>
      </c>
      <c r="P140" s="312">
        <f t="shared" ref="P140:P158" si="58">IFERROR(M140-(G140*0.65),"n/a")</f>
        <v>10838063.614516126</v>
      </c>
      <c r="S140" s="288">
        <f t="shared" si="45"/>
        <v>78870.4145161286</v>
      </c>
      <c r="U140" s="295" t="str">
        <f t="shared" si="46"/>
        <v>OK</v>
      </c>
    </row>
    <row r="141" spans="1:21" s="8" customFormat="1" ht="69.75" x14ac:dyDescent="0.2">
      <c r="A141" s="89">
        <v>100</v>
      </c>
      <c r="B141" s="89" t="s">
        <v>6</v>
      </c>
      <c r="C141" s="71" t="s">
        <v>107</v>
      </c>
      <c r="D141" s="91" t="s">
        <v>137</v>
      </c>
      <c r="E141" s="312">
        <v>32030112</v>
      </c>
      <c r="F141" s="313"/>
      <c r="G141" s="312">
        <v>10390587</v>
      </c>
      <c r="H141" s="312">
        <v>0</v>
      </c>
      <c r="I141" s="314">
        <v>0.75</v>
      </c>
      <c r="J141" s="312">
        <v>8787373.4800000004</v>
      </c>
      <c r="K141" s="311">
        <f t="shared" si="55"/>
        <v>0.84570520221812306</v>
      </c>
      <c r="L141" s="312">
        <f t="shared" si="44"/>
        <v>692728.07294117659</v>
      </c>
      <c r="M141" s="312">
        <v>9480101.552941177</v>
      </c>
      <c r="N141" s="311">
        <f t="shared" si="56"/>
        <v>0.91237401245388516</v>
      </c>
      <c r="O141" s="312">
        <f t="shared" si="57"/>
        <v>1687161.302941177</v>
      </c>
      <c r="P141" s="312">
        <f t="shared" si="58"/>
        <v>2726220.0029411772</v>
      </c>
      <c r="S141" s="288">
        <f t="shared" si="45"/>
        <v>692728.07294117659</v>
      </c>
      <c r="U141" s="295" t="str">
        <f t="shared" si="46"/>
        <v>OK</v>
      </c>
    </row>
    <row r="142" spans="1:21" s="8" customFormat="1" ht="46.5" x14ac:dyDescent="0.2">
      <c r="A142" s="89">
        <v>97</v>
      </c>
      <c r="B142" s="89" t="s">
        <v>6</v>
      </c>
      <c r="C142" s="71" t="s">
        <v>108</v>
      </c>
      <c r="D142" s="91" t="s">
        <v>137</v>
      </c>
      <c r="E142" s="312">
        <v>19920206</v>
      </c>
      <c r="F142" s="313"/>
      <c r="G142" s="312">
        <v>1114247</v>
      </c>
      <c r="H142" s="312">
        <v>4250000.0000000037</v>
      </c>
      <c r="I142" s="314">
        <v>0.75</v>
      </c>
      <c r="J142" s="312">
        <v>902816.73</v>
      </c>
      <c r="K142" s="311">
        <f t="shared" si="55"/>
        <v>0.81024829324198311</v>
      </c>
      <c r="L142" s="312">
        <f t="shared" si="44"/>
        <v>610619.94058823516</v>
      </c>
      <c r="M142" s="312">
        <v>1513436.6705882351</v>
      </c>
      <c r="N142" s="311">
        <f t="shared" si="56"/>
        <v>1.3582595874956227</v>
      </c>
      <c r="O142" s="312">
        <f t="shared" si="57"/>
        <v>677751.42058823514</v>
      </c>
      <c r="P142" s="312">
        <f t="shared" si="58"/>
        <v>789176.12058823509</v>
      </c>
      <c r="S142" s="288">
        <f t="shared" si="45"/>
        <v>610619.94058823516</v>
      </c>
      <c r="U142" s="295" t="str">
        <f t="shared" si="46"/>
        <v>OK</v>
      </c>
    </row>
    <row r="143" spans="1:21" s="8" customFormat="1" ht="93" x14ac:dyDescent="0.2">
      <c r="A143" s="89">
        <v>112</v>
      </c>
      <c r="B143" s="89" t="s">
        <v>6</v>
      </c>
      <c r="C143" s="71" t="s">
        <v>109</v>
      </c>
      <c r="D143" s="91" t="s">
        <v>130</v>
      </c>
      <c r="E143" s="312">
        <v>5175000</v>
      </c>
      <c r="F143" s="313"/>
      <c r="G143" s="312">
        <v>469779</v>
      </c>
      <c r="H143" s="312">
        <v>273537</v>
      </c>
      <c r="I143" s="314">
        <v>0.75</v>
      </c>
      <c r="J143" s="312">
        <v>469223.93999999994</v>
      </c>
      <c r="K143" s="311">
        <f t="shared" si="55"/>
        <v>0.99881846570408628</v>
      </c>
      <c r="L143" s="312">
        <f t="shared" si="44"/>
        <v>272242.88352941175</v>
      </c>
      <c r="M143" s="312">
        <v>741466.82352941169</v>
      </c>
      <c r="N143" s="311">
        <f t="shared" si="56"/>
        <v>1.5783311376826374</v>
      </c>
      <c r="O143" s="312">
        <f t="shared" si="57"/>
        <v>389132.57352941169</v>
      </c>
      <c r="P143" s="312">
        <f t="shared" si="58"/>
        <v>436110.47352941165</v>
      </c>
      <c r="S143" s="288">
        <f t="shared" si="45"/>
        <v>272242.88352941175</v>
      </c>
      <c r="U143" s="295" t="str">
        <f t="shared" si="46"/>
        <v>OK</v>
      </c>
    </row>
    <row r="144" spans="1:21" s="8" customFormat="1" ht="116.25" x14ac:dyDescent="0.2">
      <c r="A144" s="89">
        <v>106</v>
      </c>
      <c r="B144" s="89" t="s">
        <v>6</v>
      </c>
      <c r="C144" s="71" t="s">
        <v>110</v>
      </c>
      <c r="D144" s="91" t="s">
        <v>130</v>
      </c>
      <c r="E144" s="312">
        <v>4232693</v>
      </c>
      <c r="F144" s="313"/>
      <c r="G144" s="312">
        <v>1411759</v>
      </c>
      <c r="H144" s="312">
        <v>223729</v>
      </c>
      <c r="I144" s="314">
        <v>0.75</v>
      </c>
      <c r="J144" s="312">
        <v>728709.36</v>
      </c>
      <c r="K144" s="311">
        <f t="shared" si="55"/>
        <v>0.51617121619199879</v>
      </c>
      <c r="L144" s="312">
        <f t="shared" si="44"/>
        <v>180188.4282352943</v>
      </c>
      <c r="M144" s="312">
        <v>908897.78823529428</v>
      </c>
      <c r="N144" s="311">
        <f t="shared" si="56"/>
        <v>0.64380520204602509</v>
      </c>
      <c r="O144" s="312">
        <f t="shared" si="57"/>
        <v>-149921.46176470572</v>
      </c>
      <c r="P144" s="312">
        <f t="shared" si="58"/>
        <v>-8745.5617647056933</v>
      </c>
      <c r="S144" s="288">
        <f t="shared" si="45"/>
        <v>180188.4282352943</v>
      </c>
      <c r="U144" s="295" t="str">
        <f t="shared" si="46"/>
        <v>OK</v>
      </c>
    </row>
    <row r="145" spans="1:21" s="8" customFormat="1" ht="69.75" x14ac:dyDescent="0.2">
      <c r="A145" s="89">
        <v>110</v>
      </c>
      <c r="B145" s="89" t="s">
        <v>6</v>
      </c>
      <c r="C145" s="71" t="s">
        <v>111</v>
      </c>
      <c r="D145" s="91" t="s">
        <v>137</v>
      </c>
      <c r="E145" s="312">
        <v>1252128</v>
      </c>
      <c r="F145" s="313"/>
      <c r="G145" s="312">
        <v>545837</v>
      </c>
      <c r="H145" s="312">
        <v>0</v>
      </c>
      <c r="I145" s="314">
        <v>0.75</v>
      </c>
      <c r="J145" s="312">
        <v>593136.16</v>
      </c>
      <c r="K145" s="311">
        <f t="shared" si="55"/>
        <v>1.0866543675126459</v>
      </c>
      <c r="L145" s="312">
        <f t="shared" si="44"/>
        <v>127620.5929411765</v>
      </c>
      <c r="M145" s="312">
        <v>720756.75294117653</v>
      </c>
      <c r="N145" s="311">
        <f t="shared" si="56"/>
        <v>1.3204615167919664</v>
      </c>
      <c r="O145" s="312">
        <f t="shared" si="57"/>
        <v>311379.00294117653</v>
      </c>
      <c r="P145" s="312">
        <f t="shared" si="58"/>
        <v>365962.70294117654</v>
      </c>
      <c r="S145" s="288">
        <f t="shared" si="45"/>
        <v>127620.5929411765</v>
      </c>
      <c r="U145" s="295" t="str">
        <f t="shared" si="46"/>
        <v>OK</v>
      </c>
    </row>
    <row r="146" spans="1:21" s="8" customFormat="1" ht="162.75" x14ac:dyDescent="0.2">
      <c r="A146" s="89">
        <v>107</v>
      </c>
      <c r="B146" s="89" t="s">
        <v>6</v>
      </c>
      <c r="C146" s="71" t="s">
        <v>112</v>
      </c>
      <c r="D146" s="91" t="s">
        <v>137</v>
      </c>
      <c r="E146" s="312">
        <v>1323271</v>
      </c>
      <c r="F146" s="313"/>
      <c r="G146" s="312">
        <v>156573</v>
      </c>
      <c r="H146" s="312">
        <v>0</v>
      </c>
      <c r="I146" s="314">
        <v>0.75</v>
      </c>
      <c r="J146" s="312">
        <v>155790.31000000003</v>
      </c>
      <c r="K146" s="311">
        <f t="shared" si="55"/>
        <v>0.99500111768951238</v>
      </c>
      <c r="L146" s="312">
        <f t="shared" si="44"/>
        <v>-4.1176470695063472E-3</v>
      </c>
      <c r="M146" s="312">
        <v>155790.30588235296</v>
      </c>
      <c r="N146" s="311">
        <f t="shared" si="56"/>
        <v>0.99500109139093562</v>
      </c>
      <c r="O146" s="312">
        <f t="shared" si="57"/>
        <v>38360.555882352957</v>
      </c>
      <c r="P146" s="312">
        <f t="shared" si="58"/>
        <v>54017.85588235296</v>
      </c>
      <c r="S146" s="288">
        <f t="shared" si="45"/>
        <v>-4.1176470695063472E-3</v>
      </c>
      <c r="U146" s="295" t="str">
        <f t="shared" si="46"/>
        <v>Nav labi</v>
      </c>
    </row>
    <row r="147" spans="1:21" s="8" customFormat="1" ht="93" x14ac:dyDescent="0.2">
      <c r="A147" s="89">
        <v>109</v>
      </c>
      <c r="B147" s="89" t="s">
        <v>6</v>
      </c>
      <c r="C147" s="71" t="s">
        <v>113</v>
      </c>
      <c r="D147" s="91" t="s">
        <v>137</v>
      </c>
      <c r="E147" s="312">
        <v>318055</v>
      </c>
      <c r="F147" s="313"/>
      <c r="G147" s="312">
        <v>95417</v>
      </c>
      <c r="H147" s="312">
        <v>0</v>
      </c>
      <c r="I147" s="314">
        <v>0.75</v>
      </c>
      <c r="J147" s="312">
        <v>133513.73000000001</v>
      </c>
      <c r="K147" s="311">
        <f t="shared" si="55"/>
        <v>1.3992656444868317</v>
      </c>
      <c r="L147" s="312">
        <f t="shared" si="44"/>
        <v>31873.234705882322</v>
      </c>
      <c r="M147" s="312">
        <v>165386.96470588233</v>
      </c>
      <c r="N147" s="311">
        <f t="shared" si="56"/>
        <v>1.733307112001869</v>
      </c>
      <c r="O147" s="312">
        <f t="shared" si="57"/>
        <v>93824.214705882332</v>
      </c>
      <c r="P147" s="312">
        <f t="shared" si="58"/>
        <v>103365.91470588233</v>
      </c>
      <c r="S147" s="288">
        <f t="shared" si="45"/>
        <v>31873.234705882322</v>
      </c>
      <c r="U147" s="295" t="str">
        <f t="shared" si="46"/>
        <v>OK</v>
      </c>
    </row>
    <row r="148" spans="1:21" s="8" customFormat="1" ht="69.75" x14ac:dyDescent="0.2">
      <c r="A148" s="89">
        <v>103</v>
      </c>
      <c r="B148" s="89" t="s">
        <v>6</v>
      </c>
      <c r="C148" s="294" t="s">
        <v>114</v>
      </c>
      <c r="D148" s="91" t="s">
        <v>137</v>
      </c>
      <c r="E148" s="312">
        <v>6813045</v>
      </c>
      <c r="F148" s="313"/>
      <c r="G148" s="312">
        <v>1131332</v>
      </c>
      <c r="H148" s="312">
        <v>0</v>
      </c>
      <c r="I148" s="314">
        <v>0.75</v>
      </c>
      <c r="J148" s="312">
        <v>940376.31000000017</v>
      </c>
      <c r="K148" s="311">
        <f t="shared" si="55"/>
        <v>0.83121162488111378</v>
      </c>
      <c r="L148" s="312">
        <f t="shared" si="44"/>
        <v>203281.10176470585</v>
      </c>
      <c r="M148" s="312">
        <v>1143657.411764706</v>
      </c>
      <c r="N148" s="311">
        <f t="shared" si="56"/>
        <v>1.0108946019070495</v>
      </c>
      <c r="O148" s="312">
        <f t="shared" si="57"/>
        <v>295158.41176470602</v>
      </c>
      <c r="P148" s="312">
        <f t="shared" si="58"/>
        <v>408291.61176470597</v>
      </c>
      <c r="S148" s="288">
        <f t="shared" si="45"/>
        <v>203281.10176470585</v>
      </c>
      <c r="U148" s="295" t="str">
        <f t="shared" si="46"/>
        <v>OK</v>
      </c>
    </row>
    <row r="149" spans="1:21" s="8" customFormat="1" ht="93" x14ac:dyDescent="0.2">
      <c r="A149" s="89">
        <v>104</v>
      </c>
      <c r="B149" s="89" t="s">
        <v>6</v>
      </c>
      <c r="C149" s="71" t="s">
        <v>115</v>
      </c>
      <c r="D149" s="91" t="s">
        <v>137</v>
      </c>
      <c r="E149" s="312">
        <v>8526615</v>
      </c>
      <c r="F149" s="313"/>
      <c r="G149" s="312">
        <v>1181353</v>
      </c>
      <c r="H149" s="312">
        <v>0</v>
      </c>
      <c r="I149" s="314">
        <v>0.75</v>
      </c>
      <c r="J149" s="312">
        <v>1088778.6399999999</v>
      </c>
      <c r="K149" s="311">
        <f t="shared" si="55"/>
        <v>0.92163700435009677</v>
      </c>
      <c r="L149" s="312">
        <f t="shared" si="44"/>
        <v>-4.7058821655809879E-3</v>
      </c>
      <c r="M149" s="312">
        <v>1088778.6352941177</v>
      </c>
      <c r="N149" s="311">
        <f t="shared" si="56"/>
        <v>0.92163700036662854</v>
      </c>
      <c r="O149" s="312">
        <f t="shared" si="57"/>
        <v>202763.88529411773</v>
      </c>
      <c r="P149" s="312">
        <f t="shared" si="58"/>
        <v>320899.18529411766</v>
      </c>
      <c r="S149" s="288">
        <f t="shared" si="45"/>
        <v>-4.7058821655809879E-3</v>
      </c>
      <c r="U149" s="295" t="str">
        <f t="shared" si="46"/>
        <v>Nav labi</v>
      </c>
    </row>
    <row r="150" spans="1:21" s="8" customFormat="1" ht="93" x14ac:dyDescent="0.2">
      <c r="A150" s="89">
        <v>111</v>
      </c>
      <c r="B150" s="89" t="s">
        <v>6</v>
      </c>
      <c r="C150" s="71" t="s">
        <v>116</v>
      </c>
      <c r="D150" s="91" t="s">
        <v>137</v>
      </c>
      <c r="E150" s="312">
        <v>1079960</v>
      </c>
      <c r="F150" s="313"/>
      <c r="G150" s="312">
        <v>269990</v>
      </c>
      <c r="H150" s="312">
        <v>0</v>
      </c>
      <c r="I150" s="314">
        <v>0.75</v>
      </c>
      <c r="J150" s="312">
        <v>431543.79000000004</v>
      </c>
      <c r="K150" s="311">
        <f t="shared" si="55"/>
        <v>1.5983695322048965</v>
      </c>
      <c r="L150" s="312">
        <f t="shared" si="44"/>
        <v>-1.7647059285081923E-3</v>
      </c>
      <c r="M150" s="312">
        <v>431543.78823529411</v>
      </c>
      <c r="N150" s="311">
        <f t="shared" si="56"/>
        <v>1.5983695256687067</v>
      </c>
      <c r="O150" s="312">
        <f t="shared" si="57"/>
        <v>229051.28823529411</v>
      </c>
      <c r="P150" s="312">
        <f t="shared" si="58"/>
        <v>256050.28823529411</v>
      </c>
      <c r="S150" s="288">
        <f t="shared" si="45"/>
        <v>-1.7647059285081923E-3</v>
      </c>
      <c r="U150" s="295" t="str">
        <f t="shared" si="46"/>
        <v>Nav labi</v>
      </c>
    </row>
    <row r="151" spans="1:21" s="8" customFormat="1" ht="116.25" x14ac:dyDescent="0.2">
      <c r="A151" s="89">
        <v>113</v>
      </c>
      <c r="B151" s="89" t="s">
        <v>6</v>
      </c>
      <c r="C151" s="71" t="s">
        <v>117</v>
      </c>
      <c r="D151" s="91" t="s">
        <v>137</v>
      </c>
      <c r="E151" s="312">
        <v>2347738</v>
      </c>
      <c r="F151" s="313"/>
      <c r="G151" s="312">
        <v>586934</v>
      </c>
      <c r="H151" s="312">
        <v>0</v>
      </c>
      <c r="I151" s="314">
        <v>0.75</v>
      </c>
      <c r="J151" s="312">
        <v>985346.58999999985</v>
      </c>
      <c r="K151" s="311">
        <f t="shared" si="55"/>
        <v>1.6788030511096645</v>
      </c>
      <c r="L151" s="312">
        <f t="shared" si="44"/>
        <v>120517.51588235307</v>
      </c>
      <c r="M151" s="312">
        <v>1105864.1058823529</v>
      </c>
      <c r="N151" s="311">
        <f t="shared" si="56"/>
        <v>1.8841370680218779</v>
      </c>
      <c r="O151" s="312">
        <f t="shared" si="57"/>
        <v>665663.60588235292</v>
      </c>
      <c r="P151" s="312">
        <f t="shared" si="58"/>
        <v>724357.00588235282</v>
      </c>
      <c r="S151" s="288">
        <f t="shared" si="45"/>
        <v>120517.51588235307</v>
      </c>
      <c r="U151" s="295" t="str">
        <f t="shared" si="46"/>
        <v>OK</v>
      </c>
    </row>
    <row r="152" spans="1:21" s="11" customFormat="1" ht="69.75" x14ac:dyDescent="0.2">
      <c r="A152" s="89">
        <v>96</v>
      </c>
      <c r="B152" s="89" t="s">
        <v>6</v>
      </c>
      <c r="C152" s="71" t="s">
        <v>197</v>
      </c>
      <c r="D152" s="91" t="s">
        <v>137</v>
      </c>
      <c r="E152" s="312">
        <v>47209260</v>
      </c>
      <c r="F152" s="313"/>
      <c r="G152" s="312">
        <v>4031880</v>
      </c>
      <c r="H152" s="312">
        <v>3167386.9999999981</v>
      </c>
      <c r="I152" s="314">
        <v>0.75</v>
      </c>
      <c r="J152" s="312">
        <v>3523318.1500000008</v>
      </c>
      <c r="K152" s="311">
        <f t="shared" si="55"/>
        <v>0.87386483476690791</v>
      </c>
      <c r="L152" s="312">
        <f t="shared" si="44"/>
        <v>270705.94411764666</v>
      </c>
      <c r="M152" s="312">
        <v>3794024.0941176475</v>
      </c>
      <c r="N152" s="311">
        <f t="shared" si="56"/>
        <v>0.94100620408287139</v>
      </c>
      <c r="O152" s="312">
        <f t="shared" si="57"/>
        <v>770114.0941176475</v>
      </c>
      <c r="P152" s="312">
        <f t="shared" si="58"/>
        <v>1173302.0941176475</v>
      </c>
      <c r="S152" s="288">
        <f t="shared" si="45"/>
        <v>270705.94411764666</v>
      </c>
      <c r="U152" s="295" t="str">
        <f t="shared" si="46"/>
        <v>OK</v>
      </c>
    </row>
    <row r="153" spans="1:21" s="11" customFormat="1" ht="69.75" x14ac:dyDescent="0.2">
      <c r="A153" s="89">
        <v>108</v>
      </c>
      <c r="B153" s="89" t="s">
        <v>6</v>
      </c>
      <c r="C153" s="71" t="s">
        <v>118</v>
      </c>
      <c r="D153" s="91" t="s">
        <v>137</v>
      </c>
      <c r="E153" s="312">
        <v>4727073</v>
      </c>
      <c r="F153" s="313"/>
      <c r="G153" s="312">
        <v>350658</v>
      </c>
      <c r="H153" s="312">
        <v>0</v>
      </c>
      <c r="I153" s="314">
        <v>0.75</v>
      </c>
      <c r="J153" s="312">
        <v>645813.26</v>
      </c>
      <c r="K153" s="311">
        <f t="shared" si="55"/>
        <v>1.8417183124297749</v>
      </c>
      <c r="L153" s="312">
        <f t="shared" si="44"/>
        <v>224737.56352941168</v>
      </c>
      <c r="M153" s="312">
        <v>870550.82352941169</v>
      </c>
      <c r="N153" s="311">
        <f t="shared" si="56"/>
        <v>2.4826207402352485</v>
      </c>
      <c r="O153" s="312">
        <f t="shared" si="57"/>
        <v>607557.32352941169</v>
      </c>
      <c r="P153" s="312">
        <f t="shared" si="58"/>
        <v>642623.12352941162</v>
      </c>
      <c r="S153" s="288">
        <f t="shared" si="45"/>
        <v>224737.56352941168</v>
      </c>
      <c r="U153" s="295" t="str">
        <f t="shared" si="46"/>
        <v>OK</v>
      </c>
    </row>
    <row r="154" spans="1:21" s="8" customFormat="1" ht="93" x14ac:dyDescent="0.2">
      <c r="A154" s="89">
        <v>102</v>
      </c>
      <c r="B154" s="89" t="s">
        <v>6</v>
      </c>
      <c r="C154" s="71" t="s">
        <v>119</v>
      </c>
      <c r="D154" s="91" t="s">
        <v>140</v>
      </c>
      <c r="E154" s="312">
        <v>4609777</v>
      </c>
      <c r="F154" s="313"/>
      <c r="G154" s="312">
        <v>1324950</v>
      </c>
      <c r="H154" s="312">
        <v>0</v>
      </c>
      <c r="I154" s="314">
        <v>0.75</v>
      </c>
      <c r="J154" s="312">
        <v>1769262</v>
      </c>
      <c r="K154" s="311">
        <f t="shared" si="55"/>
        <v>1.3353424657534247</v>
      </c>
      <c r="L154" s="312">
        <f t="shared" si="44"/>
        <v>33206.77647058852</v>
      </c>
      <c r="M154" s="312">
        <v>1802468.7764705885</v>
      </c>
      <c r="N154" s="311">
        <f t="shared" si="56"/>
        <v>1.360405129605335</v>
      </c>
      <c r="O154" s="312">
        <f t="shared" si="57"/>
        <v>808756.27647058852</v>
      </c>
      <c r="P154" s="312">
        <f t="shared" si="58"/>
        <v>941251.27647058852</v>
      </c>
      <c r="S154" s="288">
        <f t="shared" si="45"/>
        <v>33206.77647058852</v>
      </c>
      <c r="U154" s="295" t="str">
        <f t="shared" si="46"/>
        <v>OK</v>
      </c>
    </row>
    <row r="155" spans="1:21" s="8" customFormat="1" ht="93" x14ac:dyDescent="0.2">
      <c r="A155" s="89">
        <v>101</v>
      </c>
      <c r="B155" s="89" t="s">
        <v>6</v>
      </c>
      <c r="C155" s="71" t="s">
        <v>120</v>
      </c>
      <c r="D155" s="91" t="s">
        <v>140</v>
      </c>
      <c r="E155" s="312">
        <v>16692798</v>
      </c>
      <c r="F155" s="313"/>
      <c r="G155" s="312">
        <v>2851654</v>
      </c>
      <c r="H155" s="312">
        <v>0</v>
      </c>
      <c r="I155" s="314">
        <v>0.75</v>
      </c>
      <c r="J155" s="312">
        <v>539779.45000000007</v>
      </c>
      <c r="K155" s="311">
        <f t="shared" si="55"/>
        <v>0.18928644569081665</v>
      </c>
      <c r="L155" s="312">
        <f t="shared" si="44"/>
        <v>238438.05588235287</v>
      </c>
      <c r="M155" s="312">
        <v>778217.50588235294</v>
      </c>
      <c r="N155" s="311">
        <f t="shared" si="56"/>
        <v>0.27290039600959759</v>
      </c>
      <c r="O155" s="312">
        <f t="shared" si="57"/>
        <v>-1360522.9941176469</v>
      </c>
      <c r="P155" s="312">
        <f t="shared" si="58"/>
        <v>-1075357.594117647</v>
      </c>
      <c r="S155" s="288">
        <f t="shared" si="45"/>
        <v>238438.05588235287</v>
      </c>
      <c r="U155" s="295" t="str">
        <f t="shared" si="46"/>
        <v>OK</v>
      </c>
    </row>
    <row r="156" spans="1:21" s="8" customFormat="1" ht="93" x14ac:dyDescent="0.2">
      <c r="A156" s="89">
        <v>99</v>
      </c>
      <c r="B156" s="89" t="s">
        <v>6</v>
      </c>
      <c r="C156" s="71" t="s">
        <v>121</v>
      </c>
      <c r="D156" s="91" t="s">
        <v>140</v>
      </c>
      <c r="E156" s="312">
        <v>38692398</v>
      </c>
      <c r="F156" s="313"/>
      <c r="G156" s="312">
        <v>3882114</v>
      </c>
      <c r="H156" s="312">
        <v>4900999</v>
      </c>
      <c r="I156" s="314">
        <v>0.75</v>
      </c>
      <c r="J156" s="312">
        <v>5339990.1400000043</v>
      </c>
      <c r="K156" s="311">
        <f t="shared" si="55"/>
        <v>1.3755366637867936</v>
      </c>
      <c r="L156" s="312">
        <f t="shared" si="44"/>
        <v>1528829.8247058783</v>
      </c>
      <c r="M156" s="312">
        <v>6868819.9647058826</v>
      </c>
      <c r="N156" s="311">
        <f t="shared" si="56"/>
        <v>1.7693504015353188</v>
      </c>
      <c r="O156" s="312">
        <f t="shared" si="57"/>
        <v>3957234.4647058826</v>
      </c>
      <c r="P156" s="312">
        <f t="shared" si="58"/>
        <v>4345445.864705883</v>
      </c>
      <c r="S156" s="288">
        <f t="shared" si="45"/>
        <v>1528829.8247058783</v>
      </c>
      <c r="U156" s="295" t="str">
        <f t="shared" si="46"/>
        <v>OK</v>
      </c>
    </row>
    <row r="157" spans="1:21" s="8" customFormat="1" ht="69.75" x14ac:dyDescent="0.2">
      <c r="A157" s="89">
        <v>105</v>
      </c>
      <c r="B157" s="89" t="s">
        <v>6</v>
      </c>
      <c r="C157" s="71" t="s">
        <v>122</v>
      </c>
      <c r="D157" s="91" t="s">
        <v>140</v>
      </c>
      <c r="E157" s="312">
        <v>9960103</v>
      </c>
      <c r="F157" s="313"/>
      <c r="G157" s="312">
        <v>1124950</v>
      </c>
      <c r="H157" s="312">
        <v>0</v>
      </c>
      <c r="I157" s="314">
        <v>0.75</v>
      </c>
      <c r="J157" s="312">
        <v>56915.08</v>
      </c>
      <c r="K157" s="311">
        <f t="shared" si="55"/>
        <v>5.0593430819147522E-2</v>
      </c>
      <c r="L157" s="312">
        <f t="shared" si="44"/>
        <v>491290.27294117649</v>
      </c>
      <c r="M157" s="312">
        <v>548205.3529411765</v>
      </c>
      <c r="N157" s="311">
        <f t="shared" si="56"/>
        <v>0.48731530551684654</v>
      </c>
      <c r="O157" s="312">
        <f t="shared" si="57"/>
        <v>-295507.1470588235</v>
      </c>
      <c r="P157" s="312">
        <f t="shared" si="58"/>
        <v>-183012.1470588235</v>
      </c>
      <c r="S157" s="288">
        <f t="shared" si="45"/>
        <v>491290.27294117649</v>
      </c>
      <c r="U157" s="295" t="str">
        <f t="shared" si="46"/>
        <v>OK</v>
      </c>
    </row>
    <row r="158" spans="1:21" s="8" customFormat="1" ht="69.75" collapsed="1" x14ac:dyDescent="0.2">
      <c r="A158" s="89">
        <v>98</v>
      </c>
      <c r="B158" s="89" t="s">
        <v>6</v>
      </c>
      <c r="C158" s="71" t="s">
        <v>123</v>
      </c>
      <c r="D158" s="91" t="s">
        <v>140</v>
      </c>
      <c r="E158" s="312">
        <v>22765950</v>
      </c>
      <c r="F158" s="313"/>
      <c r="G158" s="312">
        <v>2124950</v>
      </c>
      <c r="H158" s="312">
        <v>0</v>
      </c>
      <c r="I158" s="314">
        <v>0.75</v>
      </c>
      <c r="J158" s="312">
        <v>144676.38</v>
      </c>
      <c r="K158" s="311">
        <f t="shared" si="55"/>
        <v>6.8084604343631616E-2</v>
      </c>
      <c r="L158" s="312">
        <f t="shared" si="44"/>
        <v>247458.98470588244</v>
      </c>
      <c r="M158" s="312">
        <v>392135.36470588244</v>
      </c>
      <c r="N158" s="311">
        <f t="shared" si="56"/>
        <v>0.18453863135880019</v>
      </c>
      <c r="O158" s="312">
        <f t="shared" si="57"/>
        <v>-1201577.1352941175</v>
      </c>
      <c r="P158" s="312">
        <f t="shared" si="58"/>
        <v>-989082.1352941175</v>
      </c>
      <c r="S158" s="288">
        <f t="shared" si="45"/>
        <v>247458.98470588244</v>
      </c>
      <c r="U158" s="295" t="str">
        <f t="shared" si="46"/>
        <v>OK</v>
      </c>
    </row>
    <row r="159" spans="1:21" s="8" customFormat="1" ht="28.5" hidden="1" outlineLevel="1" x14ac:dyDescent="0.2">
      <c r="A159" s="425" t="s">
        <v>19</v>
      </c>
      <c r="B159" s="426"/>
      <c r="C159" s="426"/>
      <c r="D159" s="426"/>
      <c r="E159" s="426"/>
      <c r="F159" s="426"/>
      <c r="G159" s="426"/>
      <c r="H159" s="426"/>
      <c r="I159" s="426"/>
      <c r="J159" s="426"/>
      <c r="K159" s="426"/>
      <c r="L159" s="426"/>
      <c r="M159" s="426"/>
      <c r="N159" s="426"/>
      <c r="O159" s="426"/>
      <c r="P159" s="427"/>
    </row>
    <row r="160" spans="1:21" s="8" customFormat="1" ht="39" hidden="1" outlineLevel="1" x14ac:dyDescent="0.2">
      <c r="A160" s="61">
        <v>115</v>
      </c>
      <c r="B160" s="61" t="s">
        <v>160</v>
      </c>
      <c r="C160" s="62" t="s">
        <v>19</v>
      </c>
      <c r="D160" s="63" t="s">
        <v>159</v>
      </c>
      <c r="E160" s="300">
        <v>119195650.58823529</v>
      </c>
      <c r="F160" s="38"/>
      <c r="G160" s="56"/>
      <c r="H160" s="56"/>
      <c r="I160" s="64"/>
      <c r="J160" s="64"/>
      <c r="K160" s="64"/>
      <c r="L160" s="64"/>
      <c r="M160" s="56"/>
      <c r="N160" s="56"/>
      <c r="O160" s="58"/>
      <c r="P160" s="56"/>
    </row>
    <row r="161" spans="1:16" s="8" customFormat="1" ht="24.75" customHeight="1" x14ac:dyDescent="0.2">
      <c r="A161" s="21"/>
      <c r="B161" s="21"/>
      <c r="C161" s="22"/>
      <c r="D161" s="23"/>
      <c r="E161" s="19"/>
      <c r="F161" s="19"/>
      <c r="G161" s="19"/>
      <c r="H161" s="19"/>
      <c r="I161" s="19"/>
      <c r="J161" s="19"/>
      <c r="K161" s="19"/>
      <c r="L161" s="19"/>
      <c r="M161" s="24"/>
      <c r="N161" s="24"/>
      <c r="O161" s="24"/>
      <c r="P161" s="24"/>
    </row>
    <row r="162" spans="1:16" s="8" customFormat="1" ht="44.25" customHeight="1" x14ac:dyDescent="0.2">
      <c r="A162" s="374" t="s">
        <v>15</v>
      </c>
      <c r="B162" s="374"/>
      <c r="C162" s="374"/>
      <c r="D162" s="374"/>
      <c r="E162" s="374"/>
      <c r="F162" s="374"/>
      <c r="G162" s="374"/>
      <c r="H162" s="374"/>
      <c r="I162" s="374"/>
      <c r="J162" s="374"/>
      <c r="K162" s="374"/>
      <c r="L162" s="374"/>
      <c r="M162" s="374"/>
      <c r="N162" s="374"/>
      <c r="O162" s="374"/>
      <c r="P162" s="374"/>
    </row>
    <row r="163" spans="1:16" s="8" customFormat="1" ht="17.25" customHeight="1" x14ac:dyDescent="0.2">
      <c r="A163" s="16" t="s">
        <v>16</v>
      </c>
      <c r="D163" s="11"/>
    </row>
    <row r="164" spans="1:16" s="8" customFormat="1" ht="32.25" customHeight="1" x14ac:dyDescent="0.2">
      <c r="A164" s="16"/>
      <c r="D164" s="11"/>
    </row>
    <row r="165" spans="1:16" s="8" customFormat="1" ht="15.75" x14ac:dyDescent="0.2">
      <c r="A165" s="16"/>
      <c r="B165" s="16"/>
      <c r="D165" s="11"/>
    </row>
    <row r="166" spans="1:16" s="8" customFormat="1" ht="10.5" customHeight="1" x14ac:dyDescent="0.2">
      <c r="D166" s="11"/>
    </row>
    <row r="167" spans="1:16" s="8" customFormat="1" x14ac:dyDescent="0.2">
      <c r="D167" s="11"/>
    </row>
    <row r="168" spans="1:16" s="8" customFormat="1" x14ac:dyDescent="0.2">
      <c r="D168" s="11"/>
    </row>
    <row r="169" spans="1:16" s="8" customFormat="1" ht="16.5" x14ac:dyDescent="0.25">
      <c r="B169" s="37"/>
      <c r="D169" s="11"/>
    </row>
    <row r="170" spans="1:16" s="8" customFormat="1" ht="16.5" x14ac:dyDescent="0.25">
      <c r="A170" s="17"/>
      <c r="B170" s="17"/>
      <c r="D170" s="11"/>
    </row>
    <row r="171" spans="1:16" s="8" customFormat="1" ht="16.5" x14ac:dyDescent="0.25">
      <c r="A171" s="18"/>
      <c r="B171" s="18"/>
      <c r="C171" s="37"/>
      <c r="D171" s="11"/>
    </row>
    <row r="172" spans="1:16" s="8" customFormat="1" x14ac:dyDescent="0.2">
      <c r="D172" s="11"/>
    </row>
    <row r="173" spans="1:16" s="8" customFormat="1" x14ac:dyDescent="0.2">
      <c r="D173" s="11"/>
    </row>
    <row r="174" spans="1:16" s="8" customFormat="1" x14ac:dyDescent="0.2">
      <c r="D174" s="11"/>
    </row>
    <row r="175" spans="1:16" s="8" customFormat="1" x14ac:dyDescent="0.2">
      <c r="D175" s="11"/>
    </row>
    <row r="176" spans="1:16" s="8" customFormat="1" x14ac:dyDescent="0.2"/>
    <row r="177" spans="4:16" s="8" customFormat="1" x14ac:dyDescent="0.2"/>
    <row r="178" spans="4:16" s="8" customFormat="1" x14ac:dyDescent="0.2"/>
    <row r="179" spans="4:16" s="8" customFormat="1" x14ac:dyDescent="0.2"/>
    <row r="180" spans="4:16" s="12" customFormat="1" ht="18.75" x14ac:dyDescent="0.3">
      <c r="D180" s="8"/>
    </row>
    <row r="181" spans="4:16" s="12" customFormat="1" ht="18.75" x14ac:dyDescent="0.3">
      <c r="D181" s="8"/>
      <c r="F181" s="14"/>
      <c r="G181" s="14"/>
      <c r="H181" s="14"/>
      <c r="I181" s="14"/>
      <c r="J181" s="14"/>
      <c r="K181" s="14"/>
      <c r="L181" s="14"/>
      <c r="M181" s="14"/>
      <c r="N181" s="14"/>
      <c r="O181" s="14"/>
      <c r="P181" s="14"/>
    </row>
    <row r="182" spans="4:16" s="12" customFormat="1" ht="18.75" x14ac:dyDescent="0.3">
      <c r="D182" s="8"/>
      <c r="F182" s="13"/>
      <c r="G182" s="13"/>
      <c r="H182" s="13"/>
      <c r="I182" s="13"/>
      <c r="J182" s="13"/>
      <c r="K182" s="13"/>
      <c r="L182" s="13"/>
      <c r="M182" s="13"/>
      <c r="N182" s="13"/>
      <c r="O182" s="13"/>
      <c r="P182" s="13"/>
    </row>
    <row r="183" spans="4:16" s="12" customFormat="1" ht="18.75" x14ac:dyDescent="0.3">
      <c r="D183" s="8"/>
      <c r="F183" s="15"/>
      <c r="G183" s="15"/>
      <c r="H183" s="15"/>
      <c r="I183" s="15"/>
      <c r="J183" s="15"/>
      <c r="K183" s="15"/>
      <c r="L183" s="15"/>
      <c r="M183" s="15"/>
      <c r="N183" s="15"/>
      <c r="O183" s="15"/>
      <c r="P183" s="15"/>
    </row>
    <row r="184" spans="4:16" s="12" customFormat="1" ht="18.75" x14ac:dyDescent="0.3">
      <c r="D184" s="8"/>
    </row>
    <row r="185" spans="4:16" s="12" customFormat="1" ht="18.75" x14ac:dyDescent="0.3">
      <c r="D185" s="8"/>
    </row>
    <row r="186" spans="4:16" s="12" customFormat="1" ht="18.75" x14ac:dyDescent="0.3">
      <c r="D186" s="8"/>
    </row>
    <row r="187" spans="4:16" s="12" customFormat="1" ht="18.75" x14ac:dyDescent="0.3">
      <c r="D187" s="8"/>
    </row>
    <row r="188" spans="4:16" s="8" customFormat="1" x14ac:dyDescent="0.2"/>
    <row r="189" spans="4:16" s="8" customFormat="1" x14ac:dyDescent="0.2"/>
    <row r="190" spans="4:16" s="8" customFormat="1" x14ac:dyDescent="0.2"/>
    <row r="191" spans="4:16" s="8" customFormat="1" x14ac:dyDescent="0.2"/>
    <row r="192" spans="4:16"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sheetData>
  <sheetProtection formatCells="0" formatColumns="0" formatRows="0" autoFilter="0"/>
  <autoFilter ref="A28:AA160"/>
  <dataConsolidate/>
  <mergeCells count="54">
    <mergeCell ref="A135:P135"/>
    <mergeCell ref="A139:P139"/>
    <mergeCell ref="A159:P159"/>
    <mergeCell ref="A162:P162"/>
    <mergeCell ref="A4:P4"/>
    <mergeCell ref="A88:P88"/>
    <mergeCell ref="A90:P90"/>
    <mergeCell ref="A100:P100"/>
    <mergeCell ref="A109:P109"/>
    <mergeCell ref="A112:P112"/>
    <mergeCell ref="A117:P117"/>
    <mergeCell ref="P52:P53"/>
    <mergeCell ref="A57:P57"/>
    <mergeCell ref="A62:P62"/>
    <mergeCell ref="A67:P67"/>
    <mergeCell ref="A72:P72"/>
    <mergeCell ref="A80:P80"/>
    <mergeCell ref="O46:O49"/>
    <mergeCell ref="P46:P49"/>
    <mergeCell ref="F52:F53"/>
    <mergeCell ref="G52:G53"/>
    <mergeCell ref="H52:H53"/>
    <mergeCell ref="I52:I53"/>
    <mergeCell ref="J52:J53"/>
    <mergeCell ref="M52:M53"/>
    <mergeCell ref="N52:N53"/>
    <mergeCell ref="O52:O53"/>
    <mergeCell ref="A29:P29"/>
    <mergeCell ref="A41:P41"/>
    <mergeCell ref="A45:P45"/>
    <mergeCell ref="F46:F49"/>
    <mergeCell ref="G46:G49"/>
    <mergeCell ref="H46:H49"/>
    <mergeCell ref="I46:I49"/>
    <mergeCell ref="J46:J49"/>
    <mergeCell ref="M46:M49"/>
    <mergeCell ref="N46:N49"/>
    <mergeCell ref="A8:A27"/>
    <mergeCell ref="B8:B27"/>
    <mergeCell ref="C8:C27"/>
    <mergeCell ref="D8:D27"/>
    <mergeCell ref="E8:E10"/>
    <mergeCell ref="C5:P5"/>
    <mergeCell ref="E6:K6"/>
    <mergeCell ref="F8:F10"/>
    <mergeCell ref="G8:G10"/>
    <mergeCell ref="H8:H10"/>
    <mergeCell ref="I8:I10"/>
    <mergeCell ref="J8:J10"/>
    <mergeCell ref="K8:K10"/>
    <mergeCell ref="L8:L10"/>
    <mergeCell ref="M8:P8"/>
    <mergeCell ref="M9:P9"/>
    <mergeCell ref="M6:P6"/>
  </mergeCells>
  <dataValidations count="1">
    <dataValidation type="list" errorStyle="warning" allowBlank="1" showInputMessage="1" showErrorMessage="1" errorTitle="Izvēle tikai no saraksta!" error="Lūdzu izvēlēties vienu no vērtībām sarakstā." sqref="M163:P1048576 F170:L1048576">
      <formula1>#REF!</formula1>
    </dataValidation>
  </dataValidations>
  <pageMargins left="0.23622047244094491" right="3.937007874015748E-2" top="0.74803149606299213" bottom="0.74803149606299213" header="0.31496062992125984" footer="0.31496062992125984"/>
  <pageSetup paperSize="9" scale="38" fitToHeight="0" orientation="portrait" r:id="rId1"/>
  <headerFooter>
    <oddFooter>&amp;L&amp;16&amp;F&amp;C&amp;16&amp;P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5"/>
  <sheetViews>
    <sheetView view="pageBreakPreview" zoomScale="75" zoomScaleNormal="100" zoomScaleSheetLayoutView="75" workbookViewId="0">
      <selection activeCell="A3" sqref="A3"/>
    </sheetView>
  </sheetViews>
  <sheetFormatPr defaultRowHeight="12.75" outlineLevelCol="1" x14ac:dyDescent="0.2"/>
  <cols>
    <col min="1" max="1" width="19.125" style="169" customWidth="1"/>
    <col min="2" max="2" width="9.375" style="169" hidden="1" customWidth="1" outlineLevel="1"/>
    <col min="3" max="3" width="10.375" style="169" customWidth="1" collapsed="1"/>
    <col min="4" max="4" width="8" style="169" hidden="1" customWidth="1" outlineLevel="1"/>
    <col min="5" max="5" width="13.5" style="169" customWidth="1" collapsed="1"/>
    <col min="6" max="6" width="11" style="169" customWidth="1"/>
    <col min="7" max="7" width="7.625" style="169" customWidth="1"/>
    <col min="8" max="8" width="9.125" style="169" customWidth="1"/>
    <col min="9" max="9" width="8.875" style="169" customWidth="1"/>
    <col min="10" max="10" width="10.375" style="169" customWidth="1"/>
    <col min="11" max="11" width="12.25" style="169" customWidth="1"/>
    <col min="12" max="12" width="12" style="169" customWidth="1"/>
    <col min="13" max="13" width="8.625" style="169" customWidth="1"/>
    <col min="14" max="14" width="11.875" style="169" customWidth="1"/>
    <col min="15" max="15" width="13.75" style="169" customWidth="1"/>
    <col min="16" max="16" width="9" style="169" customWidth="1"/>
    <col min="17" max="17" width="8.625" style="171" customWidth="1"/>
    <col min="18" max="19" width="9" style="171"/>
    <col min="20" max="16384" width="9" style="169"/>
  </cols>
  <sheetData>
    <row r="1" spans="1:18" x14ac:dyDescent="0.2">
      <c r="E1" s="170" t="s">
        <v>257</v>
      </c>
    </row>
    <row r="2" spans="1:18" ht="97.5" customHeight="1" x14ac:dyDescent="0.2">
      <c r="A2" s="448" t="s">
        <v>324</v>
      </c>
      <c r="B2" s="448"/>
      <c r="C2" s="448"/>
      <c r="D2" s="448"/>
      <c r="E2" s="448"/>
      <c r="F2" s="448"/>
      <c r="G2" s="448"/>
      <c r="H2" s="448"/>
      <c r="I2" s="448"/>
      <c r="J2" s="448"/>
      <c r="K2" s="448"/>
      <c r="L2" s="448"/>
      <c r="M2" s="448"/>
      <c r="N2" s="448"/>
      <c r="O2" s="448"/>
      <c r="P2" s="448"/>
      <c r="Q2" s="448"/>
      <c r="R2" s="172"/>
    </row>
    <row r="3" spans="1:18" ht="27" customHeight="1" thickBot="1" x14ac:dyDescent="0.25">
      <c r="A3" s="173" t="s">
        <v>320</v>
      </c>
      <c r="B3" s="172"/>
      <c r="C3" s="172"/>
      <c r="D3" s="172"/>
      <c r="E3" s="172"/>
      <c r="F3" s="172"/>
      <c r="G3" s="172"/>
      <c r="H3" s="172"/>
      <c r="I3" s="172"/>
      <c r="J3" s="172"/>
      <c r="K3" s="172"/>
      <c r="L3" s="172"/>
      <c r="M3" s="172"/>
      <c r="N3" s="172"/>
      <c r="O3" s="172"/>
      <c r="P3" s="172"/>
      <c r="Q3" s="172"/>
      <c r="R3" s="172"/>
    </row>
    <row r="4" spans="1:18" ht="69" customHeight="1" x14ac:dyDescent="0.2">
      <c r="A4" s="449" t="s">
        <v>258</v>
      </c>
      <c r="B4" s="451" t="s">
        <v>259</v>
      </c>
      <c r="C4" s="453" t="s">
        <v>260</v>
      </c>
      <c r="D4" s="451" t="s">
        <v>261</v>
      </c>
      <c r="E4" s="453" t="s">
        <v>262</v>
      </c>
      <c r="F4" s="455" t="s">
        <v>263</v>
      </c>
      <c r="G4" s="457" t="s">
        <v>264</v>
      </c>
      <c r="H4" s="459" t="s">
        <v>314</v>
      </c>
      <c r="I4" s="460"/>
      <c r="J4" s="460"/>
      <c r="K4" s="461"/>
      <c r="L4" s="459" t="s">
        <v>323</v>
      </c>
      <c r="M4" s="460"/>
      <c r="N4" s="460"/>
      <c r="O4" s="461"/>
      <c r="P4" s="459" t="s">
        <v>265</v>
      </c>
      <c r="Q4" s="461"/>
      <c r="R4" s="172"/>
    </row>
    <row r="5" spans="1:18" s="180" customFormat="1" ht="137.25" customHeight="1" x14ac:dyDescent="0.2">
      <c r="A5" s="450"/>
      <c r="B5" s="452"/>
      <c r="C5" s="454"/>
      <c r="D5" s="452"/>
      <c r="E5" s="454"/>
      <c r="F5" s="456"/>
      <c r="G5" s="458"/>
      <c r="H5" s="174" t="s">
        <v>266</v>
      </c>
      <c r="I5" s="175" t="s">
        <v>267</v>
      </c>
      <c r="J5" s="176" t="s">
        <v>268</v>
      </c>
      <c r="K5" s="177" t="s">
        <v>269</v>
      </c>
      <c r="L5" s="178" t="s">
        <v>266</v>
      </c>
      <c r="M5" s="175" t="s">
        <v>267</v>
      </c>
      <c r="N5" s="176" t="s">
        <v>268</v>
      </c>
      <c r="O5" s="177" t="s">
        <v>269</v>
      </c>
      <c r="P5" s="178" t="s">
        <v>266</v>
      </c>
      <c r="Q5" s="179" t="s">
        <v>267</v>
      </c>
    </row>
    <row r="6" spans="1:18" s="171" customFormat="1" ht="17.25" customHeight="1" x14ac:dyDescent="0.2">
      <c r="A6" s="181">
        <v>1</v>
      </c>
      <c r="B6" s="182"/>
      <c r="C6" s="182">
        <v>2</v>
      </c>
      <c r="D6" s="182">
        <v>3</v>
      </c>
      <c r="E6" s="183">
        <v>3</v>
      </c>
      <c r="F6" s="184">
        <v>4</v>
      </c>
      <c r="G6" s="185">
        <v>5</v>
      </c>
      <c r="H6" s="186">
        <v>6</v>
      </c>
      <c r="I6" s="187" t="s">
        <v>270</v>
      </c>
      <c r="J6" s="187" t="s">
        <v>271</v>
      </c>
      <c r="K6" s="188" t="s">
        <v>272</v>
      </c>
      <c r="L6" s="186">
        <v>10</v>
      </c>
      <c r="M6" s="187" t="s">
        <v>273</v>
      </c>
      <c r="N6" s="187" t="s">
        <v>274</v>
      </c>
      <c r="O6" s="188" t="s">
        <v>275</v>
      </c>
      <c r="P6" s="186" t="s">
        <v>276</v>
      </c>
      <c r="Q6" s="188" t="s">
        <v>277</v>
      </c>
    </row>
    <row r="7" spans="1:18" s="171" customFormat="1" ht="18.75" x14ac:dyDescent="0.2">
      <c r="A7" s="444" t="s">
        <v>278</v>
      </c>
      <c r="B7" s="445"/>
      <c r="C7" s="446"/>
      <c r="D7" s="189"/>
      <c r="E7" s="190"/>
      <c r="F7" s="191">
        <v>261612718</v>
      </c>
      <c r="G7" s="192" t="s">
        <v>279</v>
      </c>
      <c r="H7" s="193">
        <v>1146407935.9830632</v>
      </c>
      <c r="I7" s="194"/>
      <c r="J7" s="195"/>
      <c r="K7" s="196"/>
      <c r="L7" s="193">
        <f>L8+L11+L14+L17+L20+L24+L27+L31+L33+L35+L37+L39+L41+L43+L45+L48</f>
        <v>1150931619.2603526</v>
      </c>
      <c r="M7" s="194"/>
      <c r="N7" s="194"/>
      <c r="O7" s="196"/>
      <c r="P7" s="193">
        <f>P8+P11+P14+P17+P20+P24+P27+P31+P33+P35+P37+P39+P41+P43+P45+P48</f>
        <v>4523683.277289493</v>
      </c>
      <c r="Q7" s="197"/>
    </row>
    <row r="8" spans="1:18" s="171" customFormat="1" ht="15.75" x14ac:dyDescent="0.25">
      <c r="A8" s="447" t="s">
        <v>280</v>
      </c>
      <c r="B8" s="198" t="s">
        <v>281</v>
      </c>
      <c r="C8" s="442" t="s">
        <v>282</v>
      </c>
      <c r="D8" s="442"/>
      <c r="E8" s="199">
        <v>83094259</v>
      </c>
      <c r="F8" s="200">
        <v>28516478</v>
      </c>
      <c r="G8" s="201">
        <v>0.75</v>
      </c>
      <c r="H8" s="202">
        <v>93753197.836180657</v>
      </c>
      <c r="I8" s="203">
        <v>1.1282752739413762</v>
      </c>
      <c r="J8" s="204">
        <v>31432503.586180657</v>
      </c>
      <c r="K8" s="205">
        <v>39741929.486180656</v>
      </c>
      <c r="L8" s="206">
        <v>97949403.162432209</v>
      </c>
      <c r="M8" s="203">
        <f>L8/E8</f>
        <v>1.1787746150119975</v>
      </c>
      <c r="N8" s="204">
        <f>L8-(E8*G8)</f>
        <v>35628708.912432209</v>
      </c>
      <c r="O8" s="205">
        <f>L8-(E8*0.65)</f>
        <v>43938134.812432207</v>
      </c>
      <c r="P8" s="202">
        <f>L8-H8</f>
        <v>4196205.3262515515</v>
      </c>
      <c r="Q8" s="207">
        <f>M8-I8</f>
        <v>5.0499341070621373E-2</v>
      </c>
    </row>
    <row r="9" spans="1:18" s="171" customFormat="1" ht="15.75" x14ac:dyDescent="0.25">
      <c r="A9" s="447"/>
      <c r="B9" s="198" t="s">
        <v>281</v>
      </c>
      <c r="C9" s="208" t="s">
        <v>283</v>
      </c>
      <c r="D9" s="208" t="s">
        <v>282</v>
      </c>
      <c r="E9" s="209">
        <v>49587031.451297626</v>
      </c>
      <c r="F9" s="210">
        <v>16712415</v>
      </c>
      <c r="G9" s="211"/>
      <c r="H9" s="212">
        <v>54744106.324292786</v>
      </c>
      <c r="I9" s="213">
        <v>1.1040004759724371</v>
      </c>
      <c r="J9" s="214"/>
      <c r="K9" s="215"/>
      <c r="L9" s="216">
        <v>58087106.038902327</v>
      </c>
      <c r="M9" s="213">
        <f t="shared" ref="M9:M51" si="0">L9/E9</f>
        <v>1.1714172907477458</v>
      </c>
      <c r="N9" s="214"/>
      <c r="O9" s="215"/>
      <c r="P9" s="212">
        <f t="shared" ref="P9:Q51" si="1">L9-H9</f>
        <v>3342999.714609541</v>
      </c>
      <c r="Q9" s="217">
        <f t="shared" si="1"/>
        <v>6.7416814775308698E-2</v>
      </c>
    </row>
    <row r="10" spans="1:18" s="171" customFormat="1" ht="15.75" x14ac:dyDescent="0.25">
      <c r="A10" s="447"/>
      <c r="B10" s="198" t="s">
        <v>281</v>
      </c>
      <c r="C10" s="208" t="s">
        <v>284</v>
      </c>
      <c r="D10" s="208" t="s">
        <v>282</v>
      </c>
      <c r="E10" s="209">
        <v>33507227.548702374</v>
      </c>
      <c r="F10" s="210">
        <v>17542851</v>
      </c>
      <c r="G10" s="211"/>
      <c r="H10" s="212">
        <v>39009091.511887863</v>
      </c>
      <c r="I10" s="213">
        <v>1.1641993195404958</v>
      </c>
      <c r="J10" s="214"/>
      <c r="K10" s="215"/>
      <c r="L10" s="216">
        <v>39862297.123529881</v>
      </c>
      <c r="M10" s="213">
        <f t="shared" si="0"/>
        <v>1.1896626501130385</v>
      </c>
      <c r="N10" s="214"/>
      <c r="O10" s="215"/>
      <c r="P10" s="212">
        <f t="shared" si="1"/>
        <v>853205.61164201796</v>
      </c>
      <c r="Q10" s="217">
        <f t="shared" si="1"/>
        <v>2.5463330572542686E-2</v>
      </c>
    </row>
    <row r="11" spans="1:18" s="171" customFormat="1" ht="15.75" x14ac:dyDescent="0.25">
      <c r="A11" s="437" t="s">
        <v>285</v>
      </c>
      <c r="B11" s="198" t="s">
        <v>286</v>
      </c>
      <c r="C11" s="442" t="s">
        <v>282</v>
      </c>
      <c r="D11" s="442"/>
      <c r="E11" s="199">
        <v>23975988</v>
      </c>
      <c r="F11" s="200">
        <v>10538992</v>
      </c>
      <c r="G11" s="201">
        <v>0.75</v>
      </c>
      <c r="H11" s="202">
        <v>24185311.906327732</v>
      </c>
      <c r="I11" s="203">
        <v>1.0087305643599642</v>
      </c>
      <c r="J11" s="204">
        <v>6203320.9063277319</v>
      </c>
      <c r="K11" s="205">
        <v>8600919.7063277308</v>
      </c>
      <c r="L11" s="206">
        <v>24495516.86221008</v>
      </c>
      <c r="M11" s="203">
        <f t="shared" si="0"/>
        <v>1.0216687154752531</v>
      </c>
      <c r="N11" s="204">
        <f t="shared" ref="N11:N48" si="2">L11-(E11*G11)</f>
        <v>6513525.86221008</v>
      </c>
      <c r="O11" s="205">
        <f t="shared" ref="O11:O48" si="3">L11-(E11*0.65)</f>
        <v>8911124.6622100789</v>
      </c>
      <c r="P11" s="202">
        <f t="shared" si="1"/>
        <v>310204.95588234812</v>
      </c>
      <c r="Q11" s="207">
        <f t="shared" si="1"/>
        <v>1.2938151115288843E-2</v>
      </c>
    </row>
    <row r="12" spans="1:18" s="171" customFormat="1" ht="15.75" x14ac:dyDescent="0.25">
      <c r="A12" s="437"/>
      <c r="B12" s="198" t="s">
        <v>286</v>
      </c>
      <c r="C12" s="208" t="s">
        <v>287</v>
      </c>
      <c r="D12" s="208" t="s">
        <v>282</v>
      </c>
      <c r="E12" s="209">
        <v>8821904</v>
      </c>
      <c r="F12" s="210">
        <v>2682212</v>
      </c>
      <c r="G12" s="211"/>
      <c r="H12" s="212">
        <v>5027268.7357394937</v>
      </c>
      <c r="I12" s="213">
        <v>0.56986209958071343</v>
      </c>
      <c r="J12" s="214"/>
      <c r="K12" s="215"/>
      <c r="L12" s="216">
        <v>5027268.7357394937</v>
      </c>
      <c r="M12" s="213">
        <f t="shared" si="0"/>
        <v>0.56986209958071343</v>
      </c>
      <c r="N12" s="214"/>
      <c r="O12" s="215"/>
      <c r="P12" s="212">
        <f t="shared" si="1"/>
        <v>0</v>
      </c>
      <c r="Q12" s="217">
        <f t="shared" si="1"/>
        <v>0</v>
      </c>
    </row>
    <row r="13" spans="1:18" s="171" customFormat="1" ht="15.75" x14ac:dyDescent="0.25">
      <c r="A13" s="437"/>
      <c r="B13" s="198" t="s">
        <v>286</v>
      </c>
      <c r="C13" s="208" t="s">
        <v>288</v>
      </c>
      <c r="D13" s="208" t="s">
        <v>282</v>
      </c>
      <c r="E13" s="209">
        <v>15154084</v>
      </c>
      <c r="F13" s="218">
        <v>7856789</v>
      </c>
      <c r="G13" s="211"/>
      <c r="H13" s="212">
        <v>19158043.17058824</v>
      </c>
      <c r="I13" s="213">
        <v>1.264216508935033</v>
      </c>
      <c r="J13" s="214"/>
      <c r="K13" s="215"/>
      <c r="L13" s="216">
        <v>19468248.126470588</v>
      </c>
      <c r="M13" s="213">
        <f t="shared" si="0"/>
        <v>1.2846865654480064</v>
      </c>
      <c r="N13" s="214"/>
      <c r="O13" s="215"/>
      <c r="P13" s="212">
        <f t="shared" si="1"/>
        <v>310204.95588234812</v>
      </c>
      <c r="Q13" s="217">
        <f t="shared" si="1"/>
        <v>2.04700565129734E-2</v>
      </c>
    </row>
    <row r="14" spans="1:18" s="171" customFormat="1" ht="15.75" x14ac:dyDescent="0.25">
      <c r="A14" s="441" t="s">
        <v>289</v>
      </c>
      <c r="B14" s="198" t="s">
        <v>290</v>
      </c>
      <c r="C14" s="442" t="s">
        <v>282</v>
      </c>
      <c r="D14" s="442"/>
      <c r="E14" s="199">
        <v>79669032</v>
      </c>
      <c r="F14" s="200">
        <v>18066260</v>
      </c>
      <c r="G14" s="201">
        <v>0.85</v>
      </c>
      <c r="H14" s="202">
        <v>117640456.7457357</v>
      </c>
      <c r="I14" s="203">
        <v>1.4766146116314769</v>
      </c>
      <c r="J14" s="204">
        <v>49921779.545735702</v>
      </c>
      <c r="K14" s="205">
        <v>65855585.9457357</v>
      </c>
      <c r="L14" s="206">
        <v>115826912.1307056</v>
      </c>
      <c r="M14" s="203">
        <f t="shared" si="0"/>
        <v>1.4538511291401859</v>
      </c>
      <c r="N14" s="204">
        <f t="shared" si="2"/>
        <v>48108234.930705592</v>
      </c>
      <c r="O14" s="205">
        <f t="shared" si="3"/>
        <v>64042041.330705591</v>
      </c>
      <c r="P14" s="202">
        <f t="shared" si="1"/>
        <v>-1813544.6150301099</v>
      </c>
      <c r="Q14" s="207">
        <f t="shared" si="1"/>
        <v>-2.2763482491291009E-2</v>
      </c>
    </row>
    <row r="15" spans="1:18" s="171" customFormat="1" ht="15.75" x14ac:dyDescent="0.25">
      <c r="A15" s="441"/>
      <c r="B15" s="198" t="s">
        <v>290</v>
      </c>
      <c r="C15" s="208" t="s">
        <v>284</v>
      </c>
      <c r="D15" s="208" t="s">
        <v>282</v>
      </c>
      <c r="E15" s="209">
        <v>65782739.799999997</v>
      </c>
      <c r="F15" s="210">
        <v>14466610</v>
      </c>
      <c r="G15" s="211"/>
      <c r="H15" s="212">
        <v>91681359.205007836</v>
      </c>
      <c r="I15" s="213">
        <v>1.3936993120649535</v>
      </c>
      <c r="J15" s="214"/>
      <c r="K15" s="215"/>
      <c r="L15" s="216">
        <v>89633767.614245862</v>
      </c>
      <c r="M15" s="213">
        <f t="shared" si="0"/>
        <v>1.3625727339232208</v>
      </c>
      <c r="N15" s="214"/>
      <c r="O15" s="215"/>
      <c r="P15" s="212">
        <f t="shared" si="1"/>
        <v>-2047591.5907619745</v>
      </c>
      <c r="Q15" s="217">
        <f t="shared" si="1"/>
        <v>-3.1126578141732697E-2</v>
      </c>
    </row>
    <row r="16" spans="1:18" s="171" customFormat="1" ht="15.75" x14ac:dyDescent="0.25">
      <c r="A16" s="441"/>
      <c r="B16" s="198" t="s">
        <v>290</v>
      </c>
      <c r="C16" s="208" t="s">
        <v>288</v>
      </c>
      <c r="D16" s="208" t="s">
        <v>282</v>
      </c>
      <c r="E16" s="209">
        <v>13886291.821868569</v>
      </c>
      <c r="F16" s="210">
        <v>3599739</v>
      </c>
      <c r="G16" s="211"/>
      <c r="H16" s="212">
        <v>25959097.540727876</v>
      </c>
      <c r="I16" s="213">
        <v>1.8694045806992674</v>
      </c>
      <c r="J16" s="214"/>
      <c r="K16" s="215"/>
      <c r="L16" s="216">
        <v>26193144.51645973</v>
      </c>
      <c r="M16" s="213">
        <f t="shared" si="0"/>
        <v>1.8862591145614513</v>
      </c>
      <c r="N16" s="214"/>
      <c r="O16" s="215"/>
      <c r="P16" s="212">
        <f t="shared" si="1"/>
        <v>234046.9757318534</v>
      </c>
      <c r="Q16" s="217">
        <f t="shared" si="1"/>
        <v>1.685453386218394E-2</v>
      </c>
    </row>
    <row r="17" spans="1:17" s="222" customFormat="1" ht="15.75" x14ac:dyDescent="0.25">
      <c r="A17" s="441"/>
      <c r="B17" s="219" t="s">
        <v>290</v>
      </c>
      <c r="C17" s="442" t="s">
        <v>291</v>
      </c>
      <c r="D17" s="442"/>
      <c r="E17" s="199">
        <v>7012838</v>
      </c>
      <c r="F17" s="220">
        <v>1123274</v>
      </c>
      <c r="G17" s="221">
        <v>0.85</v>
      </c>
      <c r="H17" s="202">
        <v>7210831.6098615201</v>
      </c>
      <c r="I17" s="203">
        <v>1.0282330220463556</v>
      </c>
      <c r="J17" s="204">
        <v>1249919.3098615203</v>
      </c>
      <c r="K17" s="205">
        <v>2652486.9098615199</v>
      </c>
      <c r="L17" s="206">
        <v>6979346.0034140376</v>
      </c>
      <c r="M17" s="203">
        <f t="shared" si="0"/>
        <v>0.99522418789854228</v>
      </c>
      <c r="N17" s="204">
        <f t="shared" si="2"/>
        <v>1018433.7034140378</v>
      </c>
      <c r="O17" s="205">
        <f t="shared" si="3"/>
        <v>2421001.3034140375</v>
      </c>
      <c r="P17" s="202">
        <f t="shared" si="1"/>
        <v>-231485.60644748248</v>
      </c>
      <c r="Q17" s="207">
        <f t="shared" si="1"/>
        <v>-3.3008834147813304E-2</v>
      </c>
    </row>
    <row r="18" spans="1:17" s="171" customFormat="1" ht="15.75" x14ac:dyDescent="0.25">
      <c r="A18" s="441"/>
      <c r="B18" s="198" t="s">
        <v>290</v>
      </c>
      <c r="C18" s="208" t="s">
        <v>292</v>
      </c>
      <c r="D18" s="208" t="s">
        <v>291</v>
      </c>
      <c r="E18" s="209">
        <v>3685902.4469588902</v>
      </c>
      <c r="F18" s="223">
        <v>590386</v>
      </c>
      <c r="G18" s="211"/>
      <c r="H18" s="212">
        <v>3470603.7058823528</v>
      </c>
      <c r="I18" s="213">
        <v>0.94158859487608715</v>
      </c>
      <c r="J18" s="214"/>
      <c r="K18" s="215"/>
      <c r="L18" s="216">
        <v>3202924.0168681764</v>
      </c>
      <c r="M18" s="213">
        <f t="shared" si="0"/>
        <v>0.86896603015383589</v>
      </c>
      <c r="N18" s="214"/>
      <c r="O18" s="215"/>
      <c r="P18" s="212">
        <f t="shared" si="1"/>
        <v>-267679.68901417637</v>
      </c>
      <c r="Q18" s="217">
        <f t="shared" si="1"/>
        <v>-7.2622564722251259E-2</v>
      </c>
    </row>
    <row r="19" spans="1:17" s="171" customFormat="1" ht="15.75" x14ac:dyDescent="0.25">
      <c r="A19" s="441"/>
      <c r="B19" s="198" t="s">
        <v>290</v>
      </c>
      <c r="C19" s="208" t="s">
        <v>293</v>
      </c>
      <c r="D19" s="208" t="s">
        <v>291</v>
      </c>
      <c r="E19" s="209">
        <v>3326935.5530411098</v>
      </c>
      <c r="F19" s="223">
        <v>532888</v>
      </c>
      <c r="G19" s="211"/>
      <c r="H19" s="212">
        <v>3740227.9039791678</v>
      </c>
      <c r="I19" s="213">
        <v>1.1242261367402422</v>
      </c>
      <c r="J19" s="214"/>
      <c r="K19" s="215"/>
      <c r="L19" s="216">
        <v>3776421.9865458617</v>
      </c>
      <c r="M19" s="213">
        <f t="shared" si="0"/>
        <v>1.1351052421481029</v>
      </c>
      <c r="N19" s="214"/>
      <c r="O19" s="215"/>
      <c r="P19" s="212">
        <f t="shared" si="1"/>
        <v>36194.082566693891</v>
      </c>
      <c r="Q19" s="217">
        <f t="shared" si="1"/>
        <v>1.0879105407860745E-2</v>
      </c>
    </row>
    <row r="20" spans="1:17" s="171" customFormat="1" ht="15.75" x14ac:dyDescent="0.25">
      <c r="A20" s="443" t="s">
        <v>294</v>
      </c>
      <c r="B20" s="198" t="s">
        <v>295</v>
      </c>
      <c r="C20" s="440" t="s">
        <v>282</v>
      </c>
      <c r="D20" s="440"/>
      <c r="E20" s="224">
        <v>74174925</v>
      </c>
      <c r="F20" s="225">
        <v>17465636</v>
      </c>
      <c r="G20" s="201">
        <v>0.75</v>
      </c>
      <c r="H20" s="226">
        <v>46812514.283291258</v>
      </c>
      <c r="I20" s="227">
        <v>0.63110969486374613</v>
      </c>
      <c r="J20" s="228">
        <v>-8818679.4667087421</v>
      </c>
      <c r="K20" s="229">
        <v>-1401186.9667087421</v>
      </c>
      <c r="L20" s="230">
        <v>51109469.956218317</v>
      </c>
      <c r="M20" s="231">
        <f t="shared" si="0"/>
        <v>0.68903972543576308</v>
      </c>
      <c r="N20" s="232">
        <f t="shared" si="2"/>
        <v>-4521723.7937816828</v>
      </c>
      <c r="O20" s="233">
        <f t="shared" si="3"/>
        <v>2895768.7062183172</v>
      </c>
      <c r="P20" s="234">
        <f t="shared" si="1"/>
        <v>4296955.6729270592</v>
      </c>
      <c r="Q20" s="235">
        <f t="shared" si="1"/>
        <v>5.7930030572016955E-2</v>
      </c>
    </row>
    <row r="21" spans="1:17" s="171" customFormat="1" ht="15.75" x14ac:dyDescent="0.25">
      <c r="A21" s="443"/>
      <c r="B21" s="198" t="s">
        <v>295</v>
      </c>
      <c r="C21" s="208" t="s">
        <v>284</v>
      </c>
      <c r="D21" s="208" t="s">
        <v>282</v>
      </c>
      <c r="E21" s="209">
        <v>55911439</v>
      </c>
      <c r="F21" s="210">
        <v>15118157</v>
      </c>
      <c r="G21" s="211"/>
      <c r="H21" s="212">
        <v>30349980.978320081</v>
      </c>
      <c r="I21" s="213">
        <v>0.54282239057234927</v>
      </c>
      <c r="J21" s="214"/>
      <c r="K21" s="215"/>
      <c r="L21" s="216">
        <v>31830313.162406903</v>
      </c>
      <c r="M21" s="213">
        <f t="shared" si="0"/>
        <v>0.56929876482712072</v>
      </c>
      <c r="N21" s="214"/>
      <c r="O21" s="215"/>
      <c r="P21" s="212">
        <f t="shared" si="1"/>
        <v>1480332.184086822</v>
      </c>
      <c r="Q21" s="217">
        <f t="shared" si="1"/>
        <v>2.6476374254771451E-2</v>
      </c>
    </row>
    <row r="22" spans="1:17" s="171" customFormat="1" ht="15.75" x14ac:dyDescent="0.25">
      <c r="A22" s="443"/>
      <c r="B22" s="198" t="s">
        <v>295</v>
      </c>
      <c r="C22" s="208" t="s">
        <v>288</v>
      </c>
      <c r="D22" s="208" t="s">
        <v>282</v>
      </c>
      <c r="E22" s="209">
        <v>14773486</v>
      </c>
      <c r="F22" s="210">
        <v>1914864</v>
      </c>
      <c r="G22" s="211"/>
      <c r="H22" s="212">
        <v>13266638.755259741</v>
      </c>
      <c r="I22" s="213">
        <v>0.89800327121572665</v>
      </c>
      <c r="J22" s="214"/>
      <c r="K22" s="215"/>
      <c r="L22" s="216">
        <v>14633486.808441956</v>
      </c>
      <c r="M22" s="213">
        <f t="shared" si="0"/>
        <v>0.99052361835533975</v>
      </c>
      <c r="N22" s="214"/>
      <c r="O22" s="215"/>
      <c r="P22" s="212">
        <f t="shared" si="1"/>
        <v>1366848.0531822145</v>
      </c>
      <c r="Q22" s="217">
        <f t="shared" si="1"/>
        <v>9.2520347139613102E-2</v>
      </c>
    </row>
    <row r="23" spans="1:17" s="171" customFormat="1" ht="15.75" x14ac:dyDescent="0.25">
      <c r="A23" s="443"/>
      <c r="B23" s="198" t="s">
        <v>295</v>
      </c>
      <c r="C23" s="208" t="s">
        <v>287</v>
      </c>
      <c r="D23" s="208" t="s">
        <v>282</v>
      </c>
      <c r="E23" s="209">
        <v>3490000</v>
      </c>
      <c r="F23" s="210">
        <v>432615</v>
      </c>
      <c r="G23" s="211"/>
      <c r="H23" s="212">
        <v>3195894.5497114393</v>
      </c>
      <c r="I23" s="213">
        <v>0.91572909733852126</v>
      </c>
      <c r="J23" s="214"/>
      <c r="K23" s="215"/>
      <c r="L23" s="216">
        <v>4645669.9853694607</v>
      </c>
      <c r="M23" s="213">
        <f t="shared" si="0"/>
        <v>1.3311375316244873</v>
      </c>
      <c r="N23" s="214"/>
      <c r="O23" s="215"/>
      <c r="P23" s="212">
        <f t="shared" si="1"/>
        <v>1449775.4356580214</v>
      </c>
      <c r="Q23" s="217">
        <f t="shared" si="1"/>
        <v>0.41540843428596608</v>
      </c>
    </row>
    <row r="24" spans="1:17" s="237" customFormat="1" ht="15.75" x14ac:dyDescent="0.25">
      <c r="A24" s="443"/>
      <c r="B24" s="208" t="s">
        <v>295</v>
      </c>
      <c r="C24" s="438" t="s">
        <v>296</v>
      </c>
      <c r="D24" s="438"/>
      <c r="E24" s="236">
        <v>31678051</v>
      </c>
      <c r="F24" s="220">
        <v>12018614</v>
      </c>
      <c r="G24" s="201">
        <v>0.75</v>
      </c>
      <c r="H24" s="202">
        <v>35218627.372079007</v>
      </c>
      <c r="I24" s="203">
        <v>1.1117674939054492</v>
      </c>
      <c r="J24" s="204">
        <v>11460089.122079007</v>
      </c>
      <c r="K24" s="205">
        <v>14627894.222079005</v>
      </c>
      <c r="L24" s="206">
        <v>36376121.060144596</v>
      </c>
      <c r="M24" s="203">
        <f t="shared" si="0"/>
        <v>1.1483067900908612</v>
      </c>
      <c r="N24" s="204">
        <f t="shared" si="2"/>
        <v>12617582.810144596</v>
      </c>
      <c r="O24" s="205">
        <f t="shared" si="3"/>
        <v>15785387.910144594</v>
      </c>
      <c r="P24" s="202">
        <f t="shared" si="1"/>
        <v>1157493.6880655885</v>
      </c>
      <c r="Q24" s="207">
        <f t="shared" si="1"/>
        <v>3.6539296185412073E-2</v>
      </c>
    </row>
    <row r="25" spans="1:17" s="237" customFormat="1" ht="15.75" x14ac:dyDescent="0.25">
      <c r="A25" s="443"/>
      <c r="B25" s="208" t="s">
        <v>295</v>
      </c>
      <c r="C25" s="208" t="s">
        <v>284</v>
      </c>
      <c r="D25" s="208" t="s">
        <v>296</v>
      </c>
      <c r="E25" s="209">
        <v>13982754.118237477</v>
      </c>
      <c r="F25" s="210">
        <v>5305997</v>
      </c>
      <c r="G25" s="211"/>
      <c r="H25" s="212">
        <v>21142569.256439526</v>
      </c>
      <c r="I25" s="213">
        <v>1.5120461303731014</v>
      </c>
      <c r="J25" s="214"/>
      <c r="K25" s="215"/>
      <c r="L25" s="216">
        <v>21172470.482658047</v>
      </c>
      <c r="M25" s="213">
        <f t="shared" si="0"/>
        <v>1.5141845664755802</v>
      </c>
      <c r="N25" s="214"/>
      <c r="O25" s="215"/>
      <c r="P25" s="212">
        <f t="shared" si="1"/>
        <v>29901.226218521595</v>
      </c>
      <c r="Q25" s="217">
        <f t="shared" si="1"/>
        <v>2.138436102478769E-3</v>
      </c>
    </row>
    <row r="26" spans="1:17" s="171" customFormat="1" ht="15.75" x14ac:dyDescent="0.25">
      <c r="A26" s="443"/>
      <c r="B26" s="198" t="s">
        <v>295</v>
      </c>
      <c r="C26" s="208" t="s">
        <v>287</v>
      </c>
      <c r="D26" s="208" t="s">
        <v>296</v>
      </c>
      <c r="E26" s="209">
        <v>17695296.881762523</v>
      </c>
      <c r="F26" s="210">
        <v>6713574</v>
      </c>
      <c r="G26" s="211"/>
      <c r="H26" s="212">
        <v>14076058.115639482</v>
      </c>
      <c r="I26" s="213">
        <v>0.79546888699826379</v>
      </c>
      <c r="J26" s="214"/>
      <c r="K26" s="215"/>
      <c r="L26" s="216">
        <v>15203650.57748655</v>
      </c>
      <c r="M26" s="213">
        <f t="shared" si="0"/>
        <v>0.85919160775177716</v>
      </c>
      <c r="N26" s="214"/>
      <c r="O26" s="215"/>
      <c r="P26" s="212">
        <f t="shared" si="1"/>
        <v>1127592.4618470687</v>
      </c>
      <c r="Q26" s="217">
        <f t="shared" si="1"/>
        <v>6.3722720753513373E-2</v>
      </c>
    </row>
    <row r="27" spans="1:17" s="171" customFormat="1" ht="15.75" x14ac:dyDescent="0.25">
      <c r="A27" s="433" t="s">
        <v>297</v>
      </c>
      <c r="B27" s="198" t="s">
        <v>298</v>
      </c>
      <c r="C27" s="438" t="s">
        <v>282</v>
      </c>
      <c r="D27" s="438"/>
      <c r="E27" s="236">
        <v>109957466</v>
      </c>
      <c r="F27" s="238">
        <v>26405879</v>
      </c>
      <c r="G27" s="201">
        <v>0.75</v>
      </c>
      <c r="H27" s="202">
        <v>82815906.822229594</v>
      </c>
      <c r="I27" s="203">
        <v>0.75316310783507501</v>
      </c>
      <c r="J27" s="204">
        <v>347807.32222959399</v>
      </c>
      <c r="K27" s="205">
        <v>11343553.922229588</v>
      </c>
      <c r="L27" s="206">
        <v>85803093.357057214</v>
      </c>
      <c r="M27" s="203">
        <f t="shared" si="0"/>
        <v>0.78032985370049557</v>
      </c>
      <c r="N27" s="204">
        <f t="shared" si="2"/>
        <v>3334993.8570572138</v>
      </c>
      <c r="O27" s="205">
        <f t="shared" si="3"/>
        <v>14330740.457057208</v>
      </c>
      <c r="P27" s="202">
        <f t="shared" si="1"/>
        <v>2987186.5348276198</v>
      </c>
      <c r="Q27" s="207">
        <f t="shared" si="1"/>
        <v>2.7166745865420561E-2</v>
      </c>
    </row>
    <row r="28" spans="1:17" s="171" customFormat="1" ht="15.75" x14ac:dyDescent="0.25">
      <c r="A28" s="433"/>
      <c r="B28" s="198" t="s">
        <v>298</v>
      </c>
      <c r="C28" s="208" t="s">
        <v>288</v>
      </c>
      <c r="D28" s="208" t="s">
        <v>282</v>
      </c>
      <c r="E28" s="209">
        <v>71235150.187201306</v>
      </c>
      <c r="F28" s="210">
        <v>16191928</v>
      </c>
      <c r="G28" s="211"/>
      <c r="H28" s="212">
        <v>48056799.150394306</v>
      </c>
      <c r="I28" s="213">
        <v>0.67462199523836464</v>
      </c>
      <c r="J28" s="214"/>
      <c r="K28" s="215"/>
      <c r="L28" s="216">
        <v>50600327.808208905</v>
      </c>
      <c r="M28" s="213">
        <f t="shared" si="0"/>
        <v>0.71032808487431498</v>
      </c>
      <c r="N28" s="214"/>
      <c r="O28" s="215"/>
      <c r="P28" s="212">
        <f t="shared" si="1"/>
        <v>2543528.6578145996</v>
      </c>
      <c r="Q28" s="217">
        <f t="shared" si="1"/>
        <v>3.5706089635950344E-2</v>
      </c>
    </row>
    <row r="29" spans="1:17" s="171" customFormat="1" ht="15.75" x14ac:dyDescent="0.25">
      <c r="A29" s="433"/>
      <c r="B29" s="198" t="s">
        <v>298</v>
      </c>
      <c r="C29" s="208" t="s">
        <v>299</v>
      </c>
      <c r="D29" s="208" t="s">
        <v>282</v>
      </c>
      <c r="E29" s="209">
        <v>9367610.1337246187</v>
      </c>
      <c r="F29" s="210">
        <v>2249597</v>
      </c>
      <c r="G29" s="211"/>
      <c r="H29" s="212">
        <v>12753471.115398772</v>
      </c>
      <c r="I29" s="213">
        <v>1.3614434133509263</v>
      </c>
      <c r="J29" s="214"/>
      <c r="K29" s="215"/>
      <c r="L29" s="216">
        <v>13306409.468235852</v>
      </c>
      <c r="M29" s="213">
        <f t="shared" si="0"/>
        <v>1.4204700321943418</v>
      </c>
      <c r="N29" s="214"/>
      <c r="O29" s="215"/>
      <c r="P29" s="212">
        <f t="shared" si="1"/>
        <v>552938.35283708014</v>
      </c>
      <c r="Q29" s="217">
        <f t="shared" si="1"/>
        <v>5.9026618843415424E-2</v>
      </c>
    </row>
    <row r="30" spans="1:17" s="171" customFormat="1" ht="15.75" x14ac:dyDescent="0.25">
      <c r="A30" s="433"/>
      <c r="B30" s="198" t="s">
        <v>298</v>
      </c>
      <c r="C30" s="208" t="s">
        <v>300</v>
      </c>
      <c r="D30" s="208" t="s">
        <v>282</v>
      </c>
      <c r="E30" s="209">
        <v>29354705.679074083</v>
      </c>
      <c r="F30" s="210">
        <v>7049425</v>
      </c>
      <c r="G30" s="211"/>
      <c r="H30" s="212">
        <v>22005636.556436516</v>
      </c>
      <c r="I30" s="213">
        <v>0.74964596126485938</v>
      </c>
      <c r="J30" s="214"/>
      <c r="K30" s="215"/>
      <c r="L30" s="216">
        <v>21896356.080612469</v>
      </c>
      <c r="M30" s="213">
        <f t="shared" si="0"/>
        <v>0.74592320290990333</v>
      </c>
      <c r="N30" s="214"/>
      <c r="O30" s="215"/>
      <c r="P30" s="212">
        <f t="shared" si="1"/>
        <v>-109280.47582404688</v>
      </c>
      <c r="Q30" s="217">
        <f t="shared" si="1"/>
        <v>-3.7227583549560572E-3</v>
      </c>
    </row>
    <row r="31" spans="1:17" s="171" customFormat="1" ht="15.75" x14ac:dyDescent="0.25">
      <c r="A31" s="433"/>
      <c r="B31" s="198" t="s">
        <v>298</v>
      </c>
      <c r="C31" s="440" t="s">
        <v>296</v>
      </c>
      <c r="D31" s="440"/>
      <c r="E31" s="224">
        <v>46013028</v>
      </c>
      <c r="F31" s="225">
        <v>11763234</v>
      </c>
      <c r="G31" s="201">
        <v>0.85</v>
      </c>
      <c r="H31" s="234">
        <v>28321248.010474801</v>
      </c>
      <c r="I31" s="231">
        <v>0.61550498285995869</v>
      </c>
      <c r="J31" s="232">
        <v>-10789825.789525196</v>
      </c>
      <c r="K31" s="233">
        <v>-1587220.1895251982</v>
      </c>
      <c r="L31" s="230">
        <v>28296915.347250428</v>
      </c>
      <c r="M31" s="231">
        <f t="shared" si="0"/>
        <v>0.61497616169165015</v>
      </c>
      <c r="N31" s="232">
        <f t="shared" si="2"/>
        <v>-10814158.452749569</v>
      </c>
      <c r="O31" s="233">
        <f t="shared" si="3"/>
        <v>-1611552.8527495712</v>
      </c>
      <c r="P31" s="234">
        <f t="shared" si="1"/>
        <v>-24332.663224373013</v>
      </c>
      <c r="Q31" s="235">
        <f t="shared" si="1"/>
        <v>-5.2882116830854642E-4</v>
      </c>
    </row>
    <row r="32" spans="1:17" s="171" customFormat="1" ht="15.75" x14ac:dyDescent="0.25">
      <c r="A32" s="433"/>
      <c r="B32" s="198" t="s">
        <v>298</v>
      </c>
      <c r="C32" s="208" t="s">
        <v>288</v>
      </c>
      <c r="D32" s="208" t="s">
        <v>296</v>
      </c>
      <c r="E32" s="209">
        <v>46013028</v>
      </c>
      <c r="F32" s="210">
        <v>12678163</v>
      </c>
      <c r="G32" s="211"/>
      <c r="H32" s="212">
        <v>28321248.010474801</v>
      </c>
      <c r="I32" s="213">
        <v>0.61550498285995869</v>
      </c>
      <c r="J32" s="214"/>
      <c r="K32" s="215"/>
      <c r="L32" s="216">
        <v>28296915.347250428</v>
      </c>
      <c r="M32" s="213">
        <f t="shared" si="0"/>
        <v>0.61497616169165015</v>
      </c>
      <c r="N32" s="214"/>
      <c r="O32" s="215"/>
      <c r="P32" s="212">
        <f t="shared" si="1"/>
        <v>-24332.663224373013</v>
      </c>
      <c r="Q32" s="217">
        <f t="shared" si="1"/>
        <v>-5.2882116830854642E-4</v>
      </c>
    </row>
    <row r="33" spans="1:17" s="171" customFormat="1" ht="15.75" x14ac:dyDescent="0.25">
      <c r="A33" s="437" t="s">
        <v>301</v>
      </c>
      <c r="B33" s="198" t="s">
        <v>302</v>
      </c>
      <c r="C33" s="438" t="s">
        <v>282</v>
      </c>
      <c r="D33" s="438"/>
      <c r="E33" s="236">
        <v>72852630</v>
      </c>
      <c r="F33" s="238">
        <v>14363011</v>
      </c>
      <c r="G33" s="201">
        <v>0.75</v>
      </c>
      <c r="H33" s="202">
        <v>178628249.03039232</v>
      </c>
      <c r="I33" s="203">
        <v>2.4519121551327978</v>
      </c>
      <c r="J33" s="204">
        <v>123988776.53039232</v>
      </c>
      <c r="K33" s="205">
        <v>131274039.53039232</v>
      </c>
      <c r="L33" s="206">
        <v>181367299.43969783</v>
      </c>
      <c r="M33" s="203">
        <f t="shared" si="0"/>
        <v>2.4895092934832665</v>
      </c>
      <c r="N33" s="204">
        <f t="shared" si="2"/>
        <v>126727826.93969783</v>
      </c>
      <c r="O33" s="205">
        <f t="shared" si="3"/>
        <v>134013089.93969783</v>
      </c>
      <c r="P33" s="202">
        <f t="shared" si="1"/>
        <v>2739050.4093055129</v>
      </c>
      <c r="Q33" s="207">
        <f t="shared" si="1"/>
        <v>3.759713835046874E-2</v>
      </c>
    </row>
    <row r="34" spans="1:17" s="171" customFormat="1" ht="15.75" x14ac:dyDescent="0.25">
      <c r="A34" s="437"/>
      <c r="B34" s="198" t="s">
        <v>302</v>
      </c>
      <c r="C34" s="208" t="s">
        <v>287</v>
      </c>
      <c r="D34" s="208" t="s">
        <v>282</v>
      </c>
      <c r="E34" s="209">
        <v>72852630</v>
      </c>
      <c r="F34" s="210">
        <v>14363011</v>
      </c>
      <c r="G34" s="211"/>
      <c r="H34" s="212">
        <v>178628249.03039232</v>
      </c>
      <c r="I34" s="213">
        <v>2.4519121551327978</v>
      </c>
      <c r="J34" s="214"/>
      <c r="K34" s="215"/>
      <c r="L34" s="216">
        <v>181367299.43969783</v>
      </c>
      <c r="M34" s="213">
        <f t="shared" si="0"/>
        <v>2.4895092934832665</v>
      </c>
      <c r="N34" s="214"/>
      <c r="O34" s="215"/>
      <c r="P34" s="212">
        <f t="shared" si="1"/>
        <v>2739050.4093055129</v>
      </c>
      <c r="Q34" s="217">
        <f t="shared" si="1"/>
        <v>3.759713835046874E-2</v>
      </c>
    </row>
    <row r="35" spans="1:17" s="171" customFormat="1" ht="15.75" x14ac:dyDescent="0.25">
      <c r="A35" s="437"/>
      <c r="B35" s="198" t="s">
        <v>302</v>
      </c>
      <c r="C35" s="435" t="s">
        <v>296</v>
      </c>
      <c r="D35" s="435"/>
      <c r="E35" s="239">
        <v>306148623</v>
      </c>
      <c r="F35" s="240">
        <v>57183034</v>
      </c>
      <c r="G35" s="201">
        <v>0.75</v>
      </c>
      <c r="H35" s="241">
        <v>272356963.84772599</v>
      </c>
      <c r="I35" s="242">
        <v>0.88962335083808619</v>
      </c>
      <c r="J35" s="243">
        <v>42745496.597725987</v>
      </c>
      <c r="K35" s="244">
        <v>73360358.89772597</v>
      </c>
      <c r="L35" s="245">
        <v>267112258.8419812</v>
      </c>
      <c r="M35" s="242">
        <f t="shared" si="0"/>
        <v>0.87249211257102799</v>
      </c>
      <c r="N35" s="243">
        <f t="shared" si="2"/>
        <v>37500791.591981202</v>
      </c>
      <c r="O35" s="244">
        <f t="shared" si="3"/>
        <v>68115653.891981184</v>
      </c>
      <c r="P35" s="241">
        <f t="shared" si="1"/>
        <v>-5244705.0057447851</v>
      </c>
      <c r="Q35" s="246">
        <f t="shared" si="1"/>
        <v>-1.7131238267058202E-2</v>
      </c>
    </row>
    <row r="36" spans="1:17" s="171" customFormat="1" ht="15.75" x14ac:dyDescent="0.25">
      <c r="A36" s="437"/>
      <c r="B36" s="198" t="s">
        <v>302</v>
      </c>
      <c r="C36" s="208" t="s">
        <v>287</v>
      </c>
      <c r="D36" s="208" t="s">
        <v>296</v>
      </c>
      <c r="E36" s="209">
        <v>306148623</v>
      </c>
      <c r="F36" s="210">
        <v>57183036</v>
      </c>
      <c r="G36" s="211"/>
      <c r="H36" s="212">
        <v>272356963.84772599</v>
      </c>
      <c r="I36" s="213">
        <v>0.88962335083808619</v>
      </c>
      <c r="J36" s="214"/>
      <c r="K36" s="215"/>
      <c r="L36" s="216">
        <v>267112258.8419812</v>
      </c>
      <c r="M36" s="213">
        <f t="shared" si="0"/>
        <v>0.87249211257102799</v>
      </c>
      <c r="N36" s="214"/>
      <c r="O36" s="215"/>
      <c r="P36" s="212">
        <f t="shared" si="1"/>
        <v>-5244705.0057447851</v>
      </c>
      <c r="Q36" s="217">
        <f t="shared" si="1"/>
        <v>-1.7131238267058202E-2</v>
      </c>
    </row>
    <row r="37" spans="1:17" s="171" customFormat="1" ht="15.75" x14ac:dyDescent="0.25">
      <c r="A37" s="437" t="s">
        <v>303</v>
      </c>
      <c r="B37" s="198" t="s">
        <v>304</v>
      </c>
      <c r="C37" s="438" t="s">
        <v>291</v>
      </c>
      <c r="D37" s="438"/>
      <c r="E37" s="236">
        <v>49376694</v>
      </c>
      <c r="F37" s="238">
        <v>6973974</v>
      </c>
      <c r="G37" s="201">
        <v>0.85</v>
      </c>
      <c r="H37" s="202">
        <v>57831931.112864926</v>
      </c>
      <c r="I37" s="203">
        <v>1.1712394335851024</v>
      </c>
      <c r="J37" s="204">
        <v>15861741.212864928</v>
      </c>
      <c r="K37" s="205">
        <v>25737080.012864925</v>
      </c>
      <c r="L37" s="206">
        <v>57587111.352080762</v>
      </c>
      <c r="M37" s="203">
        <f t="shared" si="0"/>
        <v>1.1662812287935025</v>
      </c>
      <c r="N37" s="204">
        <f t="shared" si="2"/>
        <v>15616921.452080764</v>
      </c>
      <c r="O37" s="205">
        <f t="shared" si="3"/>
        <v>25492260.252080761</v>
      </c>
      <c r="P37" s="202">
        <f t="shared" si="1"/>
        <v>-244819.76078416407</v>
      </c>
      <c r="Q37" s="207">
        <f t="shared" si="1"/>
        <v>-4.9582047915999183E-3</v>
      </c>
    </row>
    <row r="38" spans="1:17" s="171" customFormat="1" ht="15.75" x14ac:dyDescent="0.25">
      <c r="A38" s="437"/>
      <c r="B38" s="198" t="s">
        <v>304</v>
      </c>
      <c r="C38" s="208" t="s">
        <v>305</v>
      </c>
      <c r="D38" s="208" t="s">
        <v>291</v>
      </c>
      <c r="E38" s="209">
        <v>49376694</v>
      </c>
      <c r="F38" s="210">
        <v>6973974</v>
      </c>
      <c r="G38" s="211"/>
      <c r="H38" s="212">
        <v>57831931.112864926</v>
      </c>
      <c r="I38" s="213">
        <v>1.1712394335851024</v>
      </c>
      <c r="J38" s="214"/>
      <c r="K38" s="215"/>
      <c r="L38" s="216">
        <v>57587111.352080762</v>
      </c>
      <c r="M38" s="213">
        <f t="shared" si="0"/>
        <v>1.1662812287935025</v>
      </c>
      <c r="N38" s="214"/>
      <c r="O38" s="215"/>
      <c r="P38" s="212">
        <f t="shared" si="1"/>
        <v>-244819.76078416407</v>
      </c>
      <c r="Q38" s="217">
        <f t="shared" si="1"/>
        <v>-4.9582047915999183E-3</v>
      </c>
    </row>
    <row r="39" spans="1:17" s="171" customFormat="1" ht="15.75" x14ac:dyDescent="0.25">
      <c r="A39" s="437"/>
      <c r="B39" s="198" t="s">
        <v>304</v>
      </c>
      <c r="C39" s="438" t="s">
        <v>306</v>
      </c>
      <c r="D39" s="438"/>
      <c r="E39" s="236">
        <v>48708012</v>
      </c>
      <c r="F39" s="247" t="s">
        <v>163</v>
      </c>
      <c r="G39" s="201">
        <v>0.85</v>
      </c>
      <c r="H39" s="202">
        <v>54644426.666101567</v>
      </c>
      <c r="I39" s="203">
        <v>1.121877580758204</v>
      </c>
      <c r="J39" s="204">
        <v>13242616.466101572</v>
      </c>
      <c r="K39" s="205">
        <v>22984218.866101567</v>
      </c>
      <c r="L39" s="206">
        <v>55044494.833380416</v>
      </c>
      <c r="M39" s="203">
        <f t="shared" si="0"/>
        <v>1.1300911815776924</v>
      </c>
      <c r="N39" s="204">
        <f t="shared" si="2"/>
        <v>13642684.633380421</v>
      </c>
      <c r="O39" s="205">
        <f t="shared" si="3"/>
        <v>23384287.033380415</v>
      </c>
      <c r="P39" s="202">
        <f t="shared" si="1"/>
        <v>400068.16727884859</v>
      </c>
      <c r="Q39" s="207">
        <f t="shared" si="1"/>
        <v>8.2136008194884091E-3</v>
      </c>
    </row>
    <row r="40" spans="1:17" s="171" customFormat="1" ht="15.75" x14ac:dyDescent="0.25">
      <c r="A40" s="437"/>
      <c r="B40" s="198" t="s">
        <v>304</v>
      </c>
      <c r="C40" s="208" t="s">
        <v>305</v>
      </c>
      <c r="D40" s="208" t="s">
        <v>307</v>
      </c>
      <c r="E40" s="209">
        <v>48708012</v>
      </c>
      <c r="F40" s="248" t="s">
        <v>163</v>
      </c>
      <c r="G40" s="211"/>
      <c r="H40" s="212">
        <v>54644426.666101567</v>
      </c>
      <c r="I40" s="213">
        <v>1.121877580758204</v>
      </c>
      <c r="J40" s="214"/>
      <c r="K40" s="215"/>
      <c r="L40" s="216">
        <v>55044494.833380416</v>
      </c>
      <c r="M40" s="213">
        <f t="shared" si="0"/>
        <v>1.1300911815776924</v>
      </c>
      <c r="N40" s="214"/>
      <c r="O40" s="215"/>
      <c r="P40" s="212">
        <f t="shared" si="1"/>
        <v>400068.16727884859</v>
      </c>
      <c r="Q40" s="217">
        <f t="shared" si="1"/>
        <v>8.2136008194884091E-3</v>
      </c>
    </row>
    <row r="41" spans="1:17" s="171" customFormat="1" ht="15.75" x14ac:dyDescent="0.25">
      <c r="A41" s="439" t="s">
        <v>308</v>
      </c>
      <c r="B41" s="198" t="s">
        <v>309</v>
      </c>
      <c r="C41" s="440" t="s">
        <v>282</v>
      </c>
      <c r="D41" s="440"/>
      <c r="E41" s="249">
        <v>80534872</v>
      </c>
      <c r="F41" s="250">
        <v>16923788</v>
      </c>
      <c r="G41" s="201">
        <v>0.85</v>
      </c>
      <c r="H41" s="234">
        <v>52712614.384429358</v>
      </c>
      <c r="I41" s="231">
        <v>0.65453154733305297</v>
      </c>
      <c r="J41" s="232">
        <v>-15742026.815570645</v>
      </c>
      <c r="K41" s="233">
        <v>364947.58442935348</v>
      </c>
      <c r="L41" s="230">
        <v>53336279.871655196</v>
      </c>
      <c r="M41" s="231">
        <f t="shared" si="0"/>
        <v>0.66227559002831959</v>
      </c>
      <c r="N41" s="232">
        <f t="shared" si="2"/>
        <v>-15118361.328344807</v>
      </c>
      <c r="O41" s="233">
        <f t="shared" si="3"/>
        <v>988613.07165519148</v>
      </c>
      <c r="P41" s="234">
        <f t="shared" si="1"/>
        <v>623665.48722583801</v>
      </c>
      <c r="Q41" s="235">
        <f t="shared" si="1"/>
        <v>7.7440426952666286E-3</v>
      </c>
    </row>
    <row r="42" spans="1:17" s="171" customFormat="1" ht="15.75" x14ac:dyDescent="0.25">
      <c r="A42" s="439"/>
      <c r="B42" s="198" t="s">
        <v>309</v>
      </c>
      <c r="C42" s="208" t="s">
        <v>283</v>
      </c>
      <c r="D42" s="208" t="s">
        <v>282</v>
      </c>
      <c r="E42" s="209">
        <v>80534872</v>
      </c>
      <c r="F42" s="210">
        <v>16924212</v>
      </c>
      <c r="G42" s="211"/>
      <c r="H42" s="212">
        <v>52712614.384429358</v>
      </c>
      <c r="I42" s="213">
        <v>0.65453154733305297</v>
      </c>
      <c r="J42" s="214"/>
      <c r="K42" s="215"/>
      <c r="L42" s="216">
        <v>53336279.871655196</v>
      </c>
      <c r="M42" s="213">
        <f t="shared" si="0"/>
        <v>0.66227559002831959</v>
      </c>
      <c r="N42" s="214"/>
      <c r="O42" s="215"/>
      <c r="P42" s="212">
        <f t="shared" si="1"/>
        <v>623665.48722583801</v>
      </c>
      <c r="Q42" s="217">
        <f t="shared" si="1"/>
        <v>7.7440426952666286E-3</v>
      </c>
    </row>
    <row r="43" spans="1:17" s="252" customFormat="1" ht="15.75" x14ac:dyDescent="0.25">
      <c r="A43" s="439"/>
      <c r="B43" s="251" t="s">
        <v>309</v>
      </c>
      <c r="C43" s="435" t="s">
        <v>291</v>
      </c>
      <c r="D43" s="435"/>
      <c r="E43" s="239">
        <v>36865959</v>
      </c>
      <c r="F43" s="240">
        <v>14473761</v>
      </c>
      <c r="G43" s="201">
        <v>0.75</v>
      </c>
      <c r="H43" s="241">
        <v>31783514.061879277</v>
      </c>
      <c r="I43" s="242">
        <v>0.86213718357033053</v>
      </c>
      <c r="J43" s="243">
        <v>4134044.8118792772</v>
      </c>
      <c r="K43" s="244">
        <v>7820640.7118792757</v>
      </c>
      <c r="L43" s="245">
        <v>30742604.770196285</v>
      </c>
      <c r="M43" s="242">
        <f t="shared" si="0"/>
        <v>0.83390221234164241</v>
      </c>
      <c r="N43" s="243">
        <f t="shared" si="2"/>
        <v>3093135.5201962851</v>
      </c>
      <c r="O43" s="244">
        <f t="shared" si="3"/>
        <v>6779731.4201962836</v>
      </c>
      <c r="P43" s="241">
        <f t="shared" si="1"/>
        <v>-1040909.2916829921</v>
      </c>
      <c r="Q43" s="246">
        <f t="shared" si="1"/>
        <v>-2.8234971228688122E-2</v>
      </c>
    </row>
    <row r="44" spans="1:17" s="171" customFormat="1" ht="15.75" x14ac:dyDescent="0.25">
      <c r="A44" s="439"/>
      <c r="B44" s="198" t="s">
        <v>309</v>
      </c>
      <c r="C44" s="208" t="s">
        <v>283</v>
      </c>
      <c r="D44" s="208" t="s">
        <v>291</v>
      </c>
      <c r="E44" s="209">
        <v>36865959</v>
      </c>
      <c r="F44" s="210">
        <v>14474129</v>
      </c>
      <c r="G44" s="211"/>
      <c r="H44" s="212">
        <v>31783514.061879277</v>
      </c>
      <c r="I44" s="213">
        <v>0.86213718357033053</v>
      </c>
      <c r="J44" s="214"/>
      <c r="K44" s="215"/>
      <c r="L44" s="216">
        <v>30742604.770196285</v>
      </c>
      <c r="M44" s="213">
        <f t="shared" si="0"/>
        <v>0.83390221234164241</v>
      </c>
      <c r="N44" s="214"/>
      <c r="O44" s="215"/>
      <c r="P44" s="212">
        <f t="shared" si="1"/>
        <v>-1040909.2916829921</v>
      </c>
      <c r="Q44" s="217">
        <f t="shared" si="1"/>
        <v>-2.8234971228688122E-2</v>
      </c>
    </row>
    <row r="45" spans="1:17" s="171" customFormat="1" ht="15.75" x14ac:dyDescent="0.25">
      <c r="A45" s="433" t="s">
        <v>310</v>
      </c>
      <c r="B45" s="198" t="s">
        <v>311</v>
      </c>
      <c r="C45" s="435" t="s">
        <v>282</v>
      </c>
      <c r="D45" s="435"/>
      <c r="E45" s="239">
        <v>7796118</v>
      </c>
      <c r="F45" s="240">
        <v>11795104</v>
      </c>
      <c r="G45" s="201">
        <v>0.75</v>
      </c>
      <c r="H45" s="241">
        <v>15333300.493595434</v>
      </c>
      <c r="I45" s="242">
        <v>1.9667866101559051</v>
      </c>
      <c r="J45" s="243">
        <v>9486211.9935954344</v>
      </c>
      <c r="K45" s="244">
        <v>10265823.793595433</v>
      </c>
      <c r="L45" s="245">
        <v>12911652.716624027</v>
      </c>
      <c r="M45" s="242">
        <f t="shared" si="0"/>
        <v>1.6561643521332061</v>
      </c>
      <c r="N45" s="243">
        <f t="shared" si="2"/>
        <v>7064564.2166240271</v>
      </c>
      <c r="O45" s="244">
        <f t="shared" si="3"/>
        <v>7844176.0166240269</v>
      </c>
      <c r="P45" s="241">
        <f t="shared" si="1"/>
        <v>-2421647.7769714072</v>
      </c>
      <c r="Q45" s="246">
        <f t="shared" si="1"/>
        <v>-0.31062225802269894</v>
      </c>
    </row>
    <row r="46" spans="1:17" s="171" customFormat="1" ht="15.75" x14ac:dyDescent="0.25">
      <c r="A46" s="433"/>
      <c r="B46" s="198" t="s">
        <v>311</v>
      </c>
      <c r="C46" s="208" t="s">
        <v>305</v>
      </c>
      <c r="D46" s="208" t="s">
        <v>282</v>
      </c>
      <c r="E46" s="209">
        <v>0</v>
      </c>
      <c r="F46" s="210">
        <v>2515517</v>
      </c>
      <c r="G46" s="211"/>
      <c r="H46" s="253">
        <v>12678.95568513233</v>
      </c>
      <c r="I46" s="254">
        <v>0</v>
      </c>
      <c r="J46" s="255"/>
      <c r="K46" s="256"/>
      <c r="L46" s="257">
        <v>12678.95568513233</v>
      </c>
      <c r="M46" s="254">
        <v>0</v>
      </c>
      <c r="N46" s="255"/>
      <c r="O46" s="256"/>
      <c r="P46" s="253">
        <f t="shared" si="1"/>
        <v>0</v>
      </c>
      <c r="Q46" s="258">
        <f t="shared" si="1"/>
        <v>0</v>
      </c>
    </row>
    <row r="47" spans="1:17" s="171" customFormat="1" ht="15.75" x14ac:dyDescent="0.25">
      <c r="A47" s="433"/>
      <c r="B47" s="198" t="s">
        <v>311</v>
      </c>
      <c r="C47" s="208" t="s">
        <v>312</v>
      </c>
      <c r="D47" s="208" t="s">
        <v>282</v>
      </c>
      <c r="E47" s="209">
        <v>7796118</v>
      </c>
      <c r="F47" s="210">
        <v>9279588</v>
      </c>
      <c r="G47" s="211"/>
      <c r="H47" s="212">
        <v>15320621.537910301</v>
      </c>
      <c r="I47" s="213">
        <v>1.9651602936115515</v>
      </c>
      <c r="J47" s="214"/>
      <c r="K47" s="215"/>
      <c r="L47" s="216">
        <v>12898973.760938894</v>
      </c>
      <c r="M47" s="213">
        <f t="shared" si="0"/>
        <v>1.6545380355888526</v>
      </c>
      <c r="N47" s="214"/>
      <c r="O47" s="215"/>
      <c r="P47" s="212">
        <f t="shared" si="1"/>
        <v>-2421647.7769714072</v>
      </c>
      <c r="Q47" s="217">
        <f t="shared" si="1"/>
        <v>-0.31062225802269894</v>
      </c>
    </row>
    <row r="48" spans="1:17" s="171" customFormat="1" ht="15.75" x14ac:dyDescent="0.25">
      <c r="A48" s="433"/>
      <c r="B48" s="198" t="s">
        <v>311</v>
      </c>
      <c r="C48" s="435" t="s">
        <v>291</v>
      </c>
      <c r="D48" s="435"/>
      <c r="E48" s="239">
        <v>47915277</v>
      </c>
      <c r="F48" s="240">
        <v>14001679</v>
      </c>
      <c r="G48" s="201">
        <v>0.75</v>
      </c>
      <c r="H48" s="241">
        <v>47158841.799894206</v>
      </c>
      <c r="I48" s="242">
        <v>0.98421306841019007</v>
      </c>
      <c r="J48" s="243">
        <v>11222384.049894206</v>
      </c>
      <c r="K48" s="244">
        <v>16013911.749894205</v>
      </c>
      <c r="L48" s="245">
        <v>45993139.555304646</v>
      </c>
      <c r="M48" s="242">
        <f t="shared" si="0"/>
        <v>0.95988466382662563</v>
      </c>
      <c r="N48" s="243">
        <f t="shared" si="2"/>
        <v>10056681.805304646</v>
      </c>
      <c r="O48" s="244">
        <f t="shared" si="3"/>
        <v>14848209.505304646</v>
      </c>
      <c r="P48" s="241">
        <f t="shared" si="1"/>
        <v>-1165702.2445895597</v>
      </c>
      <c r="Q48" s="246">
        <f t="shared" si="1"/>
        <v>-2.4328404583564445E-2</v>
      </c>
    </row>
    <row r="49" spans="1:29" s="171" customFormat="1" ht="15.75" x14ac:dyDescent="0.25">
      <c r="A49" s="433"/>
      <c r="B49" s="198" t="s">
        <v>311</v>
      </c>
      <c r="C49" s="208" t="s">
        <v>305</v>
      </c>
      <c r="D49" s="208" t="s">
        <v>291</v>
      </c>
      <c r="E49" s="209">
        <v>34725121</v>
      </c>
      <c r="F49" s="210">
        <v>8603414</v>
      </c>
      <c r="G49" s="211"/>
      <c r="H49" s="212">
        <v>34374512.403997056</v>
      </c>
      <c r="I49" s="213">
        <v>0.98990331535481346</v>
      </c>
      <c r="J49" s="214"/>
      <c r="K49" s="215"/>
      <c r="L49" s="216">
        <v>34481327.505242437</v>
      </c>
      <c r="M49" s="213">
        <f t="shared" si="0"/>
        <v>0.99297933346992329</v>
      </c>
      <c r="N49" s="214"/>
      <c r="O49" s="215"/>
      <c r="P49" s="212">
        <f t="shared" si="1"/>
        <v>106815.10124538094</v>
      </c>
      <c r="Q49" s="217">
        <f t="shared" si="1"/>
        <v>3.0760181151098243E-3</v>
      </c>
    </row>
    <row r="50" spans="1:29" s="171" customFormat="1" ht="15.75" x14ac:dyDescent="0.25">
      <c r="A50" s="433"/>
      <c r="B50" s="198" t="s">
        <v>311</v>
      </c>
      <c r="C50" s="208" t="s">
        <v>292</v>
      </c>
      <c r="D50" s="208" t="s">
        <v>291</v>
      </c>
      <c r="E50" s="209">
        <v>1881538</v>
      </c>
      <c r="F50" s="259">
        <v>497266</v>
      </c>
      <c r="G50" s="211"/>
      <c r="H50" s="212">
        <v>1444280.1627073674</v>
      </c>
      <c r="I50" s="213">
        <v>0.76760616193101994</v>
      </c>
      <c r="J50" s="214"/>
      <c r="K50" s="215"/>
      <c r="L50" s="216">
        <v>1444280.1627073674</v>
      </c>
      <c r="M50" s="213">
        <f t="shared" si="0"/>
        <v>0.76760616193101994</v>
      </c>
      <c r="N50" s="214"/>
      <c r="O50" s="215"/>
      <c r="P50" s="212">
        <f t="shared" si="1"/>
        <v>0</v>
      </c>
      <c r="Q50" s="217">
        <f t="shared" si="1"/>
        <v>0</v>
      </c>
    </row>
    <row r="51" spans="1:29" s="171" customFormat="1" ht="16.5" thickBot="1" x14ac:dyDescent="0.3">
      <c r="A51" s="434"/>
      <c r="B51" s="260" t="s">
        <v>311</v>
      </c>
      <c r="C51" s="261" t="s">
        <v>312</v>
      </c>
      <c r="D51" s="261" t="s">
        <v>291</v>
      </c>
      <c r="E51" s="262">
        <v>11308618</v>
      </c>
      <c r="F51" s="263">
        <v>4900999</v>
      </c>
      <c r="G51" s="264"/>
      <c r="H51" s="265">
        <v>11340049.233189791</v>
      </c>
      <c r="I51" s="266">
        <v>1.0027794053340373</v>
      </c>
      <c r="J51" s="267"/>
      <c r="K51" s="268"/>
      <c r="L51" s="269">
        <v>10067531.887354841</v>
      </c>
      <c r="M51" s="266">
        <f t="shared" si="0"/>
        <v>0.89025306959301675</v>
      </c>
      <c r="N51" s="267"/>
      <c r="O51" s="268"/>
      <c r="P51" s="265">
        <f t="shared" si="1"/>
        <v>-1272517.34583495</v>
      </c>
      <c r="Q51" s="270">
        <f t="shared" si="1"/>
        <v>-0.11252633574102056</v>
      </c>
    </row>
    <row r="53" spans="1:29" s="171" customFormat="1" x14ac:dyDescent="0.2">
      <c r="A53" s="436" t="s">
        <v>313</v>
      </c>
      <c r="B53" s="436"/>
      <c r="C53" s="436"/>
      <c r="D53" s="436"/>
      <c r="E53" s="436"/>
      <c r="F53" s="436"/>
      <c r="G53" s="436"/>
      <c r="H53" s="436"/>
      <c r="I53" s="436"/>
      <c r="J53" s="436"/>
      <c r="K53" s="436"/>
      <c r="L53" s="436"/>
      <c r="M53" s="436"/>
      <c r="N53" s="436"/>
      <c r="O53" s="436"/>
      <c r="P53" s="436"/>
      <c r="Q53" s="436"/>
      <c r="T53" s="169"/>
      <c r="U53" s="169"/>
      <c r="V53" s="169"/>
      <c r="W53" s="169"/>
      <c r="X53" s="169"/>
      <c r="Y53" s="169"/>
      <c r="Z53" s="169"/>
      <c r="AA53" s="169"/>
      <c r="AB53" s="169"/>
      <c r="AC53" s="169"/>
    </row>
    <row r="54" spans="1:29" s="171" customFormat="1" x14ac:dyDescent="0.2">
      <c r="A54" s="436"/>
      <c r="B54" s="436"/>
      <c r="C54" s="436"/>
      <c r="D54" s="436"/>
      <c r="E54" s="436"/>
      <c r="F54" s="436"/>
      <c r="G54" s="436"/>
      <c r="H54" s="436"/>
      <c r="I54" s="436"/>
      <c r="J54" s="436"/>
      <c r="K54" s="436"/>
      <c r="L54" s="436"/>
      <c r="M54" s="436"/>
      <c r="N54" s="436"/>
      <c r="O54" s="436"/>
      <c r="P54" s="436"/>
      <c r="Q54" s="436"/>
      <c r="T54" s="169"/>
      <c r="U54" s="169"/>
      <c r="V54" s="169"/>
      <c r="W54" s="169"/>
      <c r="X54" s="169"/>
      <c r="Y54" s="169"/>
      <c r="Z54" s="169"/>
      <c r="AA54" s="169"/>
      <c r="AB54" s="169"/>
      <c r="AC54" s="169"/>
    </row>
    <row r="55" spans="1:29" s="171" customFormat="1" x14ac:dyDescent="0.2">
      <c r="A55" s="169"/>
      <c r="B55" s="169"/>
      <c r="C55" s="169"/>
      <c r="D55" s="169"/>
      <c r="E55" s="169"/>
      <c r="F55" s="169"/>
      <c r="G55" s="169"/>
      <c r="H55" s="169"/>
      <c r="I55" s="169"/>
      <c r="J55" s="169"/>
      <c r="K55" s="169"/>
      <c r="L55" s="169"/>
      <c r="M55" s="169"/>
      <c r="N55" s="169"/>
      <c r="O55" s="169"/>
      <c r="P55" s="169"/>
    </row>
  </sheetData>
  <autoFilter ref="A6:G51"/>
  <mergeCells count="38">
    <mergeCell ref="A2:Q2"/>
    <mergeCell ref="A4:A5"/>
    <mergeCell ref="B4:B5"/>
    <mergeCell ref="C4:C5"/>
    <mergeCell ref="D4:D5"/>
    <mergeCell ref="E4:E5"/>
    <mergeCell ref="F4:F5"/>
    <mergeCell ref="G4:G5"/>
    <mergeCell ref="H4:K4"/>
    <mergeCell ref="L4:O4"/>
    <mergeCell ref="P4:Q4"/>
    <mergeCell ref="A7:C7"/>
    <mergeCell ref="A8:A10"/>
    <mergeCell ref="C8:D8"/>
    <mergeCell ref="A11:A13"/>
    <mergeCell ref="C11:D11"/>
    <mergeCell ref="A14:A19"/>
    <mergeCell ref="C14:D14"/>
    <mergeCell ref="C17:D17"/>
    <mergeCell ref="A20:A26"/>
    <mergeCell ref="C20:D20"/>
    <mergeCell ref="C24:D24"/>
    <mergeCell ref="A27:A32"/>
    <mergeCell ref="C27:D27"/>
    <mergeCell ref="C31:D31"/>
    <mergeCell ref="A33:A36"/>
    <mergeCell ref="C33:D33"/>
    <mergeCell ref="C35:D35"/>
    <mergeCell ref="A45:A51"/>
    <mergeCell ref="C45:D45"/>
    <mergeCell ref="C48:D48"/>
    <mergeCell ref="A53:Q54"/>
    <mergeCell ref="A37:A40"/>
    <mergeCell ref="C37:D37"/>
    <mergeCell ref="C39:D39"/>
    <mergeCell ref="A41:A44"/>
    <mergeCell ref="C41:D41"/>
    <mergeCell ref="C43:D43"/>
  </mergeCells>
  <pageMargins left="0.70866141732283472" right="0.70866141732283472" top="0.74803149606299213" bottom="0.74803149606299213" header="0.31496062992125984" footer="0.31496062992125984"/>
  <pageSetup paperSize="9" scale="74" fitToHeight="0" orientation="landscape" r:id="rId1"/>
  <rowBreaks count="1" manualBreakCount="1">
    <brk id="26"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V281"/>
  <sheetViews>
    <sheetView view="pageBreakPreview" topLeftCell="C2" zoomScale="55" zoomScaleNormal="70" zoomScaleSheetLayoutView="55" zoomScalePageLayoutView="50" workbookViewId="0">
      <selection activeCell="R63" sqref="R63"/>
    </sheetView>
  </sheetViews>
  <sheetFormatPr defaultColWidth="9" defaultRowHeight="12.75" outlineLevelRow="1" outlineLevelCol="1" x14ac:dyDescent="0.2"/>
  <cols>
    <col min="1" max="1" width="12.25" style="1" hidden="1" customWidth="1"/>
    <col min="2" max="2" width="12" style="1" hidden="1" customWidth="1" outlineLevel="1"/>
    <col min="3" max="3" width="25.75" style="1" customWidth="1"/>
    <col min="4" max="4" width="10.375" style="1" customWidth="1"/>
    <col min="5" max="5" width="15.25" style="1" customWidth="1" collapsed="1"/>
    <col min="6" max="6" width="13.75" style="1" hidden="1" customWidth="1" outlineLevel="1"/>
    <col min="7" max="7" width="13" style="1" customWidth="1"/>
    <col min="8" max="8" width="13" style="1" customWidth="1" collapsed="1"/>
    <col min="9" max="9" width="11.125" style="1" hidden="1" customWidth="1" outlineLevel="1"/>
    <col min="10" max="10" width="11.75" style="1" customWidth="1"/>
    <col min="11" max="11" width="11.125" style="1" customWidth="1"/>
    <col min="12" max="12" width="14" style="1" customWidth="1"/>
    <col min="13" max="13" width="15.875" style="1" customWidth="1"/>
    <col min="14" max="14" width="11.75" style="1" customWidth="1"/>
    <col min="15" max="15" width="10.625" style="1" customWidth="1"/>
    <col min="16" max="16" width="13.75" style="1" customWidth="1"/>
    <col min="17" max="17" width="15.25" style="1" customWidth="1"/>
    <col min="18" max="18" width="150.375" style="42" customWidth="1"/>
    <col min="19" max="19" width="19.625" style="1" bestFit="1" customWidth="1"/>
    <col min="20" max="20" width="29" style="1" customWidth="1"/>
    <col min="21" max="21" width="9" style="1"/>
    <col min="22" max="22" width="10.625" style="1" bestFit="1" customWidth="1"/>
    <col min="23" max="16384" width="9" style="1"/>
  </cols>
  <sheetData>
    <row r="1" spans="1:20" ht="26.25" hidden="1" customHeight="1" x14ac:dyDescent="0.2"/>
    <row r="2" spans="1:20" ht="24.75" customHeight="1" x14ac:dyDescent="0.2"/>
    <row r="3" spans="1:20" ht="26.25" hidden="1" customHeight="1" x14ac:dyDescent="0.2"/>
    <row r="4" spans="1:20" ht="57" customHeight="1" x14ac:dyDescent="0.2">
      <c r="A4" s="395" t="s">
        <v>227</v>
      </c>
      <c r="B4" s="395"/>
      <c r="C4" s="395"/>
      <c r="D4" s="395"/>
      <c r="E4" s="395"/>
      <c r="F4" s="395"/>
      <c r="G4" s="395"/>
      <c r="H4" s="395"/>
      <c r="I4" s="395"/>
      <c r="J4" s="395"/>
      <c r="K4" s="395"/>
      <c r="L4" s="395"/>
      <c r="M4" s="395"/>
      <c r="N4" s="395"/>
      <c r="O4" s="395"/>
      <c r="P4" s="395"/>
      <c r="Q4" s="395"/>
      <c r="R4" s="395"/>
      <c r="S4" s="32"/>
    </row>
    <row r="5" spans="1:20" s="3" customFormat="1" ht="36" customHeight="1" x14ac:dyDescent="0.3">
      <c r="A5" s="25"/>
      <c r="B5" s="25"/>
      <c r="C5" s="28" t="s">
        <v>190</v>
      </c>
      <c r="D5" s="2"/>
      <c r="E5" s="20"/>
      <c r="F5" s="29"/>
      <c r="G5" s="29"/>
      <c r="H5" s="29"/>
      <c r="I5" s="29"/>
      <c r="J5" s="31"/>
      <c r="K5" s="31"/>
      <c r="L5" s="31"/>
      <c r="M5" s="31"/>
      <c r="N5" s="31"/>
      <c r="O5" s="31"/>
      <c r="P5" s="31"/>
      <c r="Q5" s="31"/>
      <c r="R5" s="43"/>
    </row>
    <row r="6" spans="1:20" s="4" customFormat="1" ht="72.75" customHeight="1" thickBot="1" x14ac:dyDescent="0.25">
      <c r="A6" s="375" t="s">
        <v>18</v>
      </c>
      <c r="B6" s="375" t="s">
        <v>0</v>
      </c>
      <c r="C6" s="375" t="s">
        <v>17</v>
      </c>
      <c r="D6" s="385" t="s">
        <v>169</v>
      </c>
      <c r="E6" s="375" t="s">
        <v>194</v>
      </c>
      <c r="F6" s="375" t="s">
        <v>161</v>
      </c>
      <c r="G6" s="375" t="s">
        <v>187</v>
      </c>
      <c r="H6" s="375" t="s">
        <v>188</v>
      </c>
      <c r="I6" s="378" t="s">
        <v>172</v>
      </c>
      <c r="J6" s="381" t="s">
        <v>189</v>
      </c>
      <c r="K6" s="381"/>
      <c r="L6" s="381"/>
      <c r="M6" s="381"/>
      <c r="N6" s="383"/>
      <c r="O6" s="383"/>
      <c r="P6" s="383"/>
      <c r="Q6" s="383"/>
      <c r="R6" s="465" t="s">
        <v>221</v>
      </c>
    </row>
    <row r="7" spans="1:20" s="4" customFormat="1" ht="70.5" customHeight="1" x14ac:dyDescent="0.2">
      <c r="A7" s="376"/>
      <c r="B7" s="376"/>
      <c r="C7" s="376"/>
      <c r="D7" s="386"/>
      <c r="E7" s="376"/>
      <c r="F7" s="376"/>
      <c r="G7" s="376"/>
      <c r="H7" s="376"/>
      <c r="I7" s="379"/>
      <c r="J7" s="381" t="s">
        <v>170</v>
      </c>
      <c r="K7" s="381"/>
      <c r="L7" s="381"/>
      <c r="M7" s="382"/>
      <c r="N7" s="388" t="s">
        <v>183</v>
      </c>
      <c r="O7" s="389"/>
      <c r="P7" s="389"/>
      <c r="Q7" s="390"/>
      <c r="R7" s="466"/>
    </row>
    <row r="8" spans="1:20" s="4" customFormat="1" ht="139.5" customHeight="1" x14ac:dyDescent="0.2">
      <c r="A8" s="376"/>
      <c r="B8" s="376"/>
      <c r="C8" s="376"/>
      <c r="D8" s="386"/>
      <c r="E8" s="376"/>
      <c r="F8" s="377"/>
      <c r="G8" s="377"/>
      <c r="H8" s="377"/>
      <c r="I8" s="380"/>
      <c r="J8" s="40" t="s">
        <v>186</v>
      </c>
      <c r="K8" s="129" t="s">
        <v>171</v>
      </c>
      <c r="L8" s="41" t="s">
        <v>185</v>
      </c>
      <c r="M8" s="51" t="s">
        <v>184</v>
      </c>
      <c r="N8" s="52" t="s">
        <v>186</v>
      </c>
      <c r="O8" s="129" t="s">
        <v>171</v>
      </c>
      <c r="P8" s="41" t="s">
        <v>185</v>
      </c>
      <c r="Q8" s="53" t="s">
        <v>184</v>
      </c>
      <c r="R8" s="466"/>
    </row>
    <row r="9" spans="1:20" s="4" customFormat="1" ht="18.75" customHeight="1" collapsed="1" x14ac:dyDescent="0.45">
      <c r="A9" s="376"/>
      <c r="B9" s="376"/>
      <c r="C9" s="376"/>
      <c r="D9" s="386"/>
      <c r="E9" s="78" t="s">
        <v>143</v>
      </c>
      <c r="F9" s="71" t="s">
        <v>143</v>
      </c>
      <c r="G9" s="132">
        <f>G27+G28+G30+G29+G31+G32+G33+G34+G35+G36+G37</f>
        <v>83094259</v>
      </c>
      <c r="H9" s="132">
        <f>H27+H28+H30+H29+H31+H32+H33+H34+H35+H36+H37</f>
        <v>34255265.871961921</v>
      </c>
      <c r="I9" s="73">
        <v>0.75</v>
      </c>
      <c r="J9" s="132">
        <f>J27+J28+J30+J29+J31+J32+J33+J34+J35+J36+J37</f>
        <v>93753197.836180657</v>
      </c>
      <c r="K9" s="73">
        <f>J9/G9</f>
        <v>1.1282752739413762</v>
      </c>
      <c r="L9" s="132">
        <f>J9-(G9*I9)</f>
        <v>31432503.586180657</v>
      </c>
      <c r="M9" s="133">
        <f>J9-(G9*0.65)</f>
        <v>39741929.486180656</v>
      </c>
      <c r="N9" s="75">
        <f>N27+N28+N30+N29+N31+N32+N33+N34+N35+N36+N37</f>
        <v>114405845.87145244</v>
      </c>
      <c r="O9" s="73">
        <f>N9/G9</f>
        <v>1.3768200986238104</v>
      </c>
      <c r="P9" s="76">
        <f>N9-(G9*I9)</f>
        <v>52085151.621452436</v>
      </c>
      <c r="Q9" s="77">
        <f>N9-(G9*0.65)</f>
        <v>60394577.521452434</v>
      </c>
      <c r="R9" s="466"/>
      <c r="S9" s="35"/>
      <c r="T9" s="39"/>
    </row>
    <row r="10" spans="1:20" s="4" customFormat="1" ht="18.75" hidden="1" customHeight="1" outlineLevel="1" x14ac:dyDescent="0.45">
      <c r="A10" s="376"/>
      <c r="B10" s="376"/>
      <c r="C10" s="376"/>
      <c r="D10" s="386"/>
      <c r="E10" s="78" t="s">
        <v>144</v>
      </c>
      <c r="F10" s="78" t="s">
        <v>144</v>
      </c>
      <c r="G10" s="132">
        <f>G39+G40+G41</f>
        <v>23975988</v>
      </c>
      <c r="H10" s="132">
        <f>H39+H40+H41</f>
        <v>10538992.077308552</v>
      </c>
      <c r="I10" s="73">
        <v>0.75</v>
      </c>
      <c r="J10" s="132">
        <f>J39+J40+J41</f>
        <v>24185311.906327732</v>
      </c>
      <c r="K10" s="73">
        <f t="shared" ref="K10:K24" si="0">J10/G10</f>
        <v>1.0087305643599642</v>
      </c>
      <c r="L10" s="132">
        <f t="shared" ref="L10:L24" si="1">J10-(G10*I10)</f>
        <v>6203320.9063277319</v>
      </c>
      <c r="M10" s="133">
        <f t="shared" ref="M10:M24" si="2">J10-(G10*0.65)</f>
        <v>8600919.7063277308</v>
      </c>
      <c r="N10" s="75">
        <f>N39+N40+N41</f>
        <v>24186961.579857141</v>
      </c>
      <c r="O10" s="73">
        <f t="shared" ref="O10:O24" si="3">N10/G10</f>
        <v>1.0087993695966624</v>
      </c>
      <c r="P10" s="76">
        <f t="shared" ref="P10:P24" si="4">N10-(G10*I10)</f>
        <v>6204970.5798571408</v>
      </c>
      <c r="Q10" s="77">
        <f t="shared" ref="Q10:Q24" si="5">N10-(G10*0.65)</f>
        <v>8602569.3798571397</v>
      </c>
      <c r="R10" s="466"/>
      <c r="S10" s="35"/>
      <c r="T10" s="39"/>
    </row>
    <row r="11" spans="1:20" s="4" customFormat="1" ht="19.5" customHeight="1" collapsed="1" x14ac:dyDescent="0.45">
      <c r="A11" s="376"/>
      <c r="B11" s="376"/>
      <c r="C11" s="376"/>
      <c r="D11" s="386"/>
      <c r="E11" s="78" t="s">
        <v>145</v>
      </c>
      <c r="F11" s="71" t="s">
        <v>145</v>
      </c>
      <c r="G11" s="132">
        <f>G43+G44+G45+G46+G47+G48+G49+G50+G51+G52+G53</f>
        <v>79669032</v>
      </c>
      <c r="H11" s="132">
        <f>H43+H44+H45+H46+H47+H48+H49+H50+H51+H52+H53</f>
        <v>18066349.449242234</v>
      </c>
      <c r="I11" s="73">
        <v>0.85</v>
      </c>
      <c r="J11" s="132">
        <f>J43+J44+J45+J46+J47+J48+J49+J50+J51+J52+J53</f>
        <v>117640456.7457357</v>
      </c>
      <c r="K11" s="73">
        <f t="shared" si="0"/>
        <v>1.4766146116314769</v>
      </c>
      <c r="L11" s="132">
        <f t="shared" si="1"/>
        <v>49921779.545735702</v>
      </c>
      <c r="M11" s="133">
        <f t="shared" si="2"/>
        <v>65855585.9457357</v>
      </c>
      <c r="N11" s="75">
        <f>N43+N44+N45+N46+N47+N48+N49+N50+N51+N52+N53</f>
        <v>127789529.43456942</v>
      </c>
      <c r="O11" s="73">
        <f t="shared" si="3"/>
        <v>1.6040050472129423</v>
      </c>
      <c r="P11" s="76">
        <f t="shared" si="4"/>
        <v>60070852.234569415</v>
      </c>
      <c r="Q11" s="77">
        <f t="shared" si="5"/>
        <v>76004658.634569407</v>
      </c>
      <c r="R11" s="466"/>
      <c r="S11" s="35"/>
      <c r="T11" s="39"/>
    </row>
    <row r="12" spans="1:20" s="4" customFormat="1" ht="19.5" hidden="1" customHeight="1" outlineLevel="1" x14ac:dyDescent="0.45">
      <c r="A12" s="376"/>
      <c r="B12" s="376"/>
      <c r="C12" s="376"/>
      <c r="D12" s="386"/>
      <c r="E12" s="78" t="s">
        <v>146</v>
      </c>
      <c r="F12" s="78" t="s">
        <v>146</v>
      </c>
      <c r="G12" s="132">
        <f>G55+G56+G57+G58</f>
        <v>7012838</v>
      </c>
      <c r="H12" s="132">
        <f>H55+H56+H57+H58</f>
        <v>1123274.1675711775</v>
      </c>
      <c r="I12" s="73">
        <v>0.85</v>
      </c>
      <c r="J12" s="132">
        <f>J55+J56+J57+J58</f>
        <v>7255831.6283764224</v>
      </c>
      <c r="K12" s="73">
        <f t="shared" si="0"/>
        <v>1.0346498276983473</v>
      </c>
      <c r="L12" s="132">
        <f t="shared" si="1"/>
        <v>1294919.3283764226</v>
      </c>
      <c r="M12" s="133">
        <f t="shared" si="2"/>
        <v>2697486.9283764223</v>
      </c>
      <c r="N12" s="75">
        <f>N55+N56+N57+N58</f>
        <v>7255831.6283764224</v>
      </c>
      <c r="O12" s="73">
        <f t="shared" si="3"/>
        <v>1.0346498276983473</v>
      </c>
      <c r="P12" s="76">
        <f t="shared" si="4"/>
        <v>1294919.3283764226</v>
      </c>
      <c r="Q12" s="77">
        <f t="shared" si="5"/>
        <v>2697486.9283764223</v>
      </c>
      <c r="R12" s="466"/>
      <c r="S12" s="35"/>
      <c r="T12" s="39"/>
    </row>
    <row r="13" spans="1:20" s="4" customFormat="1" ht="20.25" customHeight="1" x14ac:dyDescent="0.45">
      <c r="A13" s="376"/>
      <c r="B13" s="376"/>
      <c r="C13" s="376"/>
      <c r="D13" s="386"/>
      <c r="E13" s="120" t="s">
        <v>147</v>
      </c>
      <c r="F13" s="71" t="s">
        <v>147</v>
      </c>
      <c r="G13" s="132">
        <f>G60+G61+G62+G63</f>
        <v>74174925</v>
      </c>
      <c r="H13" s="132">
        <f>H60+H61+H62+H63</f>
        <v>17465636.620791227</v>
      </c>
      <c r="I13" s="73">
        <v>0.75</v>
      </c>
      <c r="J13" s="132">
        <f>J60+J61+J62+J63</f>
        <v>46812514.283291258</v>
      </c>
      <c r="K13" s="79">
        <f t="shared" si="0"/>
        <v>0.63110969486374613</v>
      </c>
      <c r="L13" s="132">
        <f t="shared" si="1"/>
        <v>-8818679.4667087421</v>
      </c>
      <c r="M13" s="133">
        <f t="shared" si="2"/>
        <v>-1401186.9667087421</v>
      </c>
      <c r="N13" s="75">
        <f>N60+N61+N62+N63</f>
        <v>55986282.549278125</v>
      </c>
      <c r="O13" s="73">
        <f t="shared" si="3"/>
        <v>0.75478718110302268</v>
      </c>
      <c r="P13" s="76">
        <f t="shared" si="4"/>
        <v>355088.79927812517</v>
      </c>
      <c r="Q13" s="77">
        <f t="shared" si="5"/>
        <v>7772581.2992781252</v>
      </c>
      <c r="R13" s="466"/>
      <c r="S13" s="35"/>
      <c r="T13" s="39"/>
    </row>
    <row r="14" spans="1:20" s="4" customFormat="1" ht="20.25" customHeight="1" collapsed="1" x14ac:dyDescent="0.45">
      <c r="A14" s="376"/>
      <c r="B14" s="376"/>
      <c r="C14" s="376"/>
      <c r="D14" s="386"/>
      <c r="E14" s="78" t="s">
        <v>148</v>
      </c>
      <c r="F14" s="78" t="s">
        <v>148</v>
      </c>
      <c r="G14" s="132">
        <f>G65+G66+G67+G68</f>
        <v>31678051</v>
      </c>
      <c r="H14" s="132">
        <f>H65+H66+H67+H68</f>
        <v>12019298.103321806</v>
      </c>
      <c r="I14" s="73">
        <v>0.75</v>
      </c>
      <c r="J14" s="132">
        <f>J65+J66+J67+J68</f>
        <v>36346282.316279314</v>
      </c>
      <c r="K14" s="73">
        <f t="shared" si="0"/>
        <v>1.1473648526002851</v>
      </c>
      <c r="L14" s="132">
        <f t="shared" si="1"/>
        <v>12587744.066279314</v>
      </c>
      <c r="M14" s="133">
        <f t="shared" si="2"/>
        <v>15755549.166279312</v>
      </c>
      <c r="N14" s="75">
        <f>N65+N66+N67+N68</f>
        <v>36384688.170881458</v>
      </c>
      <c r="O14" s="73">
        <f t="shared" si="3"/>
        <v>1.1485772332041975</v>
      </c>
      <c r="P14" s="76">
        <f t="shared" si="4"/>
        <v>12626149.920881458</v>
      </c>
      <c r="Q14" s="77">
        <f t="shared" si="5"/>
        <v>15793955.020881455</v>
      </c>
      <c r="R14" s="466"/>
      <c r="S14" s="35"/>
      <c r="T14" s="39"/>
    </row>
    <row r="15" spans="1:20" s="4" customFormat="1" ht="22.5" hidden="1" customHeight="1" outlineLevel="1" x14ac:dyDescent="0.45">
      <c r="A15" s="376"/>
      <c r="B15" s="376"/>
      <c r="C15" s="376"/>
      <c r="D15" s="386"/>
      <c r="E15" s="121" t="s">
        <v>149</v>
      </c>
      <c r="F15" s="71" t="s">
        <v>149</v>
      </c>
      <c r="G15" s="132">
        <f>G70+G71+G72+G73+G74+G75+G76</f>
        <v>109957466</v>
      </c>
      <c r="H15" s="132">
        <f>H70+H71+H72+H73+H74+H75+H76</f>
        <v>26405878.707944859</v>
      </c>
      <c r="I15" s="73">
        <v>0.75</v>
      </c>
      <c r="J15" s="132">
        <f>J70+J71+J72+J73+J74+J75+J76</f>
        <v>82815906.822229594</v>
      </c>
      <c r="K15" s="80">
        <f t="shared" si="0"/>
        <v>0.75316310783507501</v>
      </c>
      <c r="L15" s="132">
        <f t="shared" si="1"/>
        <v>347807.32222959399</v>
      </c>
      <c r="M15" s="133">
        <f t="shared" si="2"/>
        <v>11343553.922229588</v>
      </c>
      <c r="N15" s="75">
        <f>N70+N71+N72+N73+N74+N75+N76</f>
        <v>97586954.485464066</v>
      </c>
      <c r="O15" s="73">
        <f t="shared" si="3"/>
        <v>0.88749730268851468</v>
      </c>
      <c r="P15" s="76">
        <f t="shared" si="4"/>
        <v>15118854.985464066</v>
      </c>
      <c r="Q15" s="77">
        <f t="shared" si="5"/>
        <v>26114601.58546406</v>
      </c>
      <c r="R15" s="466"/>
      <c r="S15" s="35"/>
      <c r="T15" s="39"/>
    </row>
    <row r="16" spans="1:20" s="4" customFormat="1" ht="22.5" hidden="1" customHeight="1" outlineLevel="1" x14ac:dyDescent="0.45">
      <c r="A16" s="376"/>
      <c r="B16" s="376"/>
      <c r="C16" s="376"/>
      <c r="D16" s="386"/>
      <c r="E16" s="120" t="s">
        <v>150</v>
      </c>
      <c r="F16" s="78" t="s">
        <v>150</v>
      </c>
      <c r="G16" s="132">
        <f>G78+G79+G80+G81+G82+G83+G84</f>
        <v>46013028</v>
      </c>
      <c r="H16" s="132">
        <f>H78+H79+H80+H81+H82+H83+H84</f>
        <v>12102145.191502687</v>
      </c>
      <c r="I16" s="73">
        <v>0.85</v>
      </c>
      <c r="J16" s="132">
        <f>J78+J79+J80+J81+J82+J83+J84</f>
        <v>28321248.010474801</v>
      </c>
      <c r="K16" s="79">
        <f t="shared" si="0"/>
        <v>0.61550498285995869</v>
      </c>
      <c r="L16" s="132">
        <f t="shared" si="1"/>
        <v>-10789825.789525196</v>
      </c>
      <c r="M16" s="133">
        <f t="shared" si="2"/>
        <v>-1587220.1895251982</v>
      </c>
      <c r="N16" s="75">
        <f>N78+N79+N80+N81+N82+N83+N84</f>
        <v>46086084.727796137</v>
      </c>
      <c r="O16" s="73">
        <f t="shared" si="3"/>
        <v>1.0015877400591011</v>
      </c>
      <c r="P16" s="76">
        <f t="shared" si="4"/>
        <v>6975010.9277961403</v>
      </c>
      <c r="Q16" s="77">
        <f t="shared" si="5"/>
        <v>16177616.527796138</v>
      </c>
      <c r="R16" s="466"/>
      <c r="S16" s="35"/>
      <c r="T16" s="39"/>
    </row>
    <row r="17" spans="1:20" s="4" customFormat="1" ht="24" hidden="1" customHeight="1" outlineLevel="1" x14ac:dyDescent="0.45">
      <c r="A17" s="376"/>
      <c r="B17" s="376"/>
      <c r="C17" s="376"/>
      <c r="D17" s="386"/>
      <c r="E17" s="78" t="s">
        <v>151</v>
      </c>
      <c r="F17" s="78" t="s">
        <v>151</v>
      </c>
      <c r="G17" s="132">
        <f>G86</f>
        <v>72852630</v>
      </c>
      <c r="H17" s="132">
        <f>H86</f>
        <v>14363011</v>
      </c>
      <c r="I17" s="73">
        <v>0.75</v>
      </c>
      <c r="J17" s="132">
        <f>J86</f>
        <v>178628249.03039232</v>
      </c>
      <c r="K17" s="73">
        <f t="shared" si="0"/>
        <v>2.4519121551327978</v>
      </c>
      <c r="L17" s="132">
        <f t="shared" si="1"/>
        <v>123988776.53039232</v>
      </c>
      <c r="M17" s="133">
        <f t="shared" si="2"/>
        <v>131274039.53039232</v>
      </c>
      <c r="N17" s="75">
        <f>N86</f>
        <v>178628249.03039232</v>
      </c>
      <c r="O17" s="73">
        <f t="shared" si="3"/>
        <v>2.4519121551327978</v>
      </c>
      <c r="P17" s="76">
        <f t="shared" si="4"/>
        <v>123988776.53039232</v>
      </c>
      <c r="Q17" s="77">
        <f t="shared" si="5"/>
        <v>131274039.53039232</v>
      </c>
      <c r="R17" s="466"/>
      <c r="S17" s="35"/>
      <c r="T17" s="39"/>
    </row>
    <row r="18" spans="1:20" s="4" customFormat="1" ht="24" hidden="1" customHeight="1" outlineLevel="1" x14ac:dyDescent="0.45">
      <c r="A18" s="376"/>
      <c r="B18" s="376"/>
      <c r="C18" s="376"/>
      <c r="D18" s="386"/>
      <c r="E18" s="78" t="s">
        <v>152</v>
      </c>
      <c r="F18" s="78" t="s">
        <v>152</v>
      </c>
      <c r="G18" s="132">
        <f>G88+G89+G90+G91+G92+G93+G94+G95+G96</f>
        <v>306148623</v>
      </c>
      <c r="H18" s="132">
        <f>H88+H89+H90+H91+H92+H93+H94+H95+H96</f>
        <v>57183035.877791017</v>
      </c>
      <c r="I18" s="73">
        <v>0.75</v>
      </c>
      <c r="J18" s="132">
        <f>J88+J89+J90+J91+J92+J93+J94+J95+J96</f>
        <v>272356963.84772599</v>
      </c>
      <c r="K18" s="73">
        <f t="shared" si="0"/>
        <v>0.88962335083808619</v>
      </c>
      <c r="L18" s="132">
        <f t="shared" si="1"/>
        <v>42745496.597725987</v>
      </c>
      <c r="M18" s="133">
        <f t="shared" si="2"/>
        <v>73360358.89772597</v>
      </c>
      <c r="N18" s="75">
        <f>N88+N89+N90+N91+N92+N93+N94+N95+N96</f>
        <v>272356963.84772599</v>
      </c>
      <c r="O18" s="73">
        <f t="shared" si="3"/>
        <v>0.88962335083808619</v>
      </c>
      <c r="P18" s="76">
        <f t="shared" si="4"/>
        <v>42745496.597725987</v>
      </c>
      <c r="Q18" s="77">
        <f t="shared" si="5"/>
        <v>73360358.89772597</v>
      </c>
      <c r="R18" s="466"/>
      <c r="S18" s="35"/>
      <c r="T18" s="39"/>
    </row>
    <row r="19" spans="1:20" s="4" customFormat="1" ht="24" hidden="1" customHeight="1" outlineLevel="1" x14ac:dyDescent="0.45">
      <c r="A19" s="376"/>
      <c r="B19" s="376"/>
      <c r="C19" s="376"/>
      <c r="D19" s="386"/>
      <c r="E19" s="78" t="s">
        <v>153</v>
      </c>
      <c r="F19" s="78" t="s">
        <v>153</v>
      </c>
      <c r="G19" s="132">
        <f>G98+G99+G100+G101+G102+G103+G104+G105</f>
        <v>49376694</v>
      </c>
      <c r="H19" s="132">
        <f>H98+H99+H100+H101+H102+H103+H104+H105</f>
        <v>6973974</v>
      </c>
      <c r="I19" s="73">
        <v>0.85</v>
      </c>
      <c r="J19" s="132">
        <f>J98+J99+J100+J101+J102+J103+J104+J105</f>
        <v>57831931.112864926</v>
      </c>
      <c r="K19" s="73">
        <f t="shared" si="0"/>
        <v>1.1712394335851024</v>
      </c>
      <c r="L19" s="132">
        <f t="shared" si="1"/>
        <v>15861741.212864928</v>
      </c>
      <c r="M19" s="133">
        <f t="shared" si="2"/>
        <v>25737080.012864925</v>
      </c>
      <c r="N19" s="75">
        <f>N98+N99+N100+N101+N102+N103+N104+N105</f>
        <v>57831931.112864926</v>
      </c>
      <c r="O19" s="73">
        <f t="shared" si="3"/>
        <v>1.1712394335851024</v>
      </c>
      <c r="P19" s="76">
        <f t="shared" si="4"/>
        <v>15861741.212864928</v>
      </c>
      <c r="Q19" s="77">
        <f t="shared" si="5"/>
        <v>25737080.012864925</v>
      </c>
      <c r="R19" s="466"/>
      <c r="S19" s="35"/>
      <c r="T19" s="39"/>
    </row>
    <row r="20" spans="1:20" s="4" customFormat="1" ht="24" hidden="1" customHeight="1" outlineLevel="1" x14ac:dyDescent="0.45">
      <c r="A20" s="376"/>
      <c r="B20" s="376"/>
      <c r="C20" s="376"/>
      <c r="D20" s="386"/>
      <c r="E20" s="78" t="s">
        <v>154</v>
      </c>
      <c r="F20" s="78" t="s">
        <v>154</v>
      </c>
      <c r="G20" s="132">
        <f>G107+G108</f>
        <v>48708012</v>
      </c>
      <c r="H20" s="132">
        <f>H107+H108</f>
        <v>0</v>
      </c>
      <c r="I20" s="73">
        <v>0.85</v>
      </c>
      <c r="J20" s="132">
        <f>J107+J108</f>
        <v>55075034.132632583</v>
      </c>
      <c r="K20" s="73">
        <f t="shared" si="0"/>
        <v>1.1307181687610774</v>
      </c>
      <c r="L20" s="132">
        <f t="shared" si="1"/>
        <v>13673223.932632588</v>
      </c>
      <c r="M20" s="133">
        <f t="shared" si="2"/>
        <v>23414826.332632583</v>
      </c>
      <c r="N20" s="75">
        <f>N107+N108</f>
        <v>55075034.132632583</v>
      </c>
      <c r="O20" s="73">
        <f t="shared" si="3"/>
        <v>1.1307181687610774</v>
      </c>
      <c r="P20" s="76">
        <f t="shared" si="4"/>
        <v>13673223.932632588</v>
      </c>
      <c r="Q20" s="77">
        <f t="shared" si="5"/>
        <v>23414826.332632583</v>
      </c>
      <c r="R20" s="466"/>
      <c r="S20" s="35"/>
      <c r="T20" s="39"/>
    </row>
    <row r="21" spans="1:20" s="4" customFormat="1" ht="24" hidden="1" customHeight="1" outlineLevel="1" x14ac:dyDescent="0.45">
      <c r="A21" s="376"/>
      <c r="B21" s="376"/>
      <c r="C21" s="376"/>
      <c r="D21" s="386"/>
      <c r="E21" s="120" t="s">
        <v>155</v>
      </c>
      <c r="F21" s="78" t="s">
        <v>155</v>
      </c>
      <c r="G21" s="132">
        <f>G110+G111+G112+G113</f>
        <v>80534872</v>
      </c>
      <c r="H21" s="132">
        <f>H110+H111+H112+H113</f>
        <v>16924211.699999999</v>
      </c>
      <c r="I21" s="73">
        <v>0.85</v>
      </c>
      <c r="J21" s="132">
        <f>J110+J111+J112+J113</f>
        <v>52712614.384429358</v>
      </c>
      <c r="K21" s="79">
        <f t="shared" si="0"/>
        <v>0.65453154733305297</v>
      </c>
      <c r="L21" s="132">
        <f t="shared" si="1"/>
        <v>-15742026.815570645</v>
      </c>
      <c r="M21" s="133">
        <f t="shared" si="2"/>
        <v>364947.58442935348</v>
      </c>
      <c r="N21" s="75">
        <f>N110+N111+N112+N113</f>
        <v>74624030.223760501</v>
      </c>
      <c r="O21" s="73">
        <f t="shared" si="3"/>
        <v>0.92660518816942428</v>
      </c>
      <c r="P21" s="76">
        <f t="shared" si="4"/>
        <v>6169389.0237604976</v>
      </c>
      <c r="Q21" s="77">
        <f t="shared" si="5"/>
        <v>22276363.423760496</v>
      </c>
      <c r="R21" s="466"/>
      <c r="S21" s="35"/>
      <c r="T21" s="39"/>
    </row>
    <row r="22" spans="1:20" s="4" customFormat="1" ht="24" hidden="1" customHeight="1" outlineLevel="1" x14ac:dyDescent="0.45">
      <c r="A22" s="376"/>
      <c r="B22" s="376"/>
      <c r="C22" s="376"/>
      <c r="D22" s="386"/>
      <c r="E22" s="78" t="s">
        <v>156</v>
      </c>
      <c r="F22" s="78" t="s">
        <v>156</v>
      </c>
      <c r="G22" s="132">
        <f>G115+G116+G117+G118+G119+G120+G121+G122+G123+G124+G125+G126+G127+G128+G129+G130+G131</f>
        <v>36865959</v>
      </c>
      <c r="H22" s="132">
        <f>H115+H116+H117+H118+H119+H120+H121+H122+H123+H124+H125+H126+H127+H128+H129+H130+H131</f>
        <v>14473760.993476558</v>
      </c>
      <c r="I22" s="73">
        <v>0.75</v>
      </c>
      <c r="J22" s="132">
        <f>J115+J116+J117+J118+J119+J120+J121+J122+J123+J124+J125+J126+J127+J128+J129+J130+J131</f>
        <v>31783514.061879277</v>
      </c>
      <c r="K22" s="73">
        <f t="shared" si="0"/>
        <v>0.86213718357033053</v>
      </c>
      <c r="L22" s="132">
        <f t="shared" si="1"/>
        <v>4134044.8118792772</v>
      </c>
      <c r="M22" s="133">
        <f t="shared" si="2"/>
        <v>7820640.7118792757</v>
      </c>
      <c r="N22" s="75">
        <f>N115+N116+N117+N118+N119+N120+N121+N122+N123+N124+N125+N126+N127+N128+N129+N130+N131</f>
        <v>39555905.851552948</v>
      </c>
      <c r="O22" s="73">
        <f t="shared" si="3"/>
        <v>1.0729656009098516</v>
      </c>
      <c r="P22" s="76">
        <f t="shared" si="4"/>
        <v>11906436.601552948</v>
      </c>
      <c r="Q22" s="77">
        <f t="shared" si="5"/>
        <v>15593032.501552947</v>
      </c>
      <c r="R22" s="466"/>
      <c r="S22" s="35"/>
      <c r="T22" s="39"/>
    </row>
    <row r="23" spans="1:20" s="4" customFormat="1" ht="24" hidden="1" customHeight="1" outlineLevel="1" x14ac:dyDescent="0.45">
      <c r="A23" s="376"/>
      <c r="B23" s="376"/>
      <c r="C23" s="376"/>
      <c r="D23" s="386"/>
      <c r="E23" s="78" t="s">
        <v>157</v>
      </c>
      <c r="F23" s="78" t="s">
        <v>157</v>
      </c>
      <c r="G23" s="132">
        <f>G133+G134+G135</f>
        <v>7796118</v>
      </c>
      <c r="H23" s="132">
        <f>H133+H134+H135</f>
        <v>11795105</v>
      </c>
      <c r="I23" s="73">
        <v>0.75</v>
      </c>
      <c r="J23" s="132">
        <f>J133+J134+J135</f>
        <v>15333300.493595434</v>
      </c>
      <c r="K23" s="73">
        <f t="shared" si="0"/>
        <v>1.9667866101559051</v>
      </c>
      <c r="L23" s="132">
        <f t="shared" si="1"/>
        <v>9486211.9935954344</v>
      </c>
      <c r="M23" s="133">
        <f t="shared" si="2"/>
        <v>10265823.793595433</v>
      </c>
      <c r="N23" s="75">
        <f>N133+N134+N135</f>
        <v>15333300.493595434</v>
      </c>
      <c r="O23" s="73">
        <f t="shared" si="3"/>
        <v>1.9667866101559051</v>
      </c>
      <c r="P23" s="76">
        <f t="shared" si="4"/>
        <v>9486211.9935954344</v>
      </c>
      <c r="Q23" s="77">
        <f t="shared" si="5"/>
        <v>10265823.793595433</v>
      </c>
      <c r="R23" s="466"/>
      <c r="S23" s="35"/>
      <c r="T23" s="39"/>
    </row>
    <row r="24" spans="1:20" s="4" customFormat="1" ht="24" hidden="1" customHeight="1" outlineLevel="1" x14ac:dyDescent="0.45">
      <c r="A24" s="377"/>
      <c r="B24" s="377"/>
      <c r="C24" s="377"/>
      <c r="D24" s="387"/>
      <c r="E24" s="78" t="s">
        <v>158</v>
      </c>
      <c r="F24" s="78" t="s">
        <v>158</v>
      </c>
      <c r="G24" s="132">
        <f>G137+G138+G139+G140+G141+G142+G143+G144+G145+G146+G147+G148+G149+G150+G151+G152+G153+G154+G155</f>
        <v>47915277</v>
      </c>
      <c r="H24" s="132">
        <f>H137+H138+H139+H140+H141+H142+H143+H144+H145+H146+H147+H148+H149+H150+H151+H152+H153+H154+H155</f>
        <v>14001679.090627547</v>
      </c>
      <c r="I24" s="73">
        <v>0.75</v>
      </c>
      <c r="J24" s="132">
        <f>J137+J138+J139+J140+J141+J142+J143+J144+J145+J146+J147+J148+J149+J150+J151+J152+J153+J154+J155</f>
        <v>47158841.799894206</v>
      </c>
      <c r="K24" s="73">
        <f t="shared" si="0"/>
        <v>0.98421306841019007</v>
      </c>
      <c r="L24" s="132">
        <f t="shared" si="1"/>
        <v>11222384.049894206</v>
      </c>
      <c r="M24" s="133">
        <f t="shared" si="2"/>
        <v>16013911.749894205</v>
      </c>
      <c r="N24" s="75">
        <f>N137+N138+N139+N140+N141+N142+N143+N144+N145+N146+N147+N148+N149+N150+N151+N152+N153+N154+N155</f>
        <v>47158841.799894206</v>
      </c>
      <c r="O24" s="73">
        <f t="shared" si="3"/>
        <v>0.98421306841019007</v>
      </c>
      <c r="P24" s="76">
        <f t="shared" si="4"/>
        <v>11222384.049894206</v>
      </c>
      <c r="Q24" s="77">
        <f t="shared" si="5"/>
        <v>16013911.749894205</v>
      </c>
      <c r="R24" s="466"/>
      <c r="S24" s="35"/>
      <c r="T24" s="39"/>
    </row>
    <row r="25" spans="1:20" s="6" customFormat="1" ht="15" customHeight="1" collapsed="1" x14ac:dyDescent="0.2">
      <c r="A25" s="54" t="s">
        <v>1</v>
      </c>
      <c r="B25" s="54" t="s">
        <v>1</v>
      </c>
      <c r="C25" s="54" t="s">
        <v>1</v>
      </c>
      <c r="D25" s="54" t="s">
        <v>2</v>
      </c>
      <c r="E25" s="54" t="s">
        <v>3</v>
      </c>
      <c r="F25" s="5" t="s">
        <v>4</v>
      </c>
      <c r="G25" s="54" t="s">
        <v>4</v>
      </c>
      <c r="H25" s="54" t="s">
        <v>5</v>
      </c>
      <c r="I25" s="54" t="s">
        <v>8</v>
      </c>
      <c r="J25" s="54" t="s">
        <v>7</v>
      </c>
      <c r="K25" s="54" t="s">
        <v>8</v>
      </c>
      <c r="L25" s="54" t="s">
        <v>9</v>
      </c>
      <c r="M25" s="59" t="s">
        <v>6</v>
      </c>
      <c r="N25" s="68" t="s">
        <v>10</v>
      </c>
      <c r="O25" s="69" t="s">
        <v>11</v>
      </c>
      <c r="P25" s="69" t="s">
        <v>12</v>
      </c>
      <c r="Q25" s="70" t="s">
        <v>13</v>
      </c>
      <c r="R25" s="60" t="s">
        <v>14</v>
      </c>
    </row>
    <row r="26" spans="1:20" s="6" customFormat="1" ht="40.5" hidden="1" customHeight="1" outlineLevel="1" x14ac:dyDescent="0.2">
      <c r="A26" s="462" t="s">
        <v>203</v>
      </c>
      <c r="B26" s="463"/>
      <c r="C26" s="463"/>
      <c r="D26" s="463"/>
      <c r="E26" s="463"/>
      <c r="F26" s="463"/>
      <c r="G26" s="463"/>
      <c r="H26" s="463"/>
      <c r="I26" s="463"/>
      <c r="J26" s="463"/>
      <c r="K26" s="463"/>
      <c r="L26" s="463"/>
      <c r="M26" s="463"/>
      <c r="N26" s="463"/>
      <c r="O26" s="463"/>
      <c r="P26" s="463"/>
      <c r="Q26" s="463"/>
      <c r="R26" s="464"/>
    </row>
    <row r="27" spans="1:20" s="8" customFormat="1" ht="46.5" hidden="1" outlineLevel="1" x14ac:dyDescent="0.2">
      <c r="A27" s="81">
        <v>9</v>
      </c>
      <c r="B27" s="82" t="s">
        <v>1</v>
      </c>
      <c r="C27" s="83" t="s">
        <v>20</v>
      </c>
      <c r="D27" s="84" t="s">
        <v>126</v>
      </c>
      <c r="E27" s="132">
        <v>76512873</v>
      </c>
      <c r="F27" s="132"/>
      <c r="G27" s="132">
        <v>11617160</v>
      </c>
      <c r="H27" s="132">
        <v>0</v>
      </c>
      <c r="I27" s="136">
        <v>0.75</v>
      </c>
      <c r="J27" s="132">
        <v>20544561.689794779</v>
      </c>
      <c r="K27" s="131">
        <f>IFERROR(J27/G27,"n/a")</f>
        <v>1.768466793071179</v>
      </c>
      <c r="L27" s="132">
        <f>IFERROR(J27-(G27*I27),"n/a")</f>
        <v>11831691.689794779</v>
      </c>
      <c r="M27" s="133">
        <f>IFERROR(J27-(G27*0.65),"n/a")</f>
        <v>12993407.689794779</v>
      </c>
      <c r="N27" s="134">
        <v>21492043.621493112</v>
      </c>
      <c r="O27" s="87">
        <f>IFERROR(N27/G27,"n/a")</f>
        <v>1.8500256191266293</v>
      </c>
      <c r="P27" s="132">
        <f>N27-(G27*I27)</f>
        <v>12779173.621493112</v>
      </c>
      <c r="Q27" s="137">
        <f>N27-(G27*0.65)</f>
        <v>13940889.621493112</v>
      </c>
      <c r="R27" s="141"/>
      <c r="S27" s="7"/>
    </row>
    <row r="28" spans="1:20" s="8" customFormat="1" ht="101.25" hidden="1" customHeight="1" outlineLevel="1" x14ac:dyDescent="0.2">
      <c r="A28" s="89">
        <v>1</v>
      </c>
      <c r="B28" s="90" t="s">
        <v>1</v>
      </c>
      <c r="C28" s="124" t="s">
        <v>21</v>
      </c>
      <c r="D28" s="91" t="s">
        <v>126</v>
      </c>
      <c r="E28" s="132">
        <v>64029231</v>
      </c>
      <c r="F28" s="132"/>
      <c r="G28" s="132">
        <v>9721734</v>
      </c>
      <c r="H28" s="132">
        <v>0</v>
      </c>
      <c r="I28" s="92">
        <v>0.75</v>
      </c>
      <c r="J28" s="132">
        <v>2913964.3246217263</v>
      </c>
      <c r="K28" s="93">
        <f t="shared" ref="K28:K91" si="6">IFERROR(J28/G28,"n/a")</f>
        <v>0.29973709675884225</v>
      </c>
      <c r="L28" s="132">
        <f t="shared" ref="L28:L91" si="7">IFERROR(J28-(G28*I28),"n/a")</f>
        <v>-4377336.1753782742</v>
      </c>
      <c r="M28" s="133">
        <f t="shared" ref="M28:M91" si="8">IFERROR(J28-(G28*0.65),"n/a")</f>
        <v>-3405162.7753782743</v>
      </c>
      <c r="N28" s="134">
        <v>3167315.1882352945</v>
      </c>
      <c r="O28" s="94">
        <f t="shared" ref="O28:O91" si="9">IFERROR(N28/G28,"n/a")</f>
        <v>0.32579735140205385</v>
      </c>
      <c r="P28" s="132">
        <f t="shared" ref="P28:P91" si="10">N28-(G28*I28)</f>
        <v>-4123985.3117647055</v>
      </c>
      <c r="Q28" s="137">
        <f t="shared" ref="Q28:Q91" si="11">N28-(G28*0.65)</f>
        <v>-3151811.911764706</v>
      </c>
      <c r="R28" s="117" t="s">
        <v>173</v>
      </c>
    </row>
    <row r="29" spans="1:20" s="8" customFormat="1" ht="158.25" hidden="1" customHeight="1" outlineLevel="1" x14ac:dyDescent="0.2">
      <c r="A29" s="89">
        <v>2</v>
      </c>
      <c r="B29" s="90" t="s">
        <v>1</v>
      </c>
      <c r="C29" s="124" t="s">
        <v>22</v>
      </c>
      <c r="D29" s="91" t="s">
        <v>126</v>
      </c>
      <c r="E29" s="132">
        <v>34000000</v>
      </c>
      <c r="F29" s="132"/>
      <c r="G29" s="132">
        <v>5116765</v>
      </c>
      <c r="H29" s="132">
        <v>9049303</v>
      </c>
      <c r="I29" s="92">
        <v>0.75</v>
      </c>
      <c r="J29" s="132">
        <v>0</v>
      </c>
      <c r="K29" s="93">
        <f t="shared" si="6"/>
        <v>0</v>
      </c>
      <c r="L29" s="132">
        <f t="shared" si="7"/>
        <v>-3837573.75</v>
      </c>
      <c r="M29" s="133">
        <f t="shared" si="8"/>
        <v>-3325897.25</v>
      </c>
      <c r="N29" s="134">
        <v>0</v>
      </c>
      <c r="O29" s="94">
        <f t="shared" si="9"/>
        <v>0</v>
      </c>
      <c r="P29" s="132">
        <f t="shared" si="10"/>
        <v>-3837573.75</v>
      </c>
      <c r="Q29" s="137">
        <f t="shared" si="11"/>
        <v>-3325897.25</v>
      </c>
      <c r="R29" s="117" t="s">
        <v>174</v>
      </c>
      <c r="S29" s="10"/>
    </row>
    <row r="30" spans="1:20" s="8" customFormat="1" ht="69.75" hidden="1" outlineLevel="1" x14ac:dyDescent="0.2">
      <c r="A30" s="89">
        <v>8</v>
      </c>
      <c r="B30" s="90" t="s">
        <v>1</v>
      </c>
      <c r="C30" s="71" t="s">
        <v>23</v>
      </c>
      <c r="D30" s="91" t="s">
        <v>126</v>
      </c>
      <c r="E30" s="132">
        <v>122252616</v>
      </c>
      <c r="F30" s="132"/>
      <c r="G30" s="132">
        <v>17499122</v>
      </c>
      <c r="H30" s="132">
        <v>0</v>
      </c>
      <c r="I30" s="92">
        <v>0.75</v>
      </c>
      <c r="J30" s="132">
        <v>30569773.266993258</v>
      </c>
      <c r="K30" s="73">
        <f t="shared" si="6"/>
        <v>1.7469318327509951</v>
      </c>
      <c r="L30" s="132">
        <f t="shared" si="7"/>
        <v>17445431.766993258</v>
      </c>
      <c r="M30" s="133">
        <f t="shared" si="8"/>
        <v>19195343.966993257</v>
      </c>
      <c r="N30" s="134">
        <v>35149476.474999994</v>
      </c>
      <c r="O30" s="94">
        <f t="shared" si="9"/>
        <v>2.008642289310286</v>
      </c>
      <c r="P30" s="132">
        <f t="shared" si="10"/>
        <v>22025134.974999994</v>
      </c>
      <c r="Q30" s="137">
        <f t="shared" si="11"/>
        <v>23775047.174999993</v>
      </c>
      <c r="R30" s="117"/>
    </row>
    <row r="31" spans="1:20" s="8" customFormat="1" ht="127.5" hidden="1" customHeight="1" outlineLevel="1" x14ac:dyDescent="0.2">
      <c r="A31" s="89">
        <v>4</v>
      </c>
      <c r="B31" s="90" t="s">
        <v>1</v>
      </c>
      <c r="C31" s="124" t="s">
        <v>24</v>
      </c>
      <c r="D31" s="91" t="s">
        <v>126</v>
      </c>
      <c r="E31" s="132">
        <v>32552786</v>
      </c>
      <c r="F31" s="132"/>
      <c r="G31" s="132">
        <v>4809228</v>
      </c>
      <c r="H31" s="132">
        <v>7663112</v>
      </c>
      <c r="I31" s="92">
        <v>0.75</v>
      </c>
      <c r="J31" s="132">
        <v>715807.04288302397</v>
      </c>
      <c r="K31" s="93">
        <f t="shared" si="6"/>
        <v>0.14884032174873471</v>
      </c>
      <c r="L31" s="132">
        <f t="shared" si="7"/>
        <v>-2891113.9571169759</v>
      </c>
      <c r="M31" s="133">
        <f t="shared" si="8"/>
        <v>-2410191.1571169761</v>
      </c>
      <c r="N31" s="134">
        <v>754807.04</v>
      </c>
      <c r="O31" s="94">
        <f t="shared" si="9"/>
        <v>0.15694973080918601</v>
      </c>
      <c r="P31" s="132">
        <f t="shared" si="10"/>
        <v>-2852113.96</v>
      </c>
      <c r="Q31" s="137">
        <f t="shared" si="11"/>
        <v>-2371191.16</v>
      </c>
      <c r="R31" s="117" t="s">
        <v>180</v>
      </c>
    </row>
    <row r="32" spans="1:20" s="8" customFormat="1" ht="69.75" hidden="1" outlineLevel="1" x14ac:dyDescent="0.2">
      <c r="A32" s="89">
        <v>10</v>
      </c>
      <c r="B32" s="95" t="s">
        <v>1</v>
      </c>
      <c r="C32" s="71" t="s">
        <v>25</v>
      </c>
      <c r="D32" s="91" t="s">
        <v>127</v>
      </c>
      <c r="E32" s="132">
        <v>81614203</v>
      </c>
      <c r="F32" s="132"/>
      <c r="G32" s="132">
        <v>13643805</v>
      </c>
      <c r="H32" s="132">
        <v>0</v>
      </c>
      <c r="I32" s="92">
        <v>0.75</v>
      </c>
      <c r="J32" s="132">
        <v>21893636.62875</v>
      </c>
      <c r="K32" s="73">
        <f t="shared" si="6"/>
        <v>1.6046576910729815</v>
      </c>
      <c r="L32" s="132">
        <f t="shared" si="7"/>
        <v>11660782.87875</v>
      </c>
      <c r="M32" s="133">
        <f t="shared" si="8"/>
        <v>13025163.37875</v>
      </c>
      <c r="N32" s="134">
        <v>34182275.523636363</v>
      </c>
      <c r="O32" s="94">
        <f t="shared" si="9"/>
        <v>2.505333044824106</v>
      </c>
      <c r="P32" s="132">
        <f t="shared" si="10"/>
        <v>23949421.773636363</v>
      </c>
      <c r="Q32" s="137">
        <f t="shared" si="11"/>
        <v>25313802.273636363</v>
      </c>
      <c r="R32" s="117"/>
    </row>
    <row r="33" spans="1:22" s="8" customFormat="1" ht="302.25" hidden="1" outlineLevel="1" x14ac:dyDescent="0.2">
      <c r="A33" s="89">
        <v>3</v>
      </c>
      <c r="B33" s="95" t="s">
        <v>1</v>
      </c>
      <c r="C33" s="124" t="s">
        <v>26</v>
      </c>
      <c r="D33" s="91" t="s">
        <v>127</v>
      </c>
      <c r="E33" s="132">
        <v>42352941</v>
      </c>
      <c r="F33" s="132"/>
      <c r="G33" s="132">
        <v>6352941</v>
      </c>
      <c r="H33" s="132">
        <v>17250001</v>
      </c>
      <c r="I33" s="92">
        <v>0.75</v>
      </c>
      <c r="J33" s="132">
        <v>3007534.9294117647</v>
      </c>
      <c r="K33" s="93">
        <f t="shared" si="6"/>
        <v>0.47340828907615617</v>
      </c>
      <c r="L33" s="132">
        <f t="shared" si="7"/>
        <v>-1757170.8205882353</v>
      </c>
      <c r="M33" s="133">
        <f t="shared" si="8"/>
        <v>-1121876.7205882357</v>
      </c>
      <c r="N33" s="134">
        <v>3007534.9294117647</v>
      </c>
      <c r="O33" s="94">
        <f t="shared" si="9"/>
        <v>0.47340828907615617</v>
      </c>
      <c r="P33" s="132">
        <f t="shared" si="10"/>
        <v>-1757170.8205882353</v>
      </c>
      <c r="Q33" s="137">
        <f t="shared" si="11"/>
        <v>-1121876.7205882357</v>
      </c>
      <c r="R33" s="117" t="s">
        <v>222</v>
      </c>
    </row>
    <row r="34" spans="1:22" s="8" customFormat="1" ht="46.5" hidden="1" outlineLevel="1" x14ac:dyDescent="0.2">
      <c r="A34" s="89">
        <v>11</v>
      </c>
      <c r="B34" s="95" t="s">
        <v>1</v>
      </c>
      <c r="C34" s="71" t="s">
        <v>27</v>
      </c>
      <c r="D34" s="91" t="s">
        <v>127</v>
      </c>
      <c r="E34" s="132">
        <v>142117362</v>
      </c>
      <c r="F34" s="132"/>
      <c r="G34" s="132">
        <v>9000000</v>
      </c>
      <c r="H34" s="132">
        <v>0</v>
      </c>
      <c r="I34" s="92">
        <v>0.75</v>
      </c>
      <c r="J34" s="132">
        <v>7706018</v>
      </c>
      <c r="K34" s="73">
        <f t="shared" si="6"/>
        <v>0.85622422222222228</v>
      </c>
      <c r="L34" s="132">
        <f t="shared" si="7"/>
        <v>956018</v>
      </c>
      <c r="M34" s="133">
        <f t="shared" si="8"/>
        <v>1856018</v>
      </c>
      <c r="N34" s="134">
        <v>7706018</v>
      </c>
      <c r="O34" s="94">
        <f t="shared" si="9"/>
        <v>0.85622422222222228</v>
      </c>
      <c r="P34" s="132">
        <f t="shared" si="10"/>
        <v>956018</v>
      </c>
      <c r="Q34" s="137">
        <f t="shared" si="11"/>
        <v>1856018</v>
      </c>
      <c r="R34" s="117"/>
    </row>
    <row r="35" spans="1:22" s="8" customFormat="1" ht="69.75" hidden="1" outlineLevel="1" x14ac:dyDescent="0.2">
      <c r="A35" s="89">
        <v>7</v>
      </c>
      <c r="B35" s="95" t="s">
        <v>1</v>
      </c>
      <c r="C35" s="71" t="s">
        <v>28</v>
      </c>
      <c r="D35" s="91" t="s">
        <v>127</v>
      </c>
      <c r="E35" s="132">
        <v>21176470</v>
      </c>
      <c r="F35" s="132"/>
      <c r="G35" s="132">
        <v>3736236</v>
      </c>
      <c r="H35" s="132">
        <v>0</v>
      </c>
      <c r="I35" s="92">
        <v>0.75</v>
      </c>
      <c r="J35" s="132">
        <v>4720511.1535805687</v>
      </c>
      <c r="K35" s="73">
        <f t="shared" si="6"/>
        <v>1.2634403055857737</v>
      </c>
      <c r="L35" s="132">
        <f t="shared" si="7"/>
        <v>1918334.1535805687</v>
      </c>
      <c r="M35" s="133">
        <f t="shared" si="8"/>
        <v>2291957.7535805688</v>
      </c>
      <c r="N35" s="134">
        <v>6798841.6545454543</v>
      </c>
      <c r="O35" s="94">
        <f t="shared" si="9"/>
        <v>1.8197034808683001</v>
      </c>
      <c r="P35" s="132">
        <f t="shared" si="10"/>
        <v>3996664.6545454543</v>
      </c>
      <c r="Q35" s="137">
        <f t="shared" si="11"/>
        <v>4370288.2545454539</v>
      </c>
      <c r="R35" s="117"/>
    </row>
    <row r="36" spans="1:22" s="8" customFormat="1" ht="69.75" hidden="1" outlineLevel="1" x14ac:dyDescent="0.2">
      <c r="A36" s="89">
        <v>5</v>
      </c>
      <c r="B36" s="95" t="s">
        <v>1</v>
      </c>
      <c r="C36" s="71" t="s">
        <v>29</v>
      </c>
      <c r="D36" s="91" t="s">
        <v>127</v>
      </c>
      <c r="E36" s="132">
        <v>5648462</v>
      </c>
      <c r="F36" s="132"/>
      <c r="G36" s="132">
        <v>847269</v>
      </c>
      <c r="H36" s="132">
        <v>292849.87196192326</v>
      </c>
      <c r="I36" s="92">
        <v>0.75</v>
      </c>
      <c r="J36" s="132">
        <v>1077658.3571194694</v>
      </c>
      <c r="K36" s="73">
        <f t="shared" si="6"/>
        <v>1.2719199653468609</v>
      </c>
      <c r="L36" s="132">
        <f t="shared" si="7"/>
        <v>442206.60711946944</v>
      </c>
      <c r="M36" s="133">
        <f t="shared" si="8"/>
        <v>526933.50711946946</v>
      </c>
      <c r="N36" s="134">
        <v>1077658.2</v>
      </c>
      <c r="O36" s="94">
        <f t="shared" si="9"/>
        <v>1.2719197799046111</v>
      </c>
      <c r="P36" s="132">
        <f t="shared" si="10"/>
        <v>442206.44999999995</v>
      </c>
      <c r="Q36" s="137">
        <f t="shared" si="11"/>
        <v>526933.35</v>
      </c>
      <c r="R36" s="117"/>
    </row>
    <row r="37" spans="1:22" s="8" customFormat="1" ht="69.75" hidden="1" outlineLevel="1" x14ac:dyDescent="0.2">
      <c r="A37" s="96">
        <v>6</v>
      </c>
      <c r="B37" s="97" t="s">
        <v>1</v>
      </c>
      <c r="C37" s="98" t="s">
        <v>30</v>
      </c>
      <c r="D37" s="99" t="s">
        <v>127</v>
      </c>
      <c r="E37" s="132">
        <v>8127343</v>
      </c>
      <c r="F37" s="132"/>
      <c r="G37" s="132">
        <v>749999</v>
      </c>
      <c r="H37" s="132">
        <v>0</v>
      </c>
      <c r="I37" s="138">
        <v>0.75</v>
      </c>
      <c r="J37" s="132">
        <v>603732.44302605942</v>
      </c>
      <c r="K37" s="139">
        <f t="shared" si="6"/>
        <v>0.80497766400496462</v>
      </c>
      <c r="L37" s="132">
        <f t="shared" si="7"/>
        <v>41233.193026059424</v>
      </c>
      <c r="M37" s="133">
        <f t="shared" si="8"/>
        <v>116233.09302605939</v>
      </c>
      <c r="N37" s="134">
        <v>1069875.2391304348</v>
      </c>
      <c r="O37" s="102">
        <f t="shared" si="9"/>
        <v>1.4265022208435409</v>
      </c>
      <c r="P37" s="132">
        <f t="shared" si="10"/>
        <v>507375.98913043481</v>
      </c>
      <c r="Q37" s="137">
        <f t="shared" si="11"/>
        <v>582375.88913043472</v>
      </c>
      <c r="R37" s="140"/>
    </row>
    <row r="38" spans="1:22" s="8" customFormat="1" ht="28.5" hidden="1" outlineLevel="1" x14ac:dyDescent="0.2">
      <c r="A38" s="462" t="s">
        <v>217</v>
      </c>
      <c r="B38" s="463"/>
      <c r="C38" s="463"/>
      <c r="D38" s="463"/>
      <c r="E38" s="463"/>
      <c r="F38" s="463"/>
      <c r="G38" s="463"/>
      <c r="H38" s="463"/>
      <c r="I38" s="463"/>
      <c r="J38" s="463"/>
      <c r="K38" s="463"/>
      <c r="L38" s="463"/>
      <c r="M38" s="463"/>
      <c r="N38" s="463"/>
      <c r="O38" s="463"/>
      <c r="P38" s="463"/>
      <c r="Q38" s="463"/>
      <c r="R38" s="464"/>
    </row>
    <row r="39" spans="1:22" s="8" customFormat="1" ht="69.75" hidden="1" outlineLevel="1" x14ac:dyDescent="0.2">
      <c r="A39" s="81">
        <v>12</v>
      </c>
      <c r="B39" s="81" t="s">
        <v>2</v>
      </c>
      <c r="C39" s="125" t="s">
        <v>31</v>
      </c>
      <c r="D39" s="84" t="s">
        <v>128</v>
      </c>
      <c r="E39" s="132">
        <v>51734253</v>
      </c>
      <c r="F39" s="132"/>
      <c r="G39" s="132">
        <v>8821904</v>
      </c>
      <c r="H39" s="132">
        <v>2682212</v>
      </c>
      <c r="I39" s="136">
        <v>0.75</v>
      </c>
      <c r="J39" s="132">
        <v>5027268.7357394937</v>
      </c>
      <c r="K39" s="113">
        <f t="shared" si="6"/>
        <v>0.56986209958071343</v>
      </c>
      <c r="L39" s="132">
        <f t="shared" si="7"/>
        <v>-1589159.2642605063</v>
      </c>
      <c r="M39" s="133">
        <f t="shared" si="8"/>
        <v>-706968.86426050682</v>
      </c>
      <c r="N39" s="134">
        <v>5027268.7357394937</v>
      </c>
      <c r="O39" s="131">
        <f t="shared" si="9"/>
        <v>0.56986209958071343</v>
      </c>
      <c r="P39" s="132">
        <f t="shared" si="10"/>
        <v>-1589159.2642605063</v>
      </c>
      <c r="Q39" s="137">
        <f t="shared" si="11"/>
        <v>-706968.86426050682</v>
      </c>
      <c r="R39" s="141"/>
    </row>
    <row r="40" spans="1:22" s="8" customFormat="1" ht="69.75" hidden="1" outlineLevel="1" x14ac:dyDescent="0.2">
      <c r="A40" s="89">
        <v>14</v>
      </c>
      <c r="B40" s="89" t="s">
        <v>2</v>
      </c>
      <c r="C40" s="71" t="s">
        <v>162</v>
      </c>
      <c r="D40" s="91" t="s">
        <v>129</v>
      </c>
      <c r="E40" s="132">
        <v>139640840</v>
      </c>
      <c r="F40" s="132"/>
      <c r="G40" s="132">
        <v>13754084</v>
      </c>
      <c r="H40" s="132">
        <v>7130936.6605614899</v>
      </c>
      <c r="I40" s="92">
        <v>0.75</v>
      </c>
      <c r="J40" s="132">
        <v>16728035.170588238</v>
      </c>
      <c r="K40" s="73">
        <f t="shared" si="6"/>
        <v>1.2162231356583426</v>
      </c>
      <c r="L40" s="132">
        <f t="shared" si="7"/>
        <v>6412472.1705882382</v>
      </c>
      <c r="M40" s="133">
        <f t="shared" si="8"/>
        <v>7787880.5705882385</v>
      </c>
      <c r="N40" s="134">
        <v>16729684.844117649</v>
      </c>
      <c r="O40" s="73">
        <f t="shared" si="9"/>
        <v>1.2163430762904786</v>
      </c>
      <c r="P40" s="132">
        <f t="shared" si="10"/>
        <v>6414121.8441176489</v>
      </c>
      <c r="Q40" s="137">
        <f t="shared" si="11"/>
        <v>7789530.2441176493</v>
      </c>
      <c r="R40" s="117"/>
    </row>
    <row r="41" spans="1:22" s="27" customFormat="1" ht="69.75" hidden="1" outlineLevel="1" x14ac:dyDescent="0.2">
      <c r="A41" s="96">
        <v>13</v>
      </c>
      <c r="B41" s="96" t="s">
        <v>2</v>
      </c>
      <c r="C41" s="98" t="s">
        <v>32</v>
      </c>
      <c r="D41" s="99" t="s">
        <v>129</v>
      </c>
      <c r="E41" s="132">
        <v>11900000</v>
      </c>
      <c r="F41" s="132"/>
      <c r="G41" s="132">
        <v>1400000</v>
      </c>
      <c r="H41" s="132">
        <v>725843.41674706095</v>
      </c>
      <c r="I41" s="138">
        <v>0.75</v>
      </c>
      <c r="J41" s="132">
        <v>2430008</v>
      </c>
      <c r="K41" s="139">
        <f t="shared" si="6"/>
        <v>1.7357199999999999</v>
      </c>
      <c r="L41" s="132">
        <f t="shared" si="7"/>
        <v>1380008</v>
      </c>
      <c r="M41" s="133">
        <f t="shared" si="8"/>
        <v>1520008</v>
      </c>
      <c r="N41" s="134">
        <v>2430008</v>
      </c>
      <c r="O41" s="139">
        <f t="shared" si="9"/>
        <v>1.7357199999999999</v>
      </c>
      <c r="P41" s="132">
        <f t="shared" si="10"/>
        <v>1380008</v>
      </c>
      <c r="Q41" s="137">
        <f t="shared" si="11"/>
        <v>1520008</v>
      </c>
      <c r="R41" s="140"/>
    </row>
    <row r="42" spans="1:22" s="27" customFormat="1" ht="28.5" hidden="1" outlineLevel="1" x14ac:dyDescent="0.2">
      <c r="A42" s="462" t="s">
        <v>218</v>
      </c>
      <c r="B42" s="463"/>
      <c r="C42" s="463"/>
      <c r="D42" s="463"/>
      <c r="E42" s="463"/>
      <c r="F42" s="463"/>
      <c r="G42" s="463"/>
      <c r="H42" s="463"/>
      <c r="I42" s="463"/>
      <c r="J42" s="463"/>
      <c r="K42" s="463"/>
      <c r="L42" s="463"/>
      <c r="M42" s="463"/>
      <c r="N42" s="463"/>
      <c r="O42" s="463"/>
      <c r="P42" s="463"/>
      <c r="Q42" s="463"/>
      <c r="R42" s="464"/>
    </row>
    <row r="43" spans="1:22" s="8" customFormat="1" ht="46.5" hidden="1" outlineLevel="1" x14ac:dyDescent="0.2">
      <c r="A43" s="81">
        <v>18</v>
      </c>
      <c r="B43" s="81" t="s">
        <v>3</v>
      </c>
      <c r="C43" s="83" t="s">
        <v>33</v>
      </c>
      <c r="D43" s="84" t="s">
        <v>127</v>
      </c>
      <c r="E43" s="132">
        <v>25882353</v>
      </c>
      <c r="F43" s="365"/>
      <c r="G43" s="373">
        <v>15955365.4</v>
      </c>
      <c r="H43" s="373">
        <v>3136162.7714382587</v>
      </c>
      <c r="I43" s="372">
        <v>0.85</v>
      </c>
      <c r="J43" s="373">
        <f>46631226.28*0.406723084186751</f>
        <v>18965996.172011878</v>
      </c>
      <c r="K43" s="371">
        <f t="shared" si="6"/>
        <v>1.1886908069188988</v>
      </c>
      <c r="L43" s="369">
        <f>IFERROR(J43-(G43*I43),"n/a")</f>
        <v>5403935.5820118785</v>
      </c>
      <c r="M43" s="398">
        <f t="shared" si="8"/>
        <v>8595008.6620118786</v>
      </c>
      <c r="N43" s="467">
        <v>18965996.172011878</v>
      </c>
      <c r="O43" s="371">
        <f t="shared" si="9"/>
        <v>1.1886908069188988</v>
      </c>
      <c r="P43" s="369">
        <f t="shared" si="10"/>
        <v>5403935.5820118785</v>
      </c>
      <c r="Q43" s="396">
        <f t="shared" si="11"/>
        <v>8595008.6620118786</v>
      </c>
      <c r="R43" s="404"/>
    </row>
    <row r="44" spans="1:22" s="8" customFormat="1" ht="46.5" hidden="1" outlineLevel="1" x14ac:dyDescent="0.2">
      <c r="A44" s="89">
        <v>19</v>
      </c>
      <c r="B44" s="89" t="s">
        <v>3</v>
      </c>
      <c r="C44" s="71" t="s">
        <v>34</v>
      </c>
      <c r="D44" s="91" t="s">
        <v>127</v>
      </c>
      <c r="E44" s="132">
        <v>8235294</v>
      </c>
      <c r="F44" s="366"/>
      <c r="G44" s="373"/>
      <c r="H44" s="373"/>
      <c r="I44" s="372"/>
      <c r="J44" s="373"/>
      <c r="K44" s="371"/>
      <c r="L44" s="369"/>
      <c r="M44" s="398"/>
      <c r="N44" s="468"/>
      <c r="O44" s="371"/>
      <c r="P44" s="369"/>
      <c r="Q44" s="396"/>
      <c r="R44" s="404"/>
    </row>
    <row r="45" spans="1:22" s="8" customFormat="1" ht="46.5" hidden="1" outlineLevel="1" x14ac:dyDescent="0.2">
      <c r="A45" s="89">
        <v>20</v>
      </c>
      <c r="B45" s="89" t="s">
        <v>3</v>
      </c>
      <c r="C45" s="71" t="s">
        <v>35</v>
      </c>
      <c r="D45" s="91" t="s">
        <v>127</v>
      </c>
      <c r="E45" s="132">
        <v>12254724</v>
      </c>
      <c r="F45" s="366"/>
      <c r="G45" s="373"/>
      <c r="H45" s="373"/>
      <c r="I45" s="372"/>
      <c r="J45" s="373"/>
      <c r="K45" s="371"/>
      <c r="L45" s="369"/>
      <c r="M45" s="398"/>
      <c r="N45" s="468"/>
      <c r="O45" s="371"/>
      <c r="P45" s="369"/>
      <c r="Q45" s="396"/>
      <c r="R45" s="404"/>
      <c r="V45" s="128"/>
    </row>
    <row r="46" spans="1:22" s="9" customFormat="1" ht="69.75" hidden="1" outlineLevel="1" x14ac:dyDescent="0.2">
      <c r="A46" s="89">
        <v>21</v>
      </c>
      <c r="B46" s="89" t="s">
        <v>3</v>
      </c>
      <c r="C46" s="71" t="s">
        <v>36</v>
      </c>
      <c r="D46" s="91" t="s">
        <v>127</v>
      </c>
      <c r="E46" s="132">
        <v>14117647</v>
      </c>
      <c r="F46" s="367"/>
      <c r="G46" s="360"/>
      <c r="H46" s="360"/>
      <c r="I46" s="362"/>
      <c r="J46" s="360"/>
      <c r="K46" s="364"/>
      <c r="L46" s="370"/>
      <c r="M46" s="399"/>
      <c r="N46" s="469"/>
      <c r="O46" s="364"/>
      <c r="P46" s="370"/>
      <c r="Q46" s="397"/>
      <c r="R46" s="403"/>
    </row>
    <row r="47" spans="1:22" s="8" customFormat="1" ht="46.5" hidden="1" outlineLevel="1" x14ac:dyDescent="0.2">
      <c r="A47" s="89">
        <v>17</v>
      </c>
      <c r="B47" s="89" t="s">
        <v>3</v>
      </c>
      <c r="C47" s="71" t="s">
        <v>37</v>
      </c>
      <c r="D47" s="91" t="s">
        <v>127</v>
      </c>
      <c r="E47" s="132">
        <v>29565515</v>
      </c>
      <c r="F47" s="103"/>
      <c r="G47" s="132">
        <v>7712947</v>
      </c>
      <c r="H47" s="132">
        <v>1532852.3333420665</v>
      </c>
      <c r="I47" s="92">
        <v>0.85</v>
      </c>
      <c r="J47" s="132">
        <v>9311063.9649381246</v>
      </c>
      <c r="K47" s="73">
        <f t="shared" si="6"/>
        <v>1.2071992670166312</v>
      </c>
      <c r="L47" s="132">
        <f t="shared" si="7"/>
        <v>2755059.0149381245</v>
      </c>
      <c r="M47" s="133">
        <f t="shared" si="8"/>
        <v>4297648.4149381248</v>
      </c>
      <c r="N47" s="134">
        <v>18377756.831111107</v>
      </c>
      <c r="O47" s="73">
        <f t="shared" si="9"/>
        <v>2.3827153007937314</v>
      </c>
      <c r="P47" s="132">
        <f t="shared" si="10"/>
        <v>11821751.881111108</v>
      </c>
      <c r="Q47" s="137">
        <f t="shared" si="11"/>
        <v>13364341.281111106</v>
      </c>
      <c r="R47" s="117"/>
    </row>
    <row r="48" spans="1:22" s="8" customFormat="1" ht="69.75" hidden="1" outlineLevel="1" x14ac:dyDescent="0.2">
      <c r="A48" s="89">
        <v>15</v>
      </c>
      <c r="B48" s="89" t="s">
        <v>3</v>
      </c>
      <c r="C48" s="124" t="s">
        <v>38</v>
      </c>
      <c r="D48" s="91" t="s">
        <v>127</v>
      </c>
      <c r="E48" s="132">
        <v>32823529</v>
      </c>
      <c r="F48" s="103"/>
      <c r="G48" s="132">
        <v>8657815</v>
      </c>
      <c r="H48" s="132">
        <v>1701767.2497470386</v>
      </c>
      <c r="I48" s="92">
        <v>0.85</v>
      </c>
      <c r="J48" s="132">
        <v>3286941.7705306686</v>
      </c>
      <c r="K48" s="93">
        <f t="shared" si="6"/>
        <v>0.3796502663236242</v>
      </c>
      <c r="L48" s="132">
        <f t="shared" si="7"/>
        <v>-4072200.9794693314</v>
      </c>
      <c r="M48" s="133">
        <f t="shared" si="8"/>
        <v>-2340637.9794693314</v>
      </c>
      <c r="N48" s="134">
        <v>3286941.8117647059</v>
      </c>
      <c r="O48" s="73">
        <f t="shared" si="9"/>
        <v>0.37965027108626204</v>
      </c>
      <c r="P48" s="132">
        <f t="shared" si="10"/>
        <v>-4072200.9382352941</v>
      </c>
      <c r="Q48" s="137">
        <f t="shared" si="11"/>
        <v>-2340637.9382352941</v>
      </c>
      <c r="R48" s="117" t="s">
        <v>223</v>
      </c>
    </row>
    <row r="49" spans="1:19" s="8" customFormat="1" ht="46.5" hidden="1" outlineLevel="1" x14ac:dyDescent="0.2">
      <c r="A49" s="89">
        <v>22</v>
      </c>
      <c r="B49" s="89" t="s">
        <v>3</v>
      </c>
      <c r="C49" s="71" t="s">
        <v>39</v>
      </c>
      <c r="D49" s="91" t="s">
        <v>127</v>
      </c>
      <c r="E49" s="132">
        <v>70588236</v>
      </c>
      <c r="F49" s="365"/>
      <c r="G49" s="359">
        <v>22220807.399999999</v>
      </c>
      <c r="H49" s="359">
        <v>4574643.1444812873</v>
      </c>
      <c r="I49" s="361">
        <v>0.85</v>
      </c>
      <c r="J49" s="359">
        <f>46631226.28*(1-0.406723084186751)</f>
        <v>27665230.107988123</v>
      </c>
      <c r="K49" s="363">
        <f t="shared" si="6"/>
        <v>1.2450146212053539</v>
      </c>
      <c r="L49" s="359">
        <f t="shared" si="7"/>
        <v>8777543.8179881237</v>
      </c>
      <c r="M49" s="391">
        <f t="shared" si="8"/>
        <v>13221705.297988124</v>
      </c>
      <c r="N49" s="467">
        <v>27665230.107988123</v>
      </c>
      <c r="O49" s="363">
        <f t="shared" si="9"/>
        <v>1.2450146212053539</v>
      </c>
      <c r="P49" s="359">
        <f t="shared" si="10"/>
        <v>8777543.8179881237</v>
      </c>
      <c r="Q49" s="405">
        <f t="shared" si="11"/>
        <v>13221705.297988124</v>
      </c>
      <c r="R49" s="402"/>
    </row>
    <row r="50" spans="1:19" s="8" customFormat="1" ht="69.75" hidden="1" outlineLevel="1" x14ac:dyDescent="0.2">
      <c r="A50" s="89">
        <v>23</v>
      </c>
      <c r="B50" s="89" t="s">
        <v>3</v>
      </c>
      <c r="C50" s="71" t="s">
        <v>40</v>
      </c>
      <c r="D50" s="91" t="s">
        <v>127</v>
      </c>
      <c r="E50" s="132">
        <v>17647059</v>
      </c>
      <c r="F50" s="367"/>
      <c r="G50" s="360"/>
      <c r="H50" s="360"/>
      <c r="I50" s="362"/>
      <c r="J50" s="360"/>
      <c r="K50" s="364"/>
      <c r="L50" s="360">
        <f t="shared" si="7"/>
        <v>0</v>
      </c>
      <c r="M50" s="392">
        <f t="shared" si="8"/>
        <v>0</v>
      </c>
      <c r="N50" s="469"/>
      <c r="O50" s="364"/>
      <c r="P50" s="360">
        <f t="shared" si="10"/>
        <v>0</v>
      </c>
      <c r="Q50" s="406">
        <f t="shared" si="11"/>
        <v>0</v>
      </c>
      <c r="R50" s="403"/>
    </row>
    <row r="51" spans="1:19" s="8" customFormat="1" ht="46.5" hidden="1" outlineLevel="1" x14ac:dyDescent="0.2">
      <c r="A51" s="89">
        <v>16</v>
      </c>
      <c r="B51" s="89" t="s">
        <v>3</v>
      </c>
      <c r="C51" s="71" t="s">
        <v>41</v>
      </c>
      <c r="D51" s="91" t="s">
        <v>127</v>
      </c>
      <c r="E51" s="132">
        <v>7294119</v>
      </c>
      <c r="F51" s="104"/>
      <c r="G51" s="132">
        <v>1201009</v>
      </c>
      <c r="H51" s="132">
        <v>378170.56093902828</v>
      </c>
      <c r="I51" s="92">
        <v>0.85</v>
      </c>
      <c r="J51" s="132">
        <v>2270395.6313995048</v>
      </c>
      <c r="K51" s="73">
        <f t="shared" si="6"/>
        <v>1.8904068424129252</v>
      </c>
      <c r="L51" s="132">
        <f t="shared" si="7"/>
        <v>1249537.9813995049</v>
      </c>
      <c r="M51" s="133">
        <f t="shared" si="8"/>
        <v>1489739.7813995047</v>
      </c>
      <c r="N51" s="134">
        <v>2323273.1325301207</v>
      </c>
      <c r="O51" s="73">
        <f t="shared" si="9"/>
        <v>1.9344344068446786</v>
      </c>
      <c r="P51" s="132">
        <f t="shared" si="10"/>
        <v>1302415.4825301208</v>
      </c>
      <c r="Q51" s="137">
        <f t="shared" si="11"/>
        <v>1542617.2825301206</v>
      </c>
      <c r="R51" s="117"/>
    </row>
    <row r="52" spans="1:19" s="8" customFormat="1" ht="69.75" hidden="1" outlineLevel="1" x14ac:dyDescent="0.2">
      <c r="A52" s="89">
        <v>25</v>
      </c>
      <c r="B52" s="89" t="s">
        <v>3</v>
      </c>
      <c r="C52" s="71" t="s">
        <v>42</v>
      </c>
      <c r="D52" s="91" t="s">
        <v>127</v>
      </c>
      <c r="E52" s="132">
        <v>60620418</v>
      </c>
      <c r="F52" s="104"/>
      <c r="G52" s="132">
        <v>10034796</v>
      </c>
      <c r="H52" s="132">
        <v>3143014</v>
      </c>
      <c r="I52" s="92">
        <v>0.85</v>
      </c>
      <c r="J52" s="132">
        <v>30181731.558139537</v>
      </c>
      <c r="K52" s="73">
        <f t="shared" si="6"/>
        <v>3.0077075366693591</v>
      </c>
      <c r="L52" s="132">
        <f t="shared" si="7"/>
        <v>21652154.958139539</v>
      </c>
      <c r="M52" s="133">
        <f t="shared" si="8"/>
        <v>23659114.158139534</v>
      </c>
      <c r="N52" s="134">
        <v>30181731.558139537</v>
      </c>
      <c r="O52" s="73">
        <f t="shared" si="9"/>
        <v>3.0077075366693591</v>
      </c>
      <c r="P52" s="132">
        <f t="shared" si="10"/>
        <v>21652154.958139539</v>
      </c>
      <c r="Q52" s="137">
        <f t="shared" si="11"/>
        <v>23659114.158139534</v>
      </c>
      <c r="R52" s="117"/>
    </row>
    <row r="53" spans="1:19" s="8" customFormat="1" ht="69.75" hidden="1" outlineLevel="1" x14ac:dyDescent="0.2">
      <c r="A53" s="96">
        <v>24</v>
      </c>
      <c r="B53" s="96" t="s">
        <v>3</v>
      </c>
      <c r="C53" s="98" t="s">
        <v>43</v>
      </c>
      <c r="D53" s="99" t="s">
        <v>129</v>
      </c>
      <c r="E53" s="132">
        <v>75552110.395380691</v>
      </c>
      <c r="F53" s="104"/>
      <c r="G53" s="132">
        <v>13886292.199999999</v>
      </c>
      <c r="H53" s="132">
        <v>3599739.3892945535</v>
      </c>
      <c r="I53" s="138">
        <v>0.85</v>
      </c>
      <c r="J53" s="132">
        <v>25959097.540727876</v>
      </c>
      <c r="K53" s="139">
        <f t="shared" si="6"/>
        <v>1.8694045297943447</v>
      </c>
      <c r="L53" s="132">
        <f t="shared" si="7"/>
        <v>14155749.170727877</v>
      </c>
      <c r="M53" s="133">
        <f t="shared" si="8"/>
        <v>16933007.610727876</v>
      </c>
      <c r="N53" s="134">
        <v>26988599.821023963</v>
      </c>
      <c r="O53" s="139">
        <f t="shared" si="9"/>
        <v>1.9435425549394649</v>
      </c>
      <c r="P53" s="132">
        <f t="shared" si="10"/>
        <v>15185251.451023964</v>
      </c>
      <c r="Q53" s="137">
        <f t="shared" si="11"/>
        <v>17962509.891023964</v>
      </c>
      <c r="R53" s="140"/>
    </row>
    <row r="54" spans="1:19" s="8" customFormat="1" ht="28.5" hidden="1" outlineLevel="1" x14ac:dyDescent="0.2">
      <c r="A54" s="462" t="s">
        <v>219</v>
      </c>
      <c r="B54" s="463"/>
      <c r="C54" s="463"/>
      <c r="D54" s="463"/>
      <c r="E54" s="463"/>
      <c r="F54" s="463"/>
      <c r="G54" s="463"/>
      <c r="H54" s="463"/>
      <c r="I54" s="463"/>
      <c r="J54" s="463"/>
      <c r="K54" s="463"/>
      <c r="L54" s="463"/>
      <c r="M54" s="463"/>
      <c r="N54" s="463"/>
      <c r="O54" s="463"/>
      <c r="P54" s="463"/>
      <c r="Q54" s="463"/>
      <c r="R54" s="464"/>
    </row>
    <row r="55" spans="1:19" s="8" customFormat="1" ht="116.25" hidden="1" outlineLevel="1" x14ac:dyDescent="0.2">
      <c r="A55" s="81">
        <v>26</v>
      </c>
      <c r="B55" s="81" t="s">
        <v>3</v>
      </c>
      <c r="C55" s="83" t="s">
        <v>44</v>
      </c>
      <c r="D55" s="84" t="s">
        <v>130</v>
      </c>
      <c r="E55" s="132">
        <v>11169393</v>
      </c>
      <c r="F55" s="132"/>
      <c r="G55" s="132">
        <v>3672987</v>
      </c>
      <c r="H55" s="132">
        <v>590386</v>
      </c>
      <c r="I55" s="136">
        <v>0.85</v>
      </c>
      <c r="J55" s="132">
        <v>3515603.7243972546</v>
      </c>
      <c r="K55" s="131">
        <f t="shared" si="6"/>
        <v>0.95715114820642022</v>
      </c>
      <c r="L55" s="132">
        <f t="shared" si="7"/>
        <v>393564.77439725492</v>
      </c>
      <c r="M55" s="133">
        <f t="shared" si="8"/>
        <v>1128162.1743972544</v>
      </c>
      <c r="N55" s="134">
        <v>3515603.7243972546</v>
      </c>
      <c r="O55" s="131">
        <f t="shared" si="9"/>
        <v>0.95715114820642022</v>
      </c>
      <c r="P55" s="132">
        <f t="shared" si="10"/>
        <v>393564.77439725492</v>
      </c>
      <c r="Q55" s="137">
        <f t="shared" si="11"/>
        <v>1128162.1743972544</v>
      </c>
      <c r="R55" s="141"/>
      <c r="S55" s="10"/>
    </row>
    <row r="56" spans="1:19" s="8" customFormat="1" ht="93" hidden="1" outlineLevel="1" x14ac:dyDescent="0.2">
      <c r="A56" s="89">
        <v>27</v>
      </c>
      <c r="B56" s="89" t="s">
        <v>3</v>
      </c>
      <c r="C56" s="71" t="s">
        <v>45</v>
      </c>
      <c r="D56" s="91" t="s">
        <v>131</v>
      </c>
      <c r="E56" s="132">
        <v>8181615</v>
      </c>
      <c r="F56" s="132"/>
      <c r="G56" s="132">
        <v>3132164</v>
      </c>
      <c r="H56" s="132">
        <v>453602</v>
      </c>
      <c r="I56" s="92">
        <v>0.85</v>
      </c>
      <c r="J56" s="132">
        <v>3481280.3863321091</v>
      </c>
      <c r="K56" s="73">
        <f t="shared" si="6"/>
        <v>1.1114617198627239</v>
      </c>
      <c r="L56" s="132">
        <f t="shared" si="7"/>
        <v>818940.9863321092</v>
      </c>
      <c r="M56" s="133">
        <f t="shared" si="8"/>
        <v>1445373.786332109</v>
      </c>
      <c r="N56" s="134">
        <v>3481280.3863321091</v>
      </c>
      <c r="O56" s="73">
        <f t="shared" si="9"/>
        <v>1.1114617198627239</v>
      </c>
      <c r="P56" s="132">
        <f t="shared" si="10"/>
        <v>818940.9863321092</v>
      </c>
      <c r="Q56" s="137">
        <f t="shared" si="11"/>
        <v>1445373.786332109</v>
      </c>
      <c r="R56" s="117"/>
    </row>
    <row r="57" spans="1:19" s="8" customFormat="1" ht="46.5" hidden="1" outlineLevel="1" x14ac:dyDescent="0.5">
      <c r="A57" s="89">
        <v>29</v>
      </c>
      <c r="B57" s="89" t="s">
        <v>3</v>
      </c>
      <c r="C57" s="71" t="s">
        <v>46</v>
      </c>
      <c r="D57" s="91" t="s">
        <v>131</v>
      </c>
      <c r="E57" s="132">
        <v>1500000</v>
      </c>
      <c r="F57" s="132"/>
      <c r="G57" s="132">
        <v>207687</v>
      </c>
      <c r="H57" s="132">
        <v>79286.167571177386</v>
      </c>
      <c r="I57" s="92">
        <v>0.85</v>
      </c>
      <c r="J57" s="132">
        <v>258947.51764705885</v>
      </c>
      <c r="K57" s="73">
        <f t="shared" si="6"/>
        <v>1.2468162073074331</v>
      </c>
      <c r="L57" s="132">
        <f t="shared" si="7"/>
        <v>82413.567647058866</v>
      </c>
      <c r="M57" s="133">
        <f t="shared" si="8"/>
        <v>123950.96764705883</v>
      </c>
      <c r="N57" s="134">
        <v>258947.51764705885</v>
      </c>
      <c r="O57" s="73">
        <f t="shared" si="9"/>
        <v>1.2468162073074331</v>
      </c>
      <c r="P57" s="132">
        <f t="shared" si="10"/>
        <v>82413.567647058866</v>
      </c>
      <c r="Q57" s="137">
        <f t="shared" si="11"/>
        <v>123950.96764705883</v>
      </c>
      <c r="R57" s="117"/>
      <c r="S57" s="30"/>
    </row>
    <row r="58" spans="1:19" s="8" customFormat="1" ht="139.5" hidden="1" outlineLevel="1" x14ac:dyDescent="0.2">
      <c r="A58" s="96">
        <v>28</v>
      </c>
      <c r="B58" s="96" t="s">
        <v>3</v>
      </c>
      <c r="C58" s="98" t="s">
        <v>47</v>
      </c>
      <c r="D58" s="99" t="s">
        <v>131</v>
      </c>
      <c r="E58" s="132">
        <v>400000</v>
      </c>
      <c r="F58" s="132"/>
      <c r="G58" s="132">
        <v>0</v>
      </c>
      <c r="H58" s="132">
        <v>0</v>
      </c>
      <c r="I58" s="138">
        <v>0.85</v>
      </c>
      <c r="J58" s="132">
        <v>0</v>
      </c>
      <c r="K58" s="139" t="str">
        <f t="shared" si="6"/>
        <v>n/a</v>
      </c>
      <c r="L58" s="132">
        <f t="shared" si="7"/>
        <v>0</v>
      </c>
      <c r="M58" s="133">
        <f t="shared" si="8"/>
        <v>0</v>
      </c>
      <c r="N58" s="134">
        <v>0</v>
      </c>
      <c r="O58" s="139" t="str">
        <f t="shared" si="9"/>
        <v>n/a</v>
      </c>
      <c r="P58" s="132">
        <f t="shared" si="10"/>
        <v>0</v>
      </c>
      <c r="Q58" s="137">
        <f t="shared" si="11"/>
        <v>0</v>
      </c>
      <c r="R58" s="140"/>
    </row>
    <row r="59" spans="1:19" s="8" customFormat="1" ht="28.5" x14ac:dyDescent="0.2">
      <c r="A59" s="462" t="s">
        <v>220</v>
      </c>
      <c r="B59" s="463"/>
      <c r="C59" s="463"/>
      <c r="D59" s="463"/>
      <c r="E59" s="463"/>
      <c r="F59" s="463"/>
      <c r="G59" s="463"/>
      <c r="H59" s="463"/>
      <c r="I59" s="463"/>
      <c r="J59" s="463"/>
      <c r="K59" s="463"/>
      <c r="L59" s="463"/>
      <c r="M59" s="463"/>
      <c r="N59" s="463"/>
      <c r="O59" s="463"/>
      <c r="P59" s="463"/>
      <c r="Q59" s="463"/>
      <c r="R59" s="464"/>
    </row>
    <row r="60" spans="1:19" s="9" customFormat="1" ht="186" x14ac:dyDescent="0.2">
      <c r="A60" s="81">
        <v>31</v>
      </c>
      <c r="B60" s="81" t="s">
        <v>4</v>
      </c>
      <c r="C60" s="127" t="s">
        <v>49</v>
      </c>
      <c r="D60" s="84" t="s">
        <v>127</v>
      </c>
      <c r="E60" s="132">
        <v>176471763</v>
      </c>
      <c r="F60" s="132"/>
      <c r="G60" s="132">
        <v>30007856</v>
      </c>
      <c r="H60" s="132">
        <v>11926141.999999985</v>
      </c>
      <c r="I60" s="136">
        <v>0.75</v>
      </c>
      <c r="J60" s="132">
        <v>23822768.326140631</v>
      </c>
      <c r="K60" s="122">
        <f t="shared" si="6"/>
        <v>0.79388438568022424</v>
      </c>
      <c r="L60" s="132">
        <f t="shared" si="7"/>
        <v>1316876.326140631</v>
      </c>
      <c r="M60" s="133">
        <f t="shared" si="8"/>
        <v>4317661.9261406288</v>
      </c>
      <c r="N60" s="134">
        <v>25997180.548235297</v>
      </c>
      <c r="O60" s="131">
        <f t="shared" si="9"/>
        <v>0.86634581784967568</v>
      </c>
      <c r="P60" s="132">
        <f t="shared" si="10"/>
        <v>3491288.5482352972</v>
      </c>
      <c r="Q60" s="137">
        <f t="shared" si="11"/>
        <v>6492074.148235295</v>
      </c>
      <c r="R60" s="141" t="s">
        <v>215</v>
      </c>
    </row>
    <row r="61" spans="1:19" s="9" customFormat="1" ht="232.5" x14ac:dyDescent="0.2">
      <c r="A61" s="89">
        <v>30</v>
      </c>
      <c r="B61" s="89" t="s">
        <v>4</v>
      </c>
      <c r="C61" s="124" t="s">
        <v>50</v>
      </c>
      <c r="D61" s="91" t="s">
        <v>127</v>
      </c>
      <c r="E61" s="132">
        <v>115127027</v>
      </c>
      <c r="F61" s="132"/>
      <c r="G61" s="132">
        <v>25903583</v>
      </c>
      <c r="H61" s="132">
        <v>3192016</v>
      </c>
      <c r="I61" s="92">
        <v>0.75</v>
      </c>
      <c r="J61" s="132">
        <v>6527212.6521794489</v>
      </c>
      <c r="K61" s="93">
        <f t="shared" si="6"/>
        <v>0.25198107351324522</v>
      </c>
      <c r="L61" s="132">
        <f t="shared" si="7"/>
        <v>-12900474.59782055</v>
      </c>
      <c r="M61" s="133">
        <f t="shared" si="8"/>
        <v>-10310116.297820549</v>
      </c>
      <c r="N61" s="134">
        <v>9232241.7605813965</v>
      </c>
      <c r="O61" s="73">
        <f t="shared" si="9"/>
        <v>0.35640790544618467</v>
      </c>
      <c r="P61" s="132">
        <f t="shared" si="10"/>
        <v>-10195445.489418603</v>
      </c>
      <c r="Q61" s="137">
        <f t="shared" si="11"/>
        <v>-7605087.1894186027</v>
      </c>
      <c r="R61" s="117" t="s">
        <v>216</v>
      </c>
    </row>
    <row r="62" spans="1:19" s="8" customFormat="1" ht="116.25" x14ac:dyDescent="0.2">
      <c r="A62" s="89">
        <v>33</v>
      </c>
      <c r="B62" s="89" t="s">
        <v>4</v>
      </c>
      <c r="C62" s="157" t="s">
        <v>51</v>
      </c>
      <c r="D62" s="158" t="s">
        <v>129</v>
      </c>
      <c r="E62" s="159">
        <v>55289876.350825503</v>
      </c>
      <c r="F62" s="159"/>
      <c r="G62" s="159">
        <v>14773486</v>
      </c>
      <c r="H62" s="159">
        <v>1914863.8170615549</v>
      </c>
      <c r="I62" s="160">
        <v>0.75</v>
      </c>
      <c r="J62" s="159">
        <v>13266638.755259741</v>
      </c>
      <c r="K62" s="160">
        <f t="shared" si="6"/>
        <v>0.89800327121572665</v>
      </c>
      <c r="L62" s="159">
        <f t="shared" si="7"/>
        <v>2186524.2552597411</v>
      </c>
      <c r="M62" s="161">
        <f t="shared" si="8"/>
        <v>3663872.8552597407</v>
      </c>
      <c r="N62" s="162">
        <v>17560965.690749999</v>
      </c>
      <c r="O62" s="160">
        <f t="shared" si="9"/>
        <v>1.1886812422437061</v>
      </c>
      <c r="P62" s="159">
        <f t="shared" si="10"/>
        <v>6480851.1907499991</v>
      </c>
      <c r="Q62" s="163">
        <f t="shared" si="11"/>
        <v>7958199.7907499988</v>
      </c>
      <c r="R62" s="164" t="s">
        <v>228</v>
      </c>
    </row>
    <row r="63" spans="1:19" s="8" customFormat="1" ht="93" collapsed="1" x14ac:dyDescent="0.2">
      <c r="A63" s="96">
        <v>32</v>
      </c>
      <c r="B63" s="96" t="s">
        <v>4</v>
      </c>
      <c r="C63" s="165" t="s">
        <v>195</v>
      </c>
      <c r="D63" s="166" t="s">
        <v>128</v>
      </c>
      <c r="E63" s="159">
        <v>8344235</v>
      </c>
      <c r="F63" s="159"/>
      <c r="G63" s="159">
        <v>3490000</v>
      </c>
      <c r="H63" s="159">
        <v>432614.80372968857</v>
      </c>
      <c r="I63" s="167">
        <v>0.75</v>
      </c>
      <c r="J63" s="159">
        <v>3195894.5497114393</v>
      </c>
      <c r="K63" s="167">
        <f t="shared" si="6"/>
        <v>0.91572909733852126</v>
      </c>
      <c r="L63" s="159">
        <f t="shared" si="7"/>
        <v>578394.54971143929</v>
      </c>
      <c r="M63" s="161">
        <f t="shared" si="8"/>
        <v>927394.54971143929</v>
      </c>
      <c r="N63" s="162">
        <v>3195894.5497114393</v>
      </c>
      <c r="O63" s="167">
        <f t="shared" si="9"/>
        <v>0.91572909733852126</v>
      </c>
      <c r="P63" s="159">
        <f t="shared" si="10"/>
        <v>578394.54971143929</v>
      </c>
      <c r="Q63" s="163">
        <f t="shared" si="11"/>
        <v>927394.54971143929</v>
      </c>
      <c r="R63" s="168" t="s">
        <v>229</v>
      </c>
    </row>
    <row r="64" spans="1:19" s="8" customFormat="1" ht="28.5" hidden="1" outlineLevel="1" x14ac:dyDescent="0.2">
      <c r="A64" s="462" t="s">
        <v>204</v>
      </c>
      <c r="B64" s="463"/>
      <c r="C64" s="463"/>
      <c r="D64" s="463"/>
      <c r="E64" s="463"/>
      <c r="F64" s="463"/>
      <c r="G64" s="463"/>
      <c r="H64" s="463"/>
      <c r="I64" s="463"/>
      <c r="J64" s="463"/>
      <c r="K64" s="463"/>
      <c r="L64" s="463"/>
      <c r="M64" s="463"/>
      <c r="N64" s="463"/>
      <c r="O64" s="463"/>
      <c r="P64" s="463"/>
      <c r="Q64" s="463"/>
      <c r="R64" s="464"/>
    </row>
    <row r="65" spans="1:19" s="8" customFormat="1" ht="93" hidden="1" outlineLevel="1" x14ac:dyDescent="0.2">
      <c r="A65" s="81">
        <v>37</v>
      </c>
      <c r="B65" s="81" t="s">
        <v>4</v>
      </c>
      <c r="C65" s="83" t="s">
        <v>48</v>
      </c>
      <c r="D65" s="84" t="s">
        <v>132</v>
      </c>
      <c r="E65" s="132">
        <v>85830850</v>
      </c>
      <c r="F65" s="132"/>
      <c r="G65" s="132">
        <v>5745006</v>
      </c>
      <c r="H65" s="132">
        <v>2015156</v>
      </c>
      <c r="I65" s="136">
        <v>0.75</v>
      </c>
      <c r="J65" s="132">
        <v>16356255.518666668</v>
      </c>
      <c r="K65" s="131">
        <f t="shared" si="6"/>
        <v>2.8470388923295586</v>
      </c>
      <c r="L65" s="132">
        <f t="shared" si="7"/>
        <v>12047501.018666668</v>
      </c>
      <c r="M65" s="133">
        <f t="shared" si="8"/>
        <v>12622001.618666667</v>
      </c>
      <c r="N65" s="134">
        <v>16400568.464666668</v>
      </c>
      <c r="O65" s="131">
        <f t="shared" si="9"/>
        <v>2.8547521908013094</v>
      </c>
      <c r="P65" s="132">
        <f t="shared" si="10"/>
        <v>12091813.964666668</v>
      </c>
      <c r="Q65" s="137">
        <f t="shared" si="11"/>
        <v>12666314.564666668</v>
      </c>
      <c r="R65" s="141"/>
    </row>
    <row r="66" spans="1:19" s="8" customFormat="1" ht="162.75" hidden="1" outlineLevel="1" x14ac:dyDescent="0.2">
      <c r="A66" s="89">
        <v>34</v>
      </c>
      <c r="B66" s="89" t="s">
        <v>4</v>
      </c>
      <c r="C66" s="124" t="s">
        <v>52</v>
      </c>
      <c r="D66" s="91" t="s">
        <v>132</v>
      </c>
      <c r="E66" s="132">
        <v>150000673</v>
      </c>
      <c r="F66" s="132"/>
      <c r="G66" s="132">
        <v>9387264</v>
      </c>
      <c r="H66" s="132">
        <v>3290568</v>
      </c>
      <c r="I66" s="92">
        <v>0.75</v>
      </c>
      <c r="J66" s="132">
        <v>4786313.7377728578</v>
      </c>
      <c r="K66" s="93">
        <f t="shared" si="6"/>
        <v>0.50987313638700882</v>
      </c>
      <c r="L66" s="132">
        <f t="shared" si="7"/>
        <v>-2254134.2622271422</v>
      </c>
      <c r="M66" s="133">
        <f t="shared" si="8"/>
        <v>-1315407.8622271428</v>
      </c>
      <c r="N66" s="134">
        <v>4780406.6463749995</v>
      </c>
      <c r="O66" s="73">
        <f t="shared" si="9"/>
        <v>0.50924386981925718</v>
      </c>
      <c r="P66" s="132">
        <f t="shared" si="10"/>
        <v>-2260041.3536250005</v>
      </c>
      <c r="Q66" s="137">
        <f t="shared" si="11"/>
        <v>-1321314.953625001</v>
      </c>
      <c r="R66" s="117" t="s">
        <v>224</v>
      </c>
    </row>
    <row r="67" spans="1:19" s="8" customFormat="1" ht="46.5" hidden="1" outlineLevel="1" x14ac:dyDescent="0.2">
      <c r="A67" s="89">
        <v>35</v>
      </c>
      <c r="B67" s="89" t="s">
        <v>4</v>
      </c>
      <c r="C67" s="127" t="s">
        <v>53</v>
      </c>
      <c r="D67" s="91" t="s">
        <v>133</v>
      </c>
      <c r="E67" s="132">
        <v>112941177</v>
      </c>
      <c r="F67" s="132"/>
      <c r="G67" s="132">
        <v>16545781</v>
      </c>
      <c r="H67" s="132">
        <v>5939202.9987374237</v>
      </c>
      <c r="I67" s="92">
        <v>0.75</v>
      </c>
      <c r="J67" s="132">
        <v>12524823.517533641</v>
      </c>
      <c r="K67" s="114">
        <f t="shared" si="6"/>
        <v>0.75697989218723738</v>
      </c>
      <c r="L67" s="132">
        <f t="shared" si="7"/>
        <v>115487.76753364131</v>
      </c>
      <c r="M67" s="133">
        <f t="shared" si="8"/>
        <v>1770065.8675336409</v>
      </c>
      <c r="N67" s="134">
        <v>12524823.517533641</v>
      </c>
      <c r="O67" s="73">
        <f t="shared" si="9"/>
        <v>0.75697989218723738</v>
      </c>
      <c r="P67" s="132">
        <f t="shared" si="10"/>
        <v>115487.76753364131</v>
      </c>
      <c r="Q67" s="137">
        <f t="shared" si="11"/>
        <v>1770065.8675336409</v>
      </c>
      <c r="R67" s="117"/>
    </row>
    <row r="68" spans="1:19" s="8" customFormat="1" ht="46.5" hidden="1" outlineLevel="1" x14ac:dyDescent="0.2">
      <c r="A68" s="96">
        <v>36</v>
      </c>
      <c r="B68" s="96" t="s">
        <v>4</v>
      </c>
      <c r="C68" s="98" t="s">
        <v>54</v>
      </c>
      <c r="D68" s="99" t="s">
        <v>133</v>
      </c>
      <c r="E68" s="132">
        <v>14725610</v>
      </c>
      <c r="F68" s="132"/>
      <c r="G68" s="132">
        <v>0</v>
      </c>
      <c r="H68" s="132">
        <v>774371.10458438157</v>
      </c>
      <c r="I68" s="138">
        <v>0.75</v>
      </c>
      <c r="J68" s="132">
        <v>2678889.5423061452</v>
      </c>
      <c r="K68" s="139" t="str">
        <f t="shared" si="6"/>
        <v>n/a</v>
      </c>
      <c r="L68" s="132">
        <f t="shared" si="7"/>
        <v>2678889.5423061452</v>
      </c>
      <c r="M68" s="133">
        <f t="shared" si="8"/>
        <v>2678889.5423061452</v>
      </c>
      <c r="N68" s="134">
        <v>2678889.5423061452</v>
      </c>
      <c r="O68" s="139" t="str">
        <f t="shared" si="9"/>
        <v>n/a</v>
      </c>
      <c r="P68" s="132">
        <f t="shared" si="10"/>
        <v>2678889.5423061452</v>
      </c>
      <c r="Q68" s="137">
        <f t="shared" si="11"/>
        <v>2678889.5423061452</v>
      </c>
      <c r="R68" s="140"/>
    </row>
    <row r="69" spans="1:19" s="8" customFormat="1" ht="28.5" hidden="1" outlineLevel="1" x14ac:dyDescent="0.2">
      <c r="A69" s="462" t="s">
        <v>205</v>
      </c>
      <c r="B69" s="463"/>
      <c r="C69" s="463"/>
      <c r="D69" s="463"/>
      <c r="E69" s="463"/>
      <c r="F69" s="463"/>
      <c r="G69" s="463"/>
      <c r="H69" s="463"/>
      <c r="I69" s="463"/>
      <c r="J69" s="463"/>
      <c r="K69" s="463"/>
      <c r="L69" s="463"/>
      <c r="M69" s="463"/>
      <c r="N69" s="463"/>
      <c r="O69" s="463"/>
      <c r="P69" s="463"/>
      <c r="Q69" s="463"/>
      <c r="R69" s="464"/>
    </row>
    <row r="70" spans="1:19" s="8" customFormat="1" ht="93" hidden="1" outlineLevel="1" x14ac:dyDescent="0.2">
      <c r="A70" s="81">
        <v>40</v>
      </c>
      <c r="B70" s="81" t="s">
        <v>5</v>
      </c>
      <c r="C70" s="125" t="s">
        <v>55</v>
      </c>
      <c r="D70" s="84" t="s">
        <v>129</v>
      </c>
      <c r="E70" s="132">
        <v>34044477</v>
      </c>
      <c r="F70" s="132"/>
      <c r="G70" s="132">
        <v>6056264</v>
      </c>
      <c r="H70" s="132">
        <v>2679997</v>
      </c>
      <c r="I70" s="136">
        <v>0.75</v>
      </c>
      <c r="J70" s="132">
        <v>3843786.4666241561</v>
      </c>
      <c r="K70" s="113">
        <f t="shared" si="6"/>
        <v>0.63467947675731373</v>
      </c>
      <c r="L70" s="132">
        <f t="shared" si="7"/>
        <v>-698411.53337584389</v>
      </c>
      <c r="M70" s="133">
        <f t="shared" si="8"/>
        <v>-92785.133375843987</v>
      </c>
      <c r="N70" s="134">
        <v>5199394.7899999991</v>
      </c>
      <c r="O70" s="131">
        <f t="shared" si="9"/>
        <v>0.85851521499062777</v>
      </c>
      <c r="P70" s="132">
        <f t="shared" si="10"/>
        <v>657196.78999999911</v>
      </c>
      <c r="Q70" s="137">
        <f t="shared" si="11"/>
        <v>1262823.189999999</v>
      </c>
      <c r="R70" s="141" t="s">
        <v>199</v>
      </c>
    </row>
    <row r="71" spans="1:19" s="8" customFormat="1" ht="69.75" hidden="1" outlineLevel="1" x14ac:dyDescent="0.2">
      <c r="A71" s="89">
        <v>39</v>
      </c>
      <c r="B71" s="89" t="s">
        <v>5</v>
      </c>
      <c r="C71" s="71" t="s">
        <v>56</v>
      </c>
      <c r="D71" s="91" t="s">
        <v>134</v>
      </c>
      <c r="E71" s="132">
        <v>43390019</v>
      </c>
      <c r="F71" s="132"/>
      <c r="G71" s="132">
        <v>15186507</v>
      </c>
      <c r="H71" s="132">
        <v>2249596.9460619083</v>
      </c>
      <c r="I71" s="92">
        <v>0.75</v>
      </c>
      <c r="J71" s="132">
        <v>12753471.115398772</v>
      </c>
      <c r="K71" s="73">
        <f t="shared" si="6"/>
        <v>0.83978963137466511</v>
      </c>
      <c r="L71" s="132">
        <f t="shared" si="7"/>
        <v>1363590.8653987721</v>
      </c>
      <c r="M71" s="133">
        <f t="shared" si="8"/>
        <v>2882241.5653987713</v>
      </c>
      <c r="N71" s="134">
        <v>12753471.115398772</v>
      </c>
      <c r="O71" s="73">
        <f t="shared" si="9"/>
        <v>0.83978963137466511</v>
      </c>
      <c r="P71" s="132">
        <f t="shared" si="10"/>
        <v>1363590.8653987721</v>
      </c>
      <c r="Q71" s="137">
        <f t="shared" si="11"/>
        <v>2882241.5653987713</v>
      </c>
      <c r="R71" s="117"/>
    </row>
    <row r="72" spans="1:19" s="8" customFormat="1" ht="93" hidden="1" outlineLevel="1" x14ac:dyDescent="0.2">
      <c r="A72" s="89">
        <v>42</v>
      </c>
      <c r="B72" s="89" t="s">
        <v>5</v>
      </c>
      <c r="C72" s="71" t="s">
        <v>61</v>
      </c>
      <c r="D72" s="91" t="s">
        <v>129</v>
      </c>
      <c r="E72" s="132">
        <v>4000000</v>
      </c>
      <c r="F72" s="132"/>
      <c r="G72" s="132">
        <v>1964706</v>
      </c>
      <c r="H72" s="132">
        <v>0</v>
      </c>
      <c r="I72" s="92">
        <v>0.75</v>
      </c>
      <c r="J72" s="132">
        <v>3038341.7759999996</v>
      </c>
      <c r="K72" s="73">
        <f t="shared" si="6"/>
        <v>1.5464612903915393</v>
      </c>
      <c r="L72" s="132">
        <f t="shared" si="7"/>
        <v>1564812.2759999996</v>
      </c>
      <c r="M72" s="133">
        <f t="shared" si="8"/>
        <v>1761282.8759999995</v>
      </c>
      <c r="N72" s="134">
        <v>3455579.3201176468</v>
      </c>
      <c r="O72" s="73">
        <f t="shared" si="9"/>
        <v>1.758827692345647</v>
      </c>
      <c r="P72" s="132">
        <f t="shared" si="10"/>
        <v>1982049.8201176468</v>
      </c>
      <c r="Q72" s="137">
        <f t="shared" si="11"/>
        <v>2178520.4201176465</v>
      </c>
      <c r="R72" s="117"/>
    </row>
    <row r="73" spans="1:19" s="8" customFormat="1" ht="69.75" hidden="1" outlineLevel="1" x14ac:dyDescent="0.2">
      <c r="A73" s="89">
        <v>43</v>
      </c>
      <c r="B73" s="89" t="s">
        <v>5</v>
      </c>
      <c r="C73" s="71" t="s">
        <v>65</v>
      </c>
      <c r="D73" s="91" t="s">
        <v>136</v>
      </c>
      <c r="E73" s="132">
        <v>70717732.736073375</v>
      </c>
      <c r="F73" s="132"/>
      <c r="G73" s="132">
        <v>8041664.4461944811</v>
      </c>
      <c r="H73" s="132">
        <v>2146457</v>
      </c>
      <c r="I73" s="92">
        <v>0.75</v>
      </c>
      <c r="J73" s="132">
        <v>6472157.2951087113</v>
      </c>
      <c r="K73" s="73">
        <f t="shared" si="6"/>
        <v>0.80482807239880538</v>
      </c>
      <c r="L73" s="132">
        <f t="shared" si="7"/>
        <v>440908.96046285052</v>
      </c>
      <c r="M73" s="133">
        <f t="shared" si="8"/>
        <v>1245075.4050822984</v>
      </c>
      <c r="N73" s="134">
        <v>6472157.2951087113</v>
      </c>
      <c r="O73" s="73">
        <f t="shared" si="9"/>
        <v>0.80482807239880538</v>
      </c>
      <c r="P73" s="132">
        <f t="shared" si="10"/>
        <v>440908.96046285052</v>
      </c>
      <c r="Q73" s="137">
        <f t="shared" si="11"/>
        <v>1245075.4050822984</v>
      </c>
      <c r="R73" s="117"/>
      <c r="S73" s="10"/>
    </row>
    <row r="74" spans="1:19" s="8" customFormat="1" ht="46.5" hidden="1" outlineLevel="1" x14ac:dyDescent="0.2">
      <c r="A74" s="89">
        <v>38</v>
      </c>
      <c r="B74" s="89" t="s">
        <v>5</v>
      </c>
      <c r="C74" s="71" t="s">
        <v>66</v>
      </c>
      <c r="D74" s="91" t="s">
        <v>136</v>
      </c>
      <c r="E74" s="132">
        <v>94567990</v>
      </c>
      <c r="F74" s="132"/>
      <c r="G74" s="132">
        <v>18913598</v>
      </c>
      <c r="H74" s="132">
        <v>4902967.6857516551</v>
      </c>
      <c r="I74" s="92">
        <v>0.75</v>
      </c>
      <c r="J74" s="132">
        <v>15533479.261327803</v>
      </c>
      <c r="K74" s="73">
        <f t="shared" si="6"/>
        <v>0.82128631798813756</v>
      </c>
      <c r="L74" s="132">
        <f t="shared" si="7"/>
        <v>1348280.7613278031</v>
      </c>
      <c r="M74" s="133">
        <f t="shared" si="8"/>
        <v>3239640.561327802</v>
      </c>
      <c r="N74" s="134">
        <v>15533479.261327803</v>
      </c>
      <c r="O74" s="73">
        <f t="shared" si="9"/>
        <v>0.82128631798813756</v>
      </c>
      <c r="P74" s="132">
        <f t="shared" si="10"/>
        <v>1348280.7613278031</v>
      </c>
      <c r="Q74" s="137">
        <f t="shared" si="11"/>
        <v>3239640.561327802</v>
      </c>
      <c r="R74" s="117"/>
    </row>
    <row r="75" spans="1:19" s="8" customFormat="1" ht="84.75" hidden="1" customHeight="1" outlineLevel="1" x14ac:dyDescent="0.2">
      <c r="A75" s="89">
        <v>44</v>
      </c>
      <c r="B75" s="89" t="s">
        <v>5</v>
      </c>
      <c r="C75" s="124" t="s">
        <v>67</v>
      </c>
      <c r="D75" s="91" t="s">
        <v>129</v>
      </c>
      <c r="E75" s="132">
        <v>282004866.82961953</v>
      </c>
      <c r="F75" s="132"/>
      <c r="G75" s="132">
        <v>56868726.553805523</v>
      </c>
      <c r="H75" s="132">
        <v>14426860.076131295</v>
      </c>
      <c r="I75" s="92">
        <v>0.75</v>
      </c>
      <c r="J75" s="132">
        <v>33113230.378358386</v>
      </c>
      <c r="K75" s="93">
        <f t="shared" si="6"/>
        <v>0.58227487030202418</v>
      </c>
      <c r="L75" s="132">
        <f t="shared" si="7"/>
        <v>-9538314.5369957536</v>
      </c>
      <c r="M75" s="133">
        <f t="shared" si="8"/>
        <v>-3851441.8816152066</v>
      </c>
      <c r="N75" s="134">
        <v>46111432.174099363</v>
      </c>
      <c r="O75" s="73">
        <f t="shared" si="9"/>
        <v>0.81083989335459616</v>
      </c>
      <c r="P75" s="132">
        <f t="shared" si="10"/>
        <v>3459887.2587452233</v>
      </c>
      <c r="Q75" s="137">
        <f t="shared" si="11"/>
        <v>9146759.9141257703</v>
      </c>
      <c r="R75" s="117" t="s">
        <v>202</v>
      </c>
      <c r="S75" s="10"/>
    </row>
    <row r="76" spans="1:19" s="8" customFormat="1" ht="69.75" hidden="1" outlineLevel="1" x14ac:dyDescent="0.2">
      <c r="A76" s="96">
        <v>41</v>
      </c>
      <c r="B76" s="96" t="s">
        <v>5</v>
      </c>
      <c r="C76" s="98" t="s">
        <v>68</v>
      </c>
      <c r="D76" s="99" t="s">
        <v>129</v>
      </c>
      <c r="E76" s="132">
        <v>29257750</v>
      </c>
      <c r="F76" s="132"/>
      <c r="G76" s="132">
        <v>2926000</v>
      </c>
      <c r="H76" s="132">
        <v>0</v>
      </c>
      <c r="I76" s="138">
        <v>0.75</v>
      </c>
      <c r="J76" s="132">
        <v>8061440.5294117648</v>
      </c>
      <c r="K76" s="139">
        <f t="shared" si="6"/>
        <v>2.7551061276185114</v>
      </c>
      <c r="L76" s="132">
        <f t="shared" si="7"/>
        <v>5866940.5294117648</v>
      </c>
      <c r="M76" s="133">
        <f t="shared" si="8"/>
        <v>6159540.5294117648</v>
      </c>
      <c r="N76" s="134">
        <v>8061440.5294117648</v>
      </c>
      <c r="O76" s="139">
        <f t="shared" si="9"/>
        <v>2.7551061276185114</v>
      </c>
      <c r="P76" s="132">
        <f t="shared" si="10"/>
        <v>5866940.5294117648</v>
      </c>
      <c r="Q76" s="137">
        <f t="shared" si="11"/>
        <v>6159540.5294117648</v>
      </c>
      <c r="R76" s="140"/>
    </row>
    <row r="77" spans="1:19" s="8" customFormat="1" ht="28.5" hidden="1" outlineLevel="1" x14ac:dyDescent="0.2">
      <c r="A77" s="462" t="s">
        <v>206</v>
      </c>
      <c r="B77" s="463"/>
      <c r="C77" s="463"/>
      <c r="D77" s="463"/>
      <c r="E77" s="463"/>
      <c r="F77" s="463"/>
      <c r="G77" s="463"/>
      <c r="H77" s="463"/>
      <c r="I77" s="463"/>
      <c r="J77" s="463"/>
      <c r="K77" s="463"/>
      <c r="L77" s="463"/>
      <c r="M77" s="463"/>
      <c r="N77" s="463"/>
      <c r="O77" s="463"/>
      <c r="P77" s="463"/>
      <c r="Q77" s="463"/>
      <c r="R77" s="464"/>
    </row>
    <row r="78" spans="1:19" s="8" customFormat="1" ht="69.75" hidden="1" outlineLevel="1" x14ac:dyDescent="0.2">
      <c r="A78" s="81">
        <v>49</v>
      </c>
      <c r="B78" s="81" t="s">
        <v>5</v>
      </c>
      <c r="C78" s="83" t="s">
        <v>57</v>
      </c>
      <c r="D78" s="84" t="s">
        <v>135</v>
      </c>
      <c r="E78" s="132">
        <v>423470</v>
      </c>
      <c r="F78" s="132"/>
      <c r="G78" s="132">
        <v>0</v>
      </c>
      <c r="H78" s="132">
        <v>338911.19150268601</v>
      </c>
      <c r="I78" s="136">
        <v>0.85</v>
      </c>
      <c r="J78" s="132">
        <v>329019.75609756092</v>
      </c>
      <c r="K78" s="131" t="str">
        <f t="shared" si="6"/>
        <v>n/a</v>
      </c>
      <c r="L78" s="132">
        <f t="shared" si="7"/>
        <v>329019.75609756092</v>
      </c>
      <c r="M78" s="133">
        <f t="shared" si="8"/>
        <v>329019.75609756092</v>
      </c>
      <c r="N78" s="134">
        <v>329019.75609756092</v>
      </c>
      <c r="O78" s="131" t="str">
        <f t="shared" si="9"/>
        <v>n/a</v>
      </c>
      <c r="P78" s="132">
        <f t="shared" si="10"/>
        <v>329019.75609756092</v>
      </c>
      <c r="Q78" s="137">
        <f t="shared" si="11"/>
        <v>329019.75609756092</v>
      </c>
      <c r="R78" s="141"/>
    </row>
    <row r="79" spans="1:19" s="27" customFormat="1" ht="69.75" hidden="1" outlineLevel="1" x14ac:dyDescent="0.2">
      <c r="A79" s="89">
        <v>46</v>
      </c>
      <c r="B79" s="89" t="s">
        <v>5</v>
      </c>
      <c r="C79" s="124" t="s">
        <v>58</v>
      </c>
      <c r="D79" s="91" t="s">
        <v>135</v>
      </c>
      <c r="E79" s="132">
        <v>54484011</v>
      </c>
      <c r="F79" s="132"/>
      <c r="G79" s="132">
        <v>4863794</v>
      </c>
      <c r="H79" s="132">
        <v>1642779</v>
      </c>
      <c r="I79" s="92">
        <v>0.85</v>
      </c>
      <c r="J79" s="132">
        <v>694431.70245207334</v>
      </c>
      <c r="K79" s="93">
        <f t="shared" si="6"/>
        <v>0.14277572250224277</v>
      </c>
      <c r="L79" s="132">
        <f t="shared" si="7"/>
        <v>-3439793.1975479266</v>
      </c>
      <c r="M79" s="133">
        <f t="shared" si="8"/>
        <v>-2467034.3975479268</v>
      </c>
      <c r="N79" s="134">
        <v>2704822.6897758869</v>
      </c>
      <c r="O79" s="73">
        <f t="shared" si="9"/>
        <v>0.55611374366921928</v>
      </c>
      <c r="P79" s="132">
        <f t="shared" si="10"/>
        <v>-1429402.210224113</v>
      </c>
      <c r="Q79" s="137">
        <f t="shared" si="11"/>
        <v>-456643.41022411315</v>
      </c>
      <c r="R79" s="117" t="s">
        <v>200</v>
      </c>
      <c r="S79" s="33"/>
    </row>
    <row r="80" spans="1:19" s="8" customFormat="1" ht="69.75" hidden="1" outlineLevel="1" x14ac:dyDescent="0.2">
      <c r="A80" s="89">
        <v>47</v>
      </c>
      <c r="B80" s="89" t="s">
        <v>5</v>
      </c>
      <c r="C80" s="71" t="s">
        <v>59</v>
      </c>
      <c r="D80" s="91" t="s">
        <v>135</v>
      </c>
      <c r="E80" s="132">
        <v>10804999</v>
      </c>
      <c r="F80" s="132"/>
      <c r="G80" s="132">
        <v>0</v>
      </c>
      <c r="H80" s="132">
        <v>0</v>
      </c>
      <c r="I80" s="92">
        <v>0.85</v>
      </c>
      <c r="J80" s="132">
        <v>0</v>
      </c>
      <c r="K80" s="73" t="str">
        <f t="shared" si="6"/>
        <v>n/a</v>
      </c>
      <c r="L80" s="132">
        <f t="shared" si="7"/>
        <v>0</v>
      </c>
      <c r="M80" s="133">
        <f t="shared" si="8"/>
        <v>0</v>
      </c>
      <c r="N80" s="134">
        <v>0</v>
      </c>
      <c r="O80" s="73" t="str">
        <f t="shared" si="9"/>
        <v>n/a</v>
      </c>
      <c r="P80" s="132">
        <f t="shared" si="10"/>
        <v>0</v>
      </c>
      <c r="Q80" s="137">
        <f t="shared" si="11"/>
        <v>0</v>
      </c>
      <c r="R80" s="117"/>
    </row>
    <row r="81" spans="1:18" s="8" customFormat="1" ht="69.75" hidden="1" outlineLevel="1" x14ac:dyDescent="0.2">
      <c r="A81" s="89">
        <v>45</v>
      </c>
      <c r="B81" s="89" t="s">
        <v>5</v>
      </c>
      <c r="C81" s="124" t="s">
        <v>60</v>
      </c>
      <c r="D81" s="91" t="s">
        <v>135</v>
      </c>
      <c r="E81" s="132">
        <v>139698189</v>
      </c>
      <c r="F81" s="132"/>
      <c r="G81" s="132">
        <v>37227701</v>
      </c>
      <c r="H81" s="132">
        <v>0</v>
      </c>
      <c r="I81" s="92">
        <v>0.85</v>
      </c>
      <c r="J81" s="132">
        <v>20194348.517350201</v>
      </c>
      <c r="K81" s="93">
        <f t="shared" si="6"/>
        <v>0.54245489178475459</v>
      </c>
      <c r="L81" s="132">
        <f t="shared" si="7"/>
        <v>-11449197.332649797</v>
      </c>
      <c r="M81" s="133">
        <f t="shared" si="8"/>
        <v>-4003657.1326498017</v>
      </c>
      <c r="N81" s="134">
        <v>33735045.214275628</v>
      </c>
      <c r="O81" s="73">
        <f t="shared" si="9"/>
        <v>0.90618126578043667</v>
      </c>
      <c r="P81" s="132">
        <f t="shared" si="10"/>
        <v>2091499.3642756306</v>
      </c>
      <c r="Q81" s="137">
        <f t="shared" si="11"/>
        <v>9537039.5642756261</v>
      </c>
      <c r="R81" s="117" t="s">
        <v>201</v>
      </c>
    </row>
    <row r="82" spans="1:18" s="8" customFormat="1" ht="69.75" hidden="1" outlineLevel="1" x14ac:dyDescent="0.2">
      <c r="A82" s="89">
        <v>50</v>
      </c>
      <c r="B82" s="89" t="s">
        <v>5</v>
      </c>
      <c r="C82" s="71" t="s">
        <v>62</v>
      </c>
      <c r="D82" s="91" t="s">
        <v>135</v>
      </c>
      <c r="E82" s="132">
        <v>9500000</v>
      </c>
      <c r="F82" s="132"/>
      <c r="G82" s="132">
        <v>2422500</v>
      </c>
      <c r="H82" s="132">
        <v>0</v>
      </c>
      <c r="I82" s="92">
        <v>0.85</v>
      </c>
      <c r="J82" s="132">
        <v>3641944.8588235294</v>
      </c>
      <c r="K82" s="73">
        <f t="shared" si="6"/>
        <v>1.5033828106598677</v>
      </c>
      <c r="L82" s="132">
        <f t="shared" si="7"/>
        <v>1582819.8588235294</v>
      </c>
      <c r="M82" s="133">
        <f t="shared" si="8"/>
        <v>2067319.8588235294</v>
      </c>
      <c r="N82" s="134">
        <v>4131688.5294117648</v>
      </c>
      <c r="O82" s="73">
        <f t="shared" si="9"/>
        <v>1.705547380562132</v>
      </c>
      <c r="P82" s="132">
        <f t="shared" si="10"/>
        <v>2072563.5294117648</v>
      </c>
      <c r="Q82" s="137">
        <f t="shared" si="11"/>
        <v>2557063.5294117648</v>
      </c>
      <c r="R82" s="117"/>
    </row>
    <row r="83" spans="1:18" s="8" customFormat="1" ht="69.75" hidden="1" outlineLevel="1" x14ac:dyDescent="0.2">
      <c r="A83" s="89">
        <v>51</v>
      </c>
      <c r="B83" s="89" t="s">
        <v>5</v>
      </c>
      <c r="C83" s="71" t="s">
        <v>63</v>
      </c>
      <c r="D83" s="91" t="s">
        <v>135</v>
      </c>
      <c r="E83" s="132">
        <v>16643483</v>
      </c>
      <c r="F83" s="132"/>
      <c r="G83" s="132">
        <v>1499033</v>
      </c>
      <c r="H83" s="132">
        <v>2289729</v>
      </c>
      <c r="I83" s="92">
        <v>0.85</v>
      </c>
      <c r="J83" s="132">
        <v>3461503.1757514379</v>
      </c>
      <c r="K83" s="73">
        <f t="shared" si="6"/>
        <v>2.3091574206514718</v>
      </c>
      <c r="L83" s="132">
        <f t="shared" si="7"/>
        <v>2187325.1257514376</v>
      </c>
      <c r="M83" s="133">
        <f t="shared" si="8"/>
        <v>2487131.7257514377</v>
      </c>
      <c r="N83" s="134">
        <v>5185508.5382352956</v>
      </c>
      <c r="O83" s="73">
        <f t="shared" si="9"/>
        <v>3.4592357461345387</v>
      </c>
      <c r="P83" s="132">
        <f t="shared" si="10"/>
        <v>3911330.4882352958</v>
      </c>
      <c r="Q83" s="137">
        <f t="shared" si="11"/>
        <v>4211137.0882352954</v>
      </c>
      <c r="R83" s="117"/>
    </row>
    <row r="84" spans="1:18" s="8" customFormat="1" ht="69.75" hidden="1" outlineLevel="1" x14ac:dyDescent="0.2">
      <c r="A84" s="96">
        <v>48</v>
      </c>
      <c r="B84" s="96" t="s">
        <v>5</v>
      </c>
      <c r="C84" s="98" t="s">
        <v>64</v>
      </c>
      <c r="D84" s="99" t="s">
        <v>135</v>
      </c>
      <c r="E84" s="132">
        <v>9212619</v>
      </c>
      <c r="F84" s="132"/>
      <c r="G84" s="132">
        <v>0</v>
      </c>
      <c r="H84" s="132">
        <v>7830726</v>
      </c>
      <c r="I84" s="138">
        <v>0.85</v>
      </c>
      <c r="J84" s="132">
        <v>0</v>
      </c>
      <c r="K84" s="139" t="str">
        <f t="shared" si="6"/>
        <v>n/a</v>
      </c>
      <c r="L84" s="132">
        <f t="shared" si="7"/>
        <v>0</v>
      </c>
      <c r="M84" s="133">
        <f t="shared" si="8"/>
        <v>0</v>
      </c>
      <c r="N84" s="134">
        <v>0</v>
      </c>
      <c r="O84" s="139" t="str">
        <f t="shared" si="9"/>
        <v>n/a</v>
      </c>
      <c r="P84" s="132">
        <f t="shared" si="10"/>
        <v>0</v>
      </c>
      <c r="Q84" s="137">
        <f t="shared" si="11"/>
        <v>0</v>
      </c>
      <c r="R84" s="140"/>
    </row>
    <row r="85" spans="1:18" s="8" customFormat="1" ht="28.5" hidden="1" outlineLevel="1" x14ac:dyDescent="0.2">
      <c r="A85" s="462" t="s">
        <v>207</v>
      </c>
      <c r="B85" s="463"/>
      <c r="C85" s="463"/>
      <c r="D85" s="463"/>
      <c r="E85" s="463"/>
      <c r="F85" s="463"/>
      <c r="G85" s="463"/>
      <c r="H85" s="463"/>
      <c r="I85" s="463"/>
      <c r="J85" s="463"/>
      <c r="K85" s="463"/>
      <c r="L85" s="463"/>
      <c r="M85" s="463"/>
      <c r="N85" s="463"/>
      <c r="O85" s="463"/>
      <c r="P85" s="463"/>
      <c r="Q85" s="463"/>
      <c r="R85" s="464"/>
    </row>
    <row r="86" spans="1:18" s="8" customFormat="1" ht="46.5" hidden="1" outlineLevel="1" x14ac:dyDescent="0.2">
      <c r="A86" s="105">
        <v>52</v>
      </c>
      <c r="B86" s="105" t="s">
        <v>7</v>
      </c>
      <c r="C86" s="106" t="s">
        <v>78</v>
      </c>
      <c r="D86" s="107" t="s">
        <v>128</v>
      </c>
      <c r="E86" s="132">
        <v>277032428</v>
      </c>
      <c r="F86" s="108"/>
      <c r="G86" s="132">
        <v>72852630</v>
      </c>
      <c r="H86" s="132">
        <v>14363011</v>
      </c>
      <c r="I86" s="135">
        <v>0.75</v>
      </c>
      <c r="J86" s="132">
        <v>178628249.03039232</v>
      </c>
      <c r="K86" s="130">
        <f t="shared" si="6"/>
        <v>2.4519121551327978</v>
      </c>
      <c r="L86" s="132">
        <f t="shared" si="7"/>
        <v>123988776.53039232</v>
      </c>
      <c r="M86" s="133">
        <f t="shared" si="8"/>
        <v>131274039.53039232</v>
      </c>
      <c r="N86" s="134">
        <v>178628249.03039232</v>
      </c>
      <c r="O86" s="130">
        <f t="shared" si="9"/>
        <v>2.4519121551327978</v>
      </c>
      <c r="P86" s="132">
        <f t="shared" si="10"/>
        <v>123988776.53039232</v>
      </c>
      <c r="Q86" s="137">
        <f t="shared" si="11"/>
        <v>131274039.53039232</v>
      </c>
      <c r="R86" s="142"/>
    </row>
    <row r="87" spans="1:18" s="8" customFormat="1" ht="28.5" hidden="1" outlineLevel="1" x14ac:dyDescent="0.2">
      <c r="A87" s="462" t="s">
        <v>208</v>
      </c>
      <c r="B87" s="463"/>
      <c r="C87" s="463"/>
      <c r="D87" s="463"/>
      <c r="E87" s="463"/>
      <c r="F87" s="463"/>
      <c r="G87" s="463"/>
      <c r="H87" s="463"/>
      <c r="I87" s="463"/>
      <c r="J87" s="463"/>
      <c r="K87" s="463"/>
      <c r="L87" s="463"/>
      <c r="M87" s="463"/>
      <c r="N87" s="463"/>
      <c r="O87" s="463"/>
      <c r="P87" s="463"/>
      <c r="Q87" s="463"/>
      <c r="R87" s="464"/>
    </row>
    <row r="88" spans="1:18" s="8" customFormat="1" ht="46.5" hidden="1" outlineLevel="1" x14ac:dyDescent="0.2">
      <c r="A88" s="81">
        <v>55</v>
      </c>
      <c r="B88" s="81" t="s">
        <v>7</v>
      </c>
      <c r="C88" s="83" t="s">
        <v>69</v>
      </c>
      <c r="D88" s="84" t="s">
        <v>133</v>
      </c>
      <c r="E88" s="132">
        <v>105073678</v>
      </c>
      <c r="F88" s="108"/>
      <c r="G88" s="132">
        <v>33802200</v>
      </c>
      <c r="H88" s="132">
        <v>5525477.0040577287</v>
      </c>
      <c r="I88" s="136">
        <v>0.75</v>
      </c>
      <c r="J88" s="132">
        <v>36110052.568545118</v>
      </c>
      <c r="K88" s="131">
        <f t="shared" si="6"/>
        <v>1.0682752178421853</v>
      </c>
      <c r="L88" s="132">
        <f t="shared" si="7"/>
        <v>10758402.568545118</v>
      </c>
      <c r="M88" s="133">
        <f t="shared" si="8"/>
        <v>14138622.568545118</v>
      </c>
      <c r="N88" s="134">
        <v>36110052.568545118</v>
      </c>
      <c r="O88" s="131">
        <f t="shared" si="9"/>
        <v>1.0682752178421853</v>
      </c>
      <c r="P88" s="132">
        <f t="shared" si="10"/>
        <v>10758402.568545118</v>
      </c>
      <c r="Q88" s="137">
        <f t="shared" si="11"/>
        <v>14138622.568545118</v>
      </c>
      <c r="R88" s="141"/>
    </row>
    <row r="89" spans="1:18" s="8" customFormat="1" ht="69.75" hidden="1" outlineLevel="1" x14ac:dyDescent="0.2">
      <c r="A89" s="89">
        <v>58</v>
      </c>
      <c r="B89" s="89" t="s">
        <v>7</v>
      </c>
      <c r="C89" s="124" t="s">
        <v>70</v>
      </c>
      <c r="D89" s="91" t="s">
        <v>133</v>
      </c>
      <c r="E89" s="132">
        <v>23049010</v>
      </c>
      <c r="F89" s="108"/>
      <c r="G89" s="132">
        <v>2000000</v>
      </c>
      <c r="H89" s="132">
        <v>710524.46285737387</v>
      </c>
      <c r="I89" s="92">
        <v>0.75</v>
      </c>
      <c r="J89" s="132">
        <v>783218.71645782038</v>
      </c>
      <c r="K89" s="93">
        <f t="shared" si="6"/>
        <v>0.39160935822891019</v>
      </c>
      <c r="L89" s="132">
        <f t="shared" si="7"/>
        <v>-716781.28354217962</v>
      </c>
      <c r="M89" s="133">
        <f t="shared" si="8"/>
        <v>-516781.28354217962</v>
      </c>
      <c r="N89" s="134">
        <v>783218.71645782038</v>
      </c>
      <c r="O89" s="73">
        <f t="shared" si="9"/>
        <v>0.39160935822891019</v>
      </c>
      <c r="P89" s="132">
        <f t="shared" si="10"/>
        <v>-716781.28354217962</v>
      </c>
      <c r="Q89" s="137">
        <f t="shared" si="11"/>
        <v>-516781.28354217962</v>
      </c>
      <c r="R89" s="117"/>
    </row>
    <row r="90" spans="1:18" s="8" customFormat="1" ht="69.75" hidden="1" outlineLevel="1" x14ac:dyDescent="0.2">
      <c r="A90" s="89">
        <v>56</v>
      </c>
      <c r="B90" s="89" t="s">
        <v>7</v>
      </c>
      <c r="C90" s="124" t="s">
        <v>71</v>
      </c>
      <c r="D90" s="91" t="s">
        <v>133</v>
      </c>
      <c r="E90" s="132">
        <v>88364076</v>
      </c>
      <c r="F90" s="108"/>
      <c r="G90" s="132">
        <v>24085192</v>
      </c>
      <c r="H90" s="132">
        <v>4646774.3627410103</v>
      </c>
      <c r="I90" s="92">
        <v>0.75</v>
      </c>
      <c r="J90" s="132">
        <v>13091305.648107221</v>
      </c>
      <c r="K90" s="93">
        <f t="shared" si="6"/>
        <v>0.54354167689870281</v>
      </c>
      <c r="L90" s="132">
        <f t="shared" si="7"/>
        <v>-4972588.3518927786</v>
      </c>
      <c r="M90" s="133">
        <f t="shared" si="8"/>
        <v>-2564069.1518927794</v>
      </c>
      <c r="N90" s="134">
        <v>13091305.648107221</v>
      </c>
      <c r="O90" s="73">
        <f t="shared" si="9"/>
        <v>0.54354167689870281</v>
      </c>
      <c r="P90" s="132">
        <f t="shared" si="10"/>
        <v>-4972588.3518927786</v>
      </c>
      <c r="Q90" s="137">
        <f t="shared" si="11"/>
        <v>-2564069.1518927794</v>
      </c>
      <c r="R90" s="117"/>
    </row>
    <row r="91" spans="1:18" s="8" customFormat="1" ht="69.75" hidden="1" outlineLevel="1" x14ac:dyDescent="0.2">
      <c r="A91" s="89">
        <v>59</v>
      </c>
      <c r="B91" s="89" t="s">
        <v>7</v>
      </c>
      <c r="C91" s="71" t="s">
        <v>72</v>
      </c>
      <c r="D91" s="91" t="s">
        <v>133</v>
      </c>
      <c r="E91" s="132">
        <v>8345106</v>
      </c>
      <c r="F91" s="108"/>
      <c r="G91" s="132">
        <v>0</v>
      </c>
      <c r="H91" s="132">
        <v>438842</v>
      </c>
      <c r="I91" s="92">
        <v>0.75</v>
      </c>
      <c r="J91" s="132">
        <v>0</v>
      </c>
      <c r="K91" s="73" t="str">
        <f t="shared" si="6"/>
        <v>n/a</v>
      </c>
      <c r="L91" s="132">
        <f t="shared" si="7"/>
        <v>0</v>
      </c>
      <c r="M91" s="133">
        <f t="shared" si="8"/>
        <v>0</v>
      </c>
      <c r="N91" s="134">
        <v>0</v>
      </c>
      <c r="O91" s="73" t="str">
        <f t="shared" si="9"/>
        <v>n/a</v>
      </c>
      <c r="P91" s="132">
        <f t="shared" si="10"/>
        <v>0</v>
      </c>
      <c r="Q91" s="137">
        <f t="shared" si="11"/>
        <v>0</v>
      </c>
      <c r="R91" s="117"/>
    </row>
    <row r="92" spans="1:18" s="8" customFormat="1" ht="93" hidden="1" outlineLevel="1" x14ac:dyDescent="0.2">
      <c r="A92" s="89">
        <v>57</v>
      </c>
      <c r="B92" s="89" t="s">
        <v>7</v>
      </c>
      <c r="C92" s="124" t="s">
        <v>73</v>
      </c>
      <c r="D92" s="91" t="s">
        <v>133</v>
      </c>
      <c r="E92" s="132">
        <v>28235294</v>
      </c>
      <c r="F92" s="108"/>
      <c r="G92" s="132">
        <v>5170932</v>
      </c>
      <c r="H92" s="132">
        <v>1484802.3639075528</v>
      </c>
      <c r="I92" s="92">
        <v>0.75</v>
      </c>
      <c r="J92" s="132">
        <v>0</v>
      </c>
      <c r="K92" s="93">
        <f t="shared" ref="K92:K155" si="12">IFERROR(J92/G92,"n/a")</f>
        <v>0</v>
      </c>
      <c r="L92" s="132">
        <f t="shared" ref="L92:L155" si="13">IFERROR(J92-(G92*I92),"n/a")</f>
        <v>-3878199</v>
      </c>
      <c r="M92" s="133">
        <f t="shared" ref="M92:M155" si="14">IFERROR(J92-(G92*0.65),"n/a")</f>
        <v>-3361105.8000000003</v>
      </c>
      <c r="N92" s="134">
        <v>0</v>
      </c>
      <c r="O92" s="73">
        <f t="shared" ref="O92:O155" si="15">IFERROR(N92/G92,"n/a")</f>
        <v>0</v>
      </c>
      <c r="P92" s="132">
        <f t="shared" ref="P92:P155" si="16">N92-(G92*I92)</f>
        <v>-3878199</v>
      </c>
      <c r="Q92" s="137">
        <f t="shared" ref="Q92:Q155" si="17">N92-(G92*0.65)</f>
        <v>-3361105.8000000003</v>
      </c>
      <c r="R92" s="117"/>
    </row>
    <row r="93" spans="1:18" s="8" customFormat="1" ht="69.75" hidden="1" outlineLevel="1" x14ac:dyDescent="0.2">
      <c r="A93" s="89">
        <v>60</v>
      </c>
      <c r="B93" s="89" t="s">
        <v>7</v>
      </c>
      <c r="C93" s="71" t="s">
        <v>74</v>
      </c>
      <c r="D93" s="91" t="s">
        <v>133</v>
      </c>
      <c r="E93" s="132">
        <v>51570514</v>
      </c>
      <c r="F93" s="108"/>
      <c r="G93" s="132">
        <v>6554146</v>
      </c>
      <c r="H93" s="132">
        <v>2778862.1693609911</v>
      </c>
      <c r="I93" s="92">
        <v>0.75</v>
      </c>
      <c r="J93" s="132">
        <v>11022281.462211628</v>
      </c>
      <c r="K93" s="73">
        <f t="shared" si="12"/>
        <v>1.6817265685280169</v>
      </c>
      <c r="L93" s="132">
        <f t="shared" si="13"/>
        <v>6106671.9622116275</v>
      </c>
      <c r="M93" s="133">
        <f t="shared" si="14"/>
        <v>6762086.5622116271</v>
      </c>
      <c r="N93" s="134">
        <v>11022281.462211628</v>
      </c>
      <c r="O93" s="73">
        <f t="shared" si="15"/>
        <v>1.6817265685280169</v>
      </c>
      <c r="P93" s="132">
        <f t="shared" si="16"/>
        <v>6106671.9622116275</v>
      </c>
      <c r="Q93" s="137">
        <f t="shared" si="17"/>
        <v>6762086.5622116271</v>
      </c>
      <c r="R93" s="117"/>
    </row>
    <row r="94" spans="1:18" s="8" customFormat="1" ht="46.5" hidden="1" outlineLevel="1" x14ac:dyDescent="0.2">
      <c r="A94" s="89">
        <v>61</v>
      </c>
      <c r="B94" s="89" t="s">
        <v>7</v>
      </c>
      <c r="C94" s="71" t="s">
        <v>75</v>
      </c>
      <c r="D94" s="91" t="s">
        <v>133</v>
      </c>
      <c r="E94" s="132">
        <v>256999769</v>
      </c>
      <c r="F94" s="108"/>
      <c r="G94" s="132">
        <v>197688520</v>
      </c>
      <c r="H94" s="132">
        <v>13514767.514866358</v>
      </c>
      <c r="I94" s="92">
        <v>0.75</v>
      </c>
      <c r="J94" s="132">
        <v>211350105.4524042</v>
      </c>
      <c r="K94" s="73">
        <f t="shared" si="12"/>
        <v>1.0691066201133186</v>
      </c>
      <c r="L94" s="132">
        <f t="shared" si="13"/>
        <v>63083715.452404201</v>
      </c>
      <c r="M94" s="133">
        <f t="shared" si="14"/>
        <v>82852567.452404201</v>
      </c>
      <c r="N94" s="134">
        <v>211350105.4524042</v>
      </c>
      <c r="O94" s="73">
        <f t="shared" si="15"/>
        <v>1.0691066201133186</v>
      </c>
      <c r="P94" s="132">
        <f t="shared" si="16"/>
        <v>63083715.452404201</v>
      </c>
      <c r="Q94" s="137">
        <f t="shared" si="17"/>
        <v>82852567.452404201</v>
      </c>
      <c r="R94" s="117"/>
    </row>
    <row r="95" spans="1:18" s="8" customFormat="1" ht="46.5" hidden="1" outlineLevel="1" x14ac:dyDescent="0.2">
      <c r="A95" s="89">
        <v>53</v>
      </c>
      <c r="B95" s="89" t="s">
        <v>7</v>
      </c>
      <c r="C95" s="71" t="s">
        <v>76</v>
      </c>
      <c r="D95" s="91" t="s">
        <v>133</v>
      </c>
      <c r="E95" s="132">
        <v>407810998</v>
      </c>
      <c r="F95" s="108"/>
      <c r="G95" s="132">
        <v>0</v>
      </c>
      <c r="H95" s="132">
        <v>28082986</v>
      </c>
      <c r="I95" s="92">
        <v>0.75</v>
      </c>
      <c r="J95" s="132">
        <v>0</v>
      </c>
      <c r="K95" s="73" t="str">
        <f t="shared" si="12"/>
        <v>n/a</v>
      </c>
      <c r="L95" s="132">
        <f t="shared" si="13"/>
        <v>0</v>
      </c>
      <c r="M95" s="133">
        <f t="shared" si="14"/>
        <v>0</v>
      </c>
      <c r="N95" s="134">
        <v>0</v>
      </c>
      <c r="O95" s="73" t="str">
        <f t="shared" si="15"/>
        <v>n/a</v>
      </c>
      <c r="P95" s="132">
        <f t="shared" si="16"/>
        <v>0</v>
      </c>
      <c r="Q95" s="137">
        <f t="shared" si="17"/>
        <v>0</v>
      </c>
      <c r="R95" s="117"/>
    </row>
    <row r="96" spans="1:18" s="8" customFormat="1" ht="46.5" hidden="1" outlineLevel="1" x14ac:dyDescent="0.2">
      <c r="A96" s="96">
        <v>54</v>
      </c>
      <c r="B96" s="96" t="s">
        <v>7</v>
      </c>
      <c r="C96" s="98" t="s">
        <v>77</v>
      </c>
      <c r="D96" s="99" t="s">
        <v>133</v>
      </c>
      <c r="E96" s="132">
        <v>126221198</v>
      </c>
      <c r="F96" s="108"/>
      <c r="G96" s="132">
        <v>36847633</v>
      </c>
      <c r="H96" s="132">
        <v>0</v>
      </c>
      <c r="I96" s="138">
        <v>0.75</v>
      </c>
      <c r="J96" s="132">
        <v>0</v>
      </c>
      <c r="K96" s="139">
        <f t="shared" si="12"/>
        <v>0</v>
      </c>
      <c r="L96" s="132">
        <f t="shared" si="13"/>
        <v>-27635724.75</v>
      </c>
      <c r="M96" s="133">
        <f t="shared" si="14"/>
        <v>-23950961.449999999</v>
      </c>
      <c r="N96" s="134">
        <v>0</v>
      </c>
      <c r="O96" s="139">
        <f t="shared" si="15"/>
        <v>0</v>
      </c>
      <c r="P96" s="132">
        <f t="shared" si="16"/>
        <v>-27635724.75</v>
      </c>
      <c r="Q96" s="137">
        <f t="shared" si="17"/>
        <v>-23950961.449999999</v>
      </c>
      <c r="R96" s="140"/>
    </row>
    <row r="97" spans="1:19" s="8" customFormat="1" ht="28.5" hidden="1" outlineLevel="1" x14ac:dyDescent="0.2">
      <c r="A97" s="462" t="s">
        <v>209</v>
      </c>
      <c r="B97" s="463"/>
      <c r="C97" s="463"/>
      <c r="D97" s="463"/>
      <c r="E97" s="463"/>
      <c r="F97" s="463"/>
      <c r="G97" s="463"/>
      <c r="H97" s="463"/>
      <c r="I97" s="463"/>
      <c r="J97" s="463"/>
      <c r="K97" s="463"/>
      <c r="L97" s="463"/>
      <c r="M97" s="463"/>
      <c r="N97" s="463"/>
      <c r="O97" s="463"/>
      <c r="P97" s="463"/>
      <c r="Q97" s="463"/>
      <c r="R97" s="464"/>
    </row>
    <row r="98" spans="1:19" s="8" customFormat="1" ht="69.75" hidden="1" outlineLevel="1" x14ac:dyDescent="0.35">
      <c r="A98" s="81">
        <v>69</v>
      </c>
      <c r="B98" s="81" t="s">
        <v>8</v>
      </c>
      <c r="C98" s="83" t="s">
        <v>79</v>
      </c>
      <c r="D98" s="84" t="s">
        <v>137</v>
      </c>
      <c r="E98" s="132">
        <v>96428049</v>
      </c>
      <c r="F98" s="108"/>
      <c r="G98" s="132">
        <v>35925577.217863351</v>
      </c>
      <c r="H98" s="132">
        <v>4203913</v>
      </c>
      <c r="I98" s="136">
        <v>0.85</v>
      </c>
      <c r="J98" s="132">
        <v>48280572.688763045</v>
      </c>
      <c r="K98" s="131">
        <f t="shared" si="12"/>
        <v>1.3439052738380608</v>
      </c>
      <c r="L98" s="132">
        <f t="shared" si="13"/>
        <v>17743832.053579196</v>
      </c>
      <c r="M98" s="133">
        <f t="shared" si="14"/>
        <v>24928947.497151867</v>
      </c>
      <c r="N98" s="134">
        <v>48280572.688763045</v>
      </c>
      <c r="O98" s="131">
        <f t="shared" si="15"/>
        <v>1.3439052738380608</v>
      </c>
      <c r="P98" s="132">
        <f t="shared" si="16"/>
        <v>17743832.053579196</v>
      </c>
      <c r="Q98" s="137">
        <f t="shared" si="17"/>
        <v>24928947.497151867</v>
      </c>
      <c r="R98" s="141"/>
      <c r="S98" s="34"/>
    </row>
    <row r="99" spans="1:19" s="8" customFormat="1" ht="46.5" hidden="1" outlineLevel="1" x14ac:dyDescent="0.35">
      <c r="A99" s="89">
        <v>67</v>
      </c>
      <c r="B99" s="89" t="s">
        <v>8</v>
      </c>
      <c r="C99" s="71" t="s">
        <v>80</v>
      </c>
      <c r="D99" s="91" t="s">
        <v>137</v>
      </c>
      <c r="E99" s="132">
        <v>591250</v>
      </c>
      <c r="F99" s="108"/>
      <c r="G99" s="132">
        <v>239911.32122226211</v>
      </c>
      <c r="H99" s="132">
        <v>0</v>
      </c>
      <c r="I99" s="92">
        <v>0.85</v>
      </c>
      <c r="J99" s="132">
        <v>314536.37175612157</v>
      </c>
      <c r="K99" s="73">
        <f t="shared" si="12"/>
        <v>1.3110526429251925</v>
      </c>
      <c r="L99" s="132">
        <f t="shared" si="13"/>
        <v>110611.74871719879</v>
      </c>
      <c r="M99" s="133">
        <f t="shared" si="14"/>
        <v>158594.0129616512</v>
      </c>
      <c r="N99" s="134">
        <v>314536.37175612157</v>
      </c>
      <c r="O99" s="73">
        <f t="shared" si="15"/>
        <v>1.3110526429251925</v>
      </c>
      <c r="P99" s="132">
        <f t="shared" si="16"/>
        <v>110611.74871719879</v>
      </c>
      <c r="Q99" s="137">
        <f t="shared" si="17"/>
        <v>158594.0129616512</v>
      </c>
      <c r="R99" s="117"/>
      <c r="S99" s="34"/>
    </row>
    <row r="100" spans="1:19" s="8" customFormat="1" ht="93" hidden="1" outlineLevel="1" x14ac:dyDescent="0.35">
      <c r="A100" s="89">
        <v>68</v>
      </c>
      <c r="B100" s="89" t="s">
        <v>8</v>
      </c>
      <c r="C100" s="71" t="s">
        <v>81</v>
      </c>
      <c r="D100" s="91" t="s">
        <v>137</v>
      </c>
      <c r="E100" s="132">
        <v>1400770</v>
      </c>
      <c r="F100" s="108"/>
      <c r="G100" s="132">
        <v>605638.94254677766</v>
      </c>
      <c r="H100" s="132">
        <v>0</v>
      </c>
      <c r="I100" s="92">
        <v>0.85</v>
      </c>
      <c r="J100" s="132">
        <v>958596.65627322765</v>
      </c>
      <c r="K100" s="73">
        <f t="shared" si="12"/>
        <v>1.5827856977661052</v>
      </c>
      <c r="L100" s="132">
        <f t="shared" si="13"/>
        <v>443803.55510846665</v>
      </c>
      <c r="M100" s="133">
        <f t="shared" si="14"/>
        <v>564931.34361782216</v>
      </c>
      <c r="N100" s="134">
        <v>958596.65627322765</v>
      </c>
      <c r="O100" s="73">
        <f t="shared" si="15"/>
        <v>1.5827856977661052</v>
      </c>
      <c r="P100" s="132">
        <f t="shared" si="16"/>
        <v>443803.55510846665</v>
      </c>
      <c r="Q100" s="137">
        <f t="shared" si="17"/>
        <v>564931.34361782216</v>
      </c>
      <c r="R100" s="117"/>
      <c r="S100" s="34"/>
    </row>
    <row r="101" spans="1:19" s="8" customFormat="1" ht="116.25" hidden="1" outlineLevel="1" x14ac:dyDescent="0.35">
      <c r="A101" s="89">
        <v>65</v>
      </c>
      <c r="B101" s="89"/>
      <c r="C101" s="71" t="s">
        <v>164</v>
      </c>
      <c r="D101" s="91" t="s">
        <v>137</v>
      </c>
      <c r="E101" s="132">
        <v>208000</v>
      </c>
      <c r="F101" s="108"/>
      <c r="G101" s="132">
        <v>194218.59541997206</v>
      </c>
      <c r="H101" s="132">
        <v>0</v>
      </c>
      <c r="I101" s="92">
        <v>0.85</v>
      </c>
      <c r="J101" s="132">
        <v>183549.90588235305</v>
      </c>
      <c r="K101" s="73">
        <f t="shared" si="12"/>
        <v>0.94506865053498412</v>
      </c>
      <c r="L101" s="132">
        <f t="shared" si="13"/>
        <v>18464.099775376817</v>
      </c>
      <c r="M101" s="133">
        <f t="shared" si="14"/>
        <v>57307.818859371211</v>
      </c>
      <c r="N101" s="134">
        <v>183549.90588235305</v>
      </c>
      <c r="O101" s="73">
        <f t="shared" si="15"/>
        <v>0.94506865053498412</v>
      </c>
      <c r="P101" s="132">
        <f t="shared" si="16"/>
        <v>18464.099775376817</v>
      </c>
      <c r="Q101" s="137">
        <f t="shared" si="17"/>
        <v>57307.818859371211</v>
      </c>
      <c r="R101" s="117"/>
      <c r="S101" s="34"/>
    </row>
    <row r="102" spans="1:19" s="8" customFormat="1" ht="93" hidden="1" outlineLevel="1" x14ac:dyDescent="0.35">
      <c r="A102" s="89">
        <v>64</v>
      </c>
      <c r="B102" s="89"/>
      <c r="C102" s="71" t="s">
        <v>165</v>
      </c>
      <c r="D102" s="91" t="s">
        <v>137</v>
      </c>
      <c r="E102" s="132">
        <v>6812578</v>
      </c>
      <c r="F102" s="108"/>
      <c r="G102" s="132">
        <v>6361198.7036009729</v>
      </c>
      <c r="H102" s="132">
        <v>0</v>
      </c>
      <c r="I102" s="92">
        <v>0.85</v>
      </c>
      <c r="J102" s="132">
        <v>6681946.7579382313</v>
      </c>
      <c r="K102" s="73">
        <f t="shared" si="12"/>
        <v>1.0504225805987932</v>
      </c>
      <c r="L102" s="132">
        <f t="shared" si="13"/>
        <v>1274927.8598774048</v>
      </c>
      <c r="M102" s="133">
        <f t="shared" si="14"/>
        <v>2547167.6005975986</v>
      </c>
      <c r="N102" s="134">
        <v>6681946.7579382313</v>
      </c>
      <c r="O102" s="73">
        <f t="shared" si="15"/>
        <v>1.0504225805987932</v>
      </c>
      <c r="P102" s="132">
        <f t="shared" si="16"/>
        <v>1274927.8598774048</v>
      </c>
      <c r="Q102" s="137">
        <f t="shared" si="17"/>
        <v>2547167.6005975986</v>
      </c>
      <c r="R102" s="117"/>
      <c r="S102" s="34"/>
    </row>
    <row r="103" spans="1:19" s="8" customFormat="1" ht="116.25" hidden="1" outlineLevel="1" x14ac:dyDescent="0.35">
      <c r="A103" s="89">
        <v>66</v>
      </c>
      <c r="B103" s="89" t="s">
        <v>8</v>
      </c>
      <c r="C103" s="71" t="s">
        <v>82</v>
      </c>
      <c r="D103" s="91" t="s">
        <v>137</v>
      </c>
      <c r="E103" s="132">
        <v>3258896</v>
      </c>
      <c r="F103" s="108"/>
      <c r="G103" s="132">
        <v>0</v>
      </c>
      <c r="H103" s="132">
        <v>2770061</v>
      </c>
      <c r="I103" s="92">
        <v>0.85</v>
      </c>
      <c r="J103" s="132">
        <v>0</v>
      </c>
      <c r="K103" s="73" t="str">
        <f t="shared" si="12"/>
        <v>n/a</v>
      </c>
      <c r="L103" s="132">
        <f t="shared" si="13"/>
        <v>0</v>
      </c>
      <c r="M103" s="133">
        <f t="shared" si="14"/>
        <v>0</v>
      </c>
      <c r="N103" s="134">
        <v>0</v>
      </c>
      <c r="O103" s="73" t="str">
        <f t="shared" si="15"/>
        <v>n/a</v>
      </c>
      <c r="P103" s="132">
        <f t="shared" si="16"/>
        <v>0</v>
      </c>
      <c r="Q103" s="137">
        <f t="shared" si="17"/>
        <v>0</v>
      </c>
      <c r="R103" s="117"/>
      <c r="S103" s="34"/>
    </row>
    <row r="104" spans="1:19" s="8" customFormat="1" ht="69.75" hidden="1" outlineLevel="1" x14ac:dyDescent="0.35">
      <c r="A104" s="89">
        <v>63</v>
      </c>
      <c r="B104" s="89" t="s">
        <v>8</v>
      </c>
      <c r="C104" s="124" t="s">
        <v>83</v>
      </c>
      <c r="D104" s="91" t="s">
        <v>137</v>
      </c>
      <c r="E104" s="132">
        <v>12643472</v>
      </c>
      <c r="F104" s="108"/>
      <c r="G104" s="132">
        <v>2975050.7158188513</v>
      </c>
      <c r="H104" s="132">
        <v>0</v>
      </c>
      <c r="I104" s="92">
        <v>0.85</v>
      </c>
      <c r="J104" s="132">
        <v>827854.46246513643</v>
      </c>
      <c r="K104" s="93">
        <f t="shared" si="12"/>
        <v>0.27826566386357493</v>
      </c>
      <c r="L104" s="132">
        <f t="shared" si="13"/>
        <v>-1700938.6459808871</v>
      </c>
      <c r="M104" s="133">
        <f t="shared" si="14"/>
        <v>-1105928.5028171171</v>
      </c>
      <c r="N104" s="134">
        <v>827854.46246513643</v>
      </c>
      <c r="O104" s="73">
        <f t="shared" si="15"/>
        <v>0.27826566386357493</v>
      </c>
      <c r="P104" s="132">
        <f t="shared" si="16"/>
        <v>-1700938.6459808871</v>
      </c>
      <c r="Q104" s="137">
        <f t="shared" si="17"/>
        <v>-1105928.5028171171</v>
      </c>
      <c r="R104" s="117"/>
      <c r="S104" s="34"/>
    </row>
    <row r="105" spans="1:19" s="8" customFormat="1" ht="116.25" hidden="1" outlineLevel="1" x14ac:dyDescent="0.35">
      <c r="A105" s="96">
        <v>62</v>
      </c>
      <c r="B105" s="96" t="s">
        <v>8</v>
      </c>
      <c r="C105" s="126" t="s">
        <v>84</v>
      </c>
      <c r="D105" s="99" t="s">
        <v>137</v>
      </c>
      <c r="E105" s="132">
        <v>10596211</v>
      </c>
      <c r="F105" s="108"/>
      <c r="G105" s="132">
        <v>3075098.5035278117</v>
      </c>
      <c r="H105" s="132">
        <v>0</v>
      </c>
      <c r="I105" s="138">
        <v>0.85</v>
      </c>
      <c r="J105" s="132">
        <v>584874.26978681388</v>
      </c>
      <c r="K105" s="123">
        <f t="shared" si="12"/>
        <v>0.19019692185984771</v>
      </c>
      <c r="L105" s="132">
        <f t="shared" si="13"/>
        <v>-2028959.4582118262</v>
      </c>
      <c r="M105" s="133">
        <f t="shared" si="14"/>
        <v>-1413939.7575062639</v>
      </c>
      <c r="N105" s="134">
        <v>584874.26978681388</v>
      </c>
      <c r="O105" s="139">
        <f t="shared" si="15"/>
        <v>0.19019692185984771</v>
      </c>
      <c r="P105" s="132">
        <f t="shared" si="16"/>
        <v>-2028959.4582118262</v>
      </c>
      <c r="Q105" s="137">
        <f t="shared" si="17"/>
        <v>-1413939.7575062639</v>
      </c>
      <c r="R105" s="140"/>
      <c r="S105" s="34"/>
    </row>
    <row r="106" spans="1:19" s="8" customFormat="1" ht="28.5" hidden="1" outlineLevel="1" x14ac:dyDescent="0.2">
      <c r="A106" s="462" t="s">
        <v>210</v>
      </c>
      <c r="B106" s="463"/>
      <c r="C106" s="463"/>
      <c r="D106" s="463"/>
      <c r="E106" s="463"/>
      <c r="F106" s="463"/>
      <c r="G106" s="463"/>
      <c r="H106" s="463"/>
      <c r="I106" s="463"/>
      <c r="J106" s="463"/>
      <c r="K106" s="463"/>
      <c r="L106" s="463"/>
      <c r="M106" s="463"/>
      <c r="N106" s="463"/>
      <c r="O106" s="463"/>
      <c r="P106" s="463"/>
      <c r="Q106" s="463"/>
      <c r="R106" s="464"/>
    </row>
    <row r="107" spans="1:19" s="8" customFormat="1" ht="116.25" hidden="1" outlineLevel="1" x14ac:dyDescent="0.35">
      <c r="A107" s="81">
        <v>71</v>
      </c>
      <c r="B107" s="81" t="s">
        <v>8</v>
      </c>
      <c r="C107" s="83" t="s">
        <v>166</v>
      </c>
      <c r="D107" s="84" t="s">
        <v>138</v>
      </c>
      <c r="E107" s="132">
        <v>33769162</v>
      </c>
      <c r="F107" s="108"/>
      <c r="G107" s="132">
        <v>26050171.876714714</v>
      </c>
      <c r="H107" s="132">
        <v>0</v>
      </c>
      <c r="I107" s="136">
        <v>0.85</v>
      </c>
      <c r="J107" s="132">
        <v>32354522.463863201</v>
      </c>
      <c r="K107" s="131">
        <f t="shared" si="12"/>
        <v>1.2420080227103496</v>
      </c>
      <c r="L107" s="132">
        <f t="shared" si="13"/>
        <v>10211876.368655697</v>
      </c>
      <c r="M107" s="133">
        <f t="shared" si="14"/>
        <v>15421910.743998636</v>
      </c>
      <c r="N107" s="134">
        <v>32354522.463863201</v>
      </c>
      <c r="O107" s="131">
        <f t="shared" si="15"/>
        <v>1.2420080227103496</v>
      </c>
      <c r="P107" s="132">
        <f t="shared" si="16"/>
        <v>10211876.368655697</v>
      </c>
      <c r="Q107" s="137">
        <f t="shared" si="17"/>
        <v>15421910.743998636</v>
      </c>
      <c r="R107" s="141"/>
      <c r="S107" s="36"/>
    </row>
    <row r="108" spans="1:19" s="8" customFormat="1" ht="93" hidden="1" outlineLevel="1" x14ac:dyDescent="0.2">
      <c r="A108" s="96">
        <v>70</v>
      </c>
      <c r="B108" s="96" t="s">
        <v>8</v>
      </c>
      <c r="C108" s="98" t="s">
        <v>167</v>
      </c>
      <c r="D108" s="99" t="s">
        <v>138</v>
      </c>
      <c r="E108" s="132">
        <v>29371641</v>
      </c>
      <c r="F108" s="108"/>
      <c r="G108" s="132">
        <v>22657840.123285286</v>
      </c>
      <c r="H108" s="132">
        <v>0</v>
      </c>
      <c r="I108" s="138">
        <v>0.85</v>
      </c>
      <c r="J108" s="132">
        <v>22720511.668769386</v>
      </c>
      <c r="K108" s="139">
        <f t="shared" si="12"/>
        <v>1.0027659982215027</v>
      </c>
      <c r="L108" s="132">
        <f t="shared" si="13"/>
        <v>3461347.5639768913</v>
      </c>
      <c r="M108" s="133">
        <f t="shared" si="14"/>
        <v>7992915.5886339489</v>
      </c>
      <c r="N108" s="134">
        <v>22720511.668769386</v>
      </c>
      <c r="O108" s="139">
        <f t="shared" si="15"/>
        <v>1.0027659982215027</v>
      </c>
      <c r="P108" s="132">
        <f t="shared" si="16"/>
        <v>3461347.5639768913</v>
      </c>
      <c r="Q108" s="137">
        <f t="shared" si="17"/>
        <v>7992915.5886339489</v>
      </c>
      <c r="R108" s="140"/>
    </row>
    <row r="109" spans="1:19" s="8" customFormat="1" ht="28.5" hidden="1" outlineLevel="1" x14ac:dyDescent="0.2">
      <c r="A109" s="462" t="s">
        <v>211</v>
      </c>
      <c r="B109" s="463"/>
      <c r="C109" s="463"/>
      <c r="D109" s="463"/>
      <c r="E109" s="463"/>
      <c r="F109" s="463"/>
      <c r="G109" s="463"/>
      <c r="H109" s="463"/>
      <c r="I109" s="463"/>
      <c r="J109" s="463"/>
      <c r="K109" s="463"/>
      <c r="L109" s="463"/>
      <c r="M109" s="463"/>
      <c r="N109" s="463"/>
      <c r="O109" s="463"/>
      <c r="P109" s="463"/>
      <c r="Q109" s="463"/>
      <c r="R109" s="464"/>
    </row>
    <row r="110" spans="1:19" s="8" customFormat="1" ht="333.75" hidden="1" customHeight="1" outlineLevel="1" x14ac:dyDescent="0.2">
      <c r="A110" s="81">
        <v>73</v>
      </c>
      <c r="B110" s="81" t="s">
        <v>9</v>
      </c>
      <c r="C110" s="83" t="s">
        <v>85</v>
      </c>
      <c r="D110" s="84" t="s">
        <v>126</v>
      </c>
      <c r="E110" s="132">
        <v>44641656</v>
      </c>
      <c r="F110" s="108"/>
      <c r="G110" s="132">
        <v>11160414</v>
      </c>
      <c r="H110" s="132">
        <v>2314490</v>
      </c>
      <c r="I110" s="136">
        <v>0.85</v>
      </c>
      <c r="J110" s="132">
        <v>10807393.657947388</v>
      </c>
      <c r="K110" s="131">
        <f t="shared" si="12"/>
        <v>0.96836852628830683</v>
      </c>
      <c r="L110" s="132">
        <f t="shared" si="13"/>
        <v>1321041.7579473872</v>
      </c>
      <c r="M110" s="133">
        <f t="shared" si="14"/>
        <v>3553124.557947387</v>
      </c>
      <c r="N110" s="134">
        <v>14593223.314117646</v>
      </c>
      <c r="O110" s="131">
        <f t="shared" si="15"/>
        <v>1.3075879903843752</v>
      </c>
      <c r="P110" s="132">
        <f t="shared" si="16"/>
        <v>5106871.4141176455</v>
      </c>
      <c r="Q110" s="137">
        <f t="shared" si="17"/>
        <v>7338954.2141176453</v>
      </c>
      <c r="R110" s="117" t="s">
        <v>192</v>
      </c>
    </row>
    <row r="111" spans="1:19" s="8" customFormat="1" ht="409.5" hidden="1" customHeight="1" outlineLevel="1" x14ac:dyDescent="0.2">
      <c r="A111" s="89">
        <v>75</v>
      </c>
      <c r="B111" s="89" t="s">
        <v>9</v>
      </c>
      <c r="C111" s="124" t="s">
        <v>86</v>
      </c>
      <c r="D111" s="91" t="s">
        <v>126</v>
      </c>
      <c r="E111" s="132">
        <v>168136850.14364851</v>
      </c>
      <c r="F111" s="108"/>
      <c r="G111" s="132">
        <v>32373977.000000007</v>
      </c>
      <c r="H111" s="132">
        <v>8470217</v>
      </c>
      <c r="I111" s="92">
        <v>0.85</v>
      </c>
      <c r="J111" s="132">
        <v>15665395.731295474</v>
      </c>
      <c r="K111" s="93">
        <f t="shared" si="12"/>
        <v>0.48388851735131183</v>
      </c>
      <c r="L111" s="132">
        <f t="shared" si="13"/>
        <v>-11852484.718704533</v>
      </c>
      <c r="M111" s="133">
        <f t="shared" si="14"/>
        <v>-5377689.3187045306</v>
      </c>
      <c r="N111" s="134">
        <v>27488648.349642858</v>
      </c>
      <c r="O111" s="73">
        <f t="shared" si="15"/>
        <v>0.84909704944940345</v>
      </c>
      <c r="P111" s="76">
        <f t="shared" si="16"/>
        <v>-29232.100357148796</v>
      </c>
      <c r="Q111" s="77">
        <f t="shared" si="17"/>
        <v>6445563.2996428534</v>
      </c>
      <c r="R111" s="117" t="s">
        <v>191</v>
      </c>
    </row>
    <row r="112" spans="1:19" s="27" customFormat="1" ht="315.75" hidden="1" customHeight="1" outlineLevel="1" x14ac:dyDescent="0.2">
      <c r="A112" s="89">
        <v>72</v>
      </c>
      <c r="B112" s="89" t="s">
        <v>9</v>
      </c>
      <c r="C112" s="124" t="s">
        <v>87</v>
      </c>
      <c r="D112" s="91" t="s">
        <v>126</v>
      </c>
      <c r="E112" s="132">
        <v>104224880</v>
      </c>
      <c r="F112" s="108"/>
      <c r="G112" s="132">
        <v>33454181</v>
      </c>
      <c r="H112" s="132">
        <v>5404059.7000000002</v>
      </c>
      <c r="I112" s="92">
        <v>0.85</v>
      </c>
      <c r="J112" s="132">
        <v>22307733.470881745</v>
      </c>
      <c r="K112" s="93">
        <f t="shared" si="12"/>
        <v>0.66681451478013298</v>
      </c>
      <c r="L112" s="132">
        <f t="shared" si="13"/>
        <v>-6128320.3791182525</v>
      </c>
      <c r="M112" s="133">
        <f t="shared" si="14"/>
        <v>562515.82088174298</v>
      </c>
      <c r="N112" s="134">
        <v>27588048.117647059</v>
      </c>
      <c r="O112" s="73">
        <f t="shared" si="15"/>
        <v>0.82465172642089368</v>
      </c>
      <c r="P112" s="76">
        <f t="shared" si="16"/>
        <v>-848005.7323529385</v>
      </c>
      <c r="Q112" s="77">
        <f t="shared" si="17"/>
        <v>5842830.467647057</v>
      </c>
      <c r="R112" s="117" t="s">
        <v>193</v>
      </c>
    </row>
    <row r="113" spans="1:19" s="8" customFormat="1" ht="69.75" hidden="1" outlineLevel="1" x14ac:dyDescent="0.2">
      <c r="A113" s="96">
        <v>74</v>
      </c>
      <c r="B113" s="96" t="s">
        <v>9</v>
      </c>
      <c r="C113" s="98" t="s">
        <v>88</v>
      </c>
      <c r="D113" s="99" t="s">
        <v>126</v>
      </c>
      <c r="E113" s="132">
        <v>14185198</v>
      </c>
      <c r="F113" s="108"/>
      <c r="G113" s="132">
        <v>3546300</v>
      </c>
      <c r="H113" s="132">
        <v>735445</v>
      </c>
      <c r="I113" s="138">
        <v>0.85</v>
      </c>
      <c r="J113" s="132">
        <v>3932091.5243047536</v>
      </c>
      <c r="K113" s="139">
        <f t="shared" si="12"/>
        <v>1.1087870525067687</v>
      </c>
      <c r="L113" s="132">
        <f t="shared" si="13"/>
        <v>917736.52430475364</v>
      </c>
      <c r="M113" s="133">
        <f t="shared" si="14"/>
        <v>1626996.5243047536</v>
      </c>
      <c r="N113" s="134">
        <v>4954110.4423529413</v>
      </c>
      <c r="O113" s="139">
        <f t="shared" si="15"/>
        <v>1.3969800756712465</v>
      </c>
      <c r="P113" s="111">
        <f t="shared" si="16"/>
        <v>1939755.4423529413</v>
      </c>
      <c r="Q113" s="112">
        <f t="shared" si="17"/>
        <v>2649015.4423529413</v>
      </c>
      <c r="R113" s="117"/>
    </row>
    <row r="114" spans="1:19" s="8" customFormat="1" ht="28.5" hidden="1" outlineLevel="1" x14ac:dyDescent="0.35">
      <c r="A114" s="462" t="s">
        <v>212</v>
      </c>
      <c r="B114" s="463"/>
      <c r="C114" s="463"/>
      <c r="D114" s="463"/>
      <c r="E114" s="463"/>
      <c r="F114" s="463"/>
      <c r="G114" s="463"/>
      <c r="H114" s="463"/>
      <c r="I114" s="463"/>
      <c r="J114" s="463"/>
      <c r="K114" s="463"/>
      <c r="L114" s="463"/>
      <c r="M114" s="463"/>
      <c r="N114" s="463"/>
      <c r="O114" s="463"/>
      <c r="P114" s="463"/>
      <c r="Q114" s="463"/>
      <c r="R114" s="464"/>
      <c r="S114" s="26"/>
    </row>
    <row r="115" spans="1:19" s="8" customFormat="1" ht="100.5" hidden="1" customHeight="1" outlineLevel="1" x14ac:dyDescent="0.2">
      <c r="A115" s="81">
        <v>86</v>
      </c>
      <c r="B115" s="82" t="s">
        <v>9</v>
      </c>
      <c r="C115" s="125" t="s">
        <v>89</v>
      </c>
      <c r="D115" s="84" t="s">
        <v>139</v>
      </c>
      <c r="E115" s="132">
        <v>10815000</v>
      </c>
      <c r="F115" s="103"/>
      <c r="G115" s="132">
        <v>306783.08034535614</v>
      </c>
      <c r="H115" s="132">
        <v>571654</v>
      </c>
      <c r="I115" s="136">
        <v>0.75</v>
      </c>
      <c r="J115" s="132">
        <v>0</v>
      </c>
      <c r="K115" s="113">
        <f t="shared" si="12"/>
        <v>0</v>
      </c>
      <c r="L115" s="132">
        <f t="shared" si="13"/>
        <v>-230087.3102590171</v>
      </c>
      <c r="M115" s="133">
        <f t="shared" si="14"/>
        <v>-199409.00222448149</v>
      </c>
      <c r="N115" s="134">
        <v>0</v>
      </c>
      <c r="O115" s="131">
        <f t="shared" si="15"/>
        <v>0</v>
      </c>
      <c r="P115" s="132">
        <f t="shared" si="16"/>
        <v>-230087.3102590171</v>
      </c>
      <c r="Q115" s="137">
        <f t="shared" si="17"/>
        <v>-199409.00222448149</v>
      </c>
      <c r="R115" s="141" t="s">
        <v>175</v>
      </c>
      <c r="S115" s="10"/>
    </row>
    <row r="116" spans="1:19" s="8" customFormat="1" ht="120.75" hidden="1" customHeight="1" outlineLevel="1" x14ac:dyDescent="0.2">
      <c r="A116" s="89">
        <v>84</v>
      </c>
      <c r="B116" s="90" t="s">
        <v>9</v>
      </c>
      <c r="C116" s="124" t="s">
        <v>90</v>
      </c>
      <c r="D116" s="91" t="s">
        <v>139</v>
      </c>
      <c r="E116" s="132">
        <v>34340686</v>
      </c>
      <c r="F116" s="103"/>
      <c r="G116" s="132">
        <v>613566.16069071228</v>
      </c>
      <c r="H116" s="132">
        <v>1815162</v>
      </c>
      <c r="I116" s="92">
        <v>0.75</v>
      </c>
      <c r="J116" s="132">
        <v>0</v>
      </c>
      <c r="K116" s="93">
        <f t="shared" si="12"/>
        <v>0</v>
      </c>
      <c r="L116" s="132">
        <f t="shared" si="13"/>
        <v>-460174.62051803421</v>
      </c>
      <c r="M116" s="133">
        <f t="shared" si="14"/>
        <v>-398818.00444896298</v>
      </c>
      <c r="N116" s="134">
        <v>0</v>
      </c>
      <c r="O116" s="73">
        <f t="shared" si="15"/>
        <v>0</v>
      </c>
      <c r="P116" s="132">
        <f t="shared" si="16"/>
        <v>-460174.62051803421</v>
      </c>
      <c r="Q116" s="137">
        <f t="shared" si="17"/>
        <v>-398818.00444896298</v>
      </c>
      <c r="R116" s="117" t="s">
        <v>175</v>
      </c>
      <c r="S116" s="10"/>
    </row>
    <row r="117" spans="1:19" s="8" customFormat="1" ht="100.5" hidden="1" customHeight="1" outlineLevel="1" x14ac:dyDescent="0.2">
      <c r="A117" s="89">
        <v>81</v>
      </c>
      <c r="B117" s="90" t="s">
        <v>9</v>
      </c>
      <c r="C117" s="124" t="s">
        <v>91</v>
      </c>
      <c r="D117" s="91" t="s">
        <v>139</v>
      </c>
      <c r="E117" s="132">
        <v>20000000</v>
      </c>
      <c r="F117" s="103"/>
      <c r="G117" s="132">
        <v>876523.08670101757</v>
      </c>
      <c r="H117" s="132">
        <v>1136067</v>
      </c>
      <c r="I117" s="92">
        <v>0.75</v>
      </c>
      <c r="J117" s="132">
        <v>0</v>
      </c>
      <c r="K117" s="93">
        <f t="shared" si="12"/>
        <v>0</v>
      </c>
      <c r="L117" s="132">
        <f t="shared" si="13"/>
        <v>-657392.31502576312</v>
      </c>
      <c r="M117" s="133">
        <f t="shared" si="14"/>
        <v>-569740.00635566143</v>
      </c>
      <c r="N117" s="134">
        <v>0</v>
      </c>
      <c r="O117" s="73">
        <f t="shared" si="15"/>
        <v>0</v>
      </c>
      <c r="P117" s="132">
        <f t="shared" si="16"/>
        <v>-657392.31502576312</v>
      </c>
      <c r="Q117" s="137">
        <f t="shared" si="17"/>
        <v>-569740.00635566143</v>
      </c>
      <c r="R117" s="117" t="s">
        <v>175</v>
      </c>
      <c r="S117" s="10"/>
    </row>
    <row r="118" spans="1:19" s="8" customFormat="1" ht="93.75" hidden="1" customHeight="1" outlineLevel="1" x14ac:dyDescent="0.2">
      <c r="A118" s="89">
        <v>85</v>
      </c>
      <c r="B118" s="90" t="s">
        <v>9</v>
      </c>
      <c r="C118" s="71" t="s">
        <v>92</v>
      </c>
      <c r="D118" s="91" t="s">
        <v>139</v>
      </c>
      <c r="E118" s="132">
        <v>1500000</v>
      </c>
      <c r="F118" s="103"/>
      <c r="G118" s="132">
        <v>1051827.7040412212</v>
      </c>
      <c r="H118" s="132">
        <v>0</v>
      </c>
      <c r="I118" s="92">
        <v>0.75</v>
      </c>
      <c r="J118" s="132">
        <v>886383.45882352942</v>
      </c>
      <c r="K118" s="73">
        <f t="shared" si="12"/>
        <v>0.8427078459884263</v>
      </c>
      <c r="L118" s="132">
        <f t="shared" si="13"/>
        <v>97512.680792613537</v>
      </c>
      <c r="M118" s="133">
        <f t="shared" si="14"/>
        <v>202695.45119673561</v>
      </c>
      <c r="N118" s="134">
        <v>1061643.4633176471</v>
      </c>
      <c r="O118" s="73">
        <f t="shared" si="15"/>
        <v>1.0093320980600842</v>
      </c>
      <c r="P118" s="132">
        <f t="shared" si="16"/>
        <v>272772.68528673123</v>
      </c>
      <c r="Q118" s="137">
        <f t="shared" si="17"/>
        <v>377955.4556908533</v>
      </c>
      <c r="R118" s="117" t="s">
        <v>176</v>
      </c>
      <c r="S118" s="10"/>
    </row>
    <row r="119" spans="1:19" s="8" customFormat="1" ht="93" hidden="1" outlineLevel="1" x14ac:dyDescent="0.2">
      <c r="A119" s="89">
        <v>92</v>
      </c>
      <c r="B119" s="90" t="s">
        <v>9</v>
      </c>
      <c r="C119" s="71" t="s">
        <v>93</v>
      </c>
      <c r="D119" s="91" t="s">
        <v>139</v>
      </c>
      <c r="E119" s="132">
        <v>13960884</v>
      </c>
      <c r="F119" s="103"/>
      <c r="G119" s="132">
        <v>5090334</v>
      </c>
      <c r="H119" s="132">
        <v>0</v>
      </c>
      <c r="I119" s="92">
        <v>0.75</v>
      </c>
      <c r="J119" s="132">
        <v>5836705.7026238367</v>
      </c>
      <c r="K119" s="73">
        <f t="shared" si="12"/>
        <v>1.1466252907223449</v>
      </c>
      <c r="L119" s="132">
        <f t="shared" si="13"/>
        <v>2018955.2026238367</v>
      </c>
      <c r="M119" s="133">
        <f t="shared" si="14"/>
        <v>2527988.6026238366</v>
      </c>
      <c r="N119" s="134">
        <v>8055854.5764705874</v>
      </c>
      <c r="O119" s="73">
        <f t="shared" si="15"/>
        <v>1.5825787809740162</v>
      </c>
      <c r="P119" s="132">
        <f t="shared" si="16"/>
        <v>4238104.0764705874</v>
      </c>
      <c r="Q119" s="137">
        <f t="shared" si="17"/>
        <v>4747137.4764705878</v>
      </c>
      <c r="R119" s="117"/>
    </row>
    <row r="120" spans="1:19" s="8" customFormat="1" ht="69.75" hidden="1" outlineLevel="1" x14ac:dyDescent="0.2">
      <c r="A120" s="89">
        <v>82</v>
      </c>
      <c r="B120" s="90" t="s">
        <v>9</v>
      </c>
      <c r="C120" s="124" t="s">
        <v>94</v>
      </c>
      <c r="D120" s="91" t="s">
        <v>139</v>
      </c>
      <c r="E120" s="132">
        <v>4221188</v>
      </c>
      <c r="F120" s="103"/>
      <c r="G120" s="132">
        <v>593149.30843218556</v>
      </c>
      <c r="H120" s="132">
        <v>961286</v>
      </c>
      <c r="I120" s="92">
        <v>0.75</v>
      </c>
      <c r="J120" s="132">
        <v>0</v>
      </c>
      <c r="K120" s="93">
        <f t="shared" si="12"/>
        <v>0</v>
      </c>
      <c r="L120" s="132">
        <f t="shared" si="13"/>
        <v>-444861.98132413917</v>
      </c>
      <c r="M120" s="133">
        <f t="shared" si="14"/>
        <v>-385547.05048092065</v>
      </c>
      <c r="N120" s="134">
        <v>0</v>
      </c>
      <c r="O120" s="73">
        <f t="shared" si="15"/>
        <v>0</v>
      </c>
      <c r="P120" s="132">
        <f t="shared" si="16"/>
        <v>-444861.98132413917</v>
      </c>
      <c r="Q120" s="137">
        <f t="shared" si="17"/>
        <v>-385547.05048092065</v>
      </c>
      <c r="R120" s="117" t="s">
        <v>177</v>
      </c>
      <c r="S120" s="10"/>
    </row>
    <row r="121" spans="1:19" s="8" customFormat="1" ht="46.5" hidden="1" outlineLevel="1" x14ac:dyDescent="0.2">
      <c r="A121" s="89">
        <v>88</v>
      </c>
      <c r="B121" s="90" t="s">
        <v>9</v>
      </c>
      <c r="C121" s="71" t="s">
        <v>95</v>
      </c>
      <c r="D121" s="91" t="s">
        <v>139</v>
      </c>
      <c r="E121" s="132">
        <v>3287350</v>
      </c>
      <c r="F121" s="103"/>
      <c r="G121" s="132">
        <v>864430.57419689035</v>
      </c>
      <c r="H121" s="103">
        <v>0</v>
      </c>
      <c r="I121" s="92">
        <v>0.75</v>
      </c>
      <c r="J121" s="132">
        <v>937686.9089652776</v>
      </c>
      <c r="K121" s="73">
        <f t="shared" si="12"/>
        <v>1.0847451917540596</v>
      </c>
      <c r="L121" s="132">
        <f t="shared" si="13"/>
        <v>289363.97831760987</v>
      </c>
      <c r="M121" s="133">
        <f t="shared" si="14"/>
        <v>375807.03573729889</v>
      </c>
      <c r="N121" s="134">
        <v>977368.10588235303</v>
      </c>
      <c r="O121" s="73">
        <f t="shared" si="15"/>
        <v>1.1306496265363921</v>
      </c>
      <c r="P121" s="132">
        <f t="shared" si="16"/>
        <v>329045.1752346853</v>
      </c>
      <c r="Q121" s="137">
        <f t="shared" si="17"/>
        <v>415488.23265437433</v>
      </c>
      <c r="R121" s="117"/>
      <c r="S121" s="10"/>
    </row>
    <row r="122" spans="1:19" s="8" customFormat="1" ht="69.75" hidden="1" outlineLevel="1" x14ac:dyDescent="0.2">
      <c r="A122" s="89">
        <v>87</v>
      </c>
      <c r="B122" s="90" t="s">
        <v>9</v>
      </c>
      <c r="C122" s="71" t="s">
        <v>96</v>
      </c>
      <c r="D122" s="91" t="s">
        <v>139</v>
      </c>
      <c r="E122" s="132">
        <v>34345390</v>
      </c>
      <c r="F122" s="103"/>
      <c r="G122" s="132">
        <v>3079923.3159576887</v>
      </c>
      <c r="H122" s="132">
        <v>1989172</v>
      </c>
      <c r="I122" s="92">
        <v>0.75</v>
      </c>
      <c r="J122" s="132">
        <v>3813701.6653174683</v>
      </c>
      <c r="K122" s="73">
        <f t="shared" si="12"/>
        <v>1.2382456555193857</v>
      </c>
      <c r="L122" s="132">
        <f t="shared" si="13"/>
        <v>1503759.1783492016</v>
      </c>
      <c r="M122" s="133">
        <f t="shared" si="14"/>
        <v>1811751.5099449707</v>
      </c>
      <c r="N122" s="134">
        <v>5295326.4705882361</v>
      </c>
      <c r="O122" s="73">
        <f t="shared" si="15"/>
        <v>1.7193046473436879</v>
      </c>
      <c r="P122" s="132">
        <f t="shared" si="16"/>
        <v>2985383.9836199693</v>
      </c>
      <c r="Q122" s="137">
        <f t="shared" si="17"/>
        <v>3293376.3152157385</v>
      </c>
      <c r="R122" s="117"/>
      <c r="S122" s="10"/>
    </row>
    <row r="123" spans="1:19" s="8" customFormat="1" ht="105" hidden="1" customHeight="1" outlineLevel="1" x14ac:dyDescent="0.2">
      <c r="A123" s="89">
        <v>77</v>
      </c>
      <c r="B123" s="90" t="s">
        <v>9</v>
      </c>
      <c r="C123" s="71" t="s">
        <v>97</v>
      </c>
      <c r="D123" s="91" t="s">
        <v>139</v>
      </c>
      <c r="E123" s="132">
        <v>9000000</v>
      </c>
      <c r="F123" s="103"/>
      <c r="G123" s="132">
        <v>0</v>
      </c>
      <c r="H123" s="132">
        <v>0</v>
      </c>
      <c r="I123" s="92">
        <v>0.75</v>
      </c>
      <c r="J123" s="132">
        <v>2500015.8588235294</v>
      </c>
      <c r="K123" s="73" t="str">
        <f t="shared" si="12"/>
        <v>n/a</v>
      </c>
      <c r="L123" s="132">
        <f t="shared" si="13"/>
        <v>2500015.8588235294</v>
      </c>
      <c r="M123" s="133">
        <f t="shared" si="14"/>
        <v>2500015.8588235294</v>
      </c>
      <c r="N123" s="134">
        <v>1806624.5529411766</v>
      </c>
      <c r="O123" s="73" t="str">
        <f t="shared" si="15"/>
        <v>n/a</v>
      </c>
      <c r="P123" s="132">
        <f t="shared" si="16"/>
        <v>1806624.5529411766</v>
      </c>
      <c r="Q123" s="137">
        <f t="shared" si="17"/>
        <v>1806624.5529411766</v>
      </c>
      <c r="R123" s="117"/>
      <c r="S123" s="10"/>
    </row>
    <row r="124" spans="1:19" s="8" customFormat="1" ht="291.75" hidden="1" customHeight="1" outlineLevel="1" x14ac:dyDescent="0.2">
      <c r="A124" s="89">
        <v>79</v>
      </c>
      <c r="B124" s="90" t="s">
        <v>9</v>
      </c>
      <c r="C124" s="124" t="s">
        <v>98</v>
      </c>
      <c r="D124" s="91" t="s">
        <v>139</v>
      </c>
      <c r="E124" s="132">
        <v>39812376</v>
      </c>
      <c r="F124" s="103"/>
      <c r="G124" s="132">
        <v>5234469.6544539919</v>
      </c>
      <c r="H124" s="132">
        <v>2580099</v>
      </c>
      <c r="I124" s="92">
        <v>0.75</v>
      </c>
      <c r="J124" s="132">
        <v>1360097.765291309</v>
      </c>
      <c r="K124" s="93">
        <f t="shared" si="12"/>
        <v>0.25983487441445124</v>
      </c>
      <c r="L124" s="132">
        <f t="shared" si="13"/>
        <v>-2565754.4755491847</v>
      </c>
      <c r="M124" s="133">
        <f t="shared" si="14"/>
        <v>-2042307.5101037859</v>
      </c>
      <c r="N124" s="134">
        <v>2554283.8705882356</v>
      </c>
      <c r="O124" s="73">
        <f t="shared" si="15"/>
        <v>0.48797376605570814</v>
      </c>
      <c r="P124" s="132">
        <f t="shared" si="16"/>
        <v>-1371568.3702522581</v>
      </c>
      <c r="Q124" s="137">
        <f t="shared" si="17"/>
        <v>-848121.40480685933</v>
      </c>
      <c r="R124" s="117" t="s">
        <v>181</v>
      </c>
      <c r="S124" s="10"/>
    </row>
    <row r="125" spans="1:19" s="8" customFormat="1" ht="46.5" hidden="1" outlineLevel="1" x14ac:dyDescent="0.2">
      <c r="A125" s="89">
        <v>83</v>
      </c>
      <c r="B125" s="90" t="s">
        <v>9</v>
      </c>
      <c r="C125" s="71" t="s">
        <v>99</v>
      </c>
      <c r="D125" s="91" t="s">
        <v>139</v>
      </c>
      <c r="E125" s="132">
        <v>23080688</v>
      </c>
      <c r="F125" s="103"/>
      <c r="G125" s="132">
        <v>6069226.416073706</v>
      </c>
      <c r="H125" s="132">
        <v>1219986</v>
      </c>
      <c r="I125" s="92">
        <v>0.75</v>
      </c>
      <c r="J125" s="132">
        <v>6392514.1665541288</v>
      </c>
      <c r="K125" s="73">
        <f t="shared" si="12"/>
        <v>1.0532667144570895</v>
      </c>
      <c r="L125" s="132">
        <f t="shared" si="13"/>
        <v>1840594.3544988493</v>
      </c>
      <c r="M125" s="133">
        <f t="shared" si="14"/>
        <v>2447516.9961062199</v>
      </c>
      <c r="N125" s="134">
        <v>7522093.4117647065</v>
      </c>
      <c r="O125" s="73">
        <f t="shared" si="15"/>
        <v>1.2393825664244846</v>
      </c>
      <c r="P125" s="132">
        <f t="shared" si="16"/>
        <v>2970173.599709427</v>
      </c>
      <c r="Q125" s="137">
        <f t="shared" si="17"/>
        <v>3577096.2413167977</v>
      </c>
      <c r="R125" s="117"/>
      <c r="S125" s="10"/>
    </row>
    <row r="126" spans="1:19" s="8" customFormat="1" ht="69.75" hidden="1" outlineLevel="1" x14ac:dyDescent="0.2">
      <c r="A126" s="89">
        <v>91</v>
      </c>
      <c r="B126" s="90" t="s">
        <v>9</v>
      </c>
      <c r="C126" s="71" t="s">
        <v>100</v>
      </c>
      <c r="D126" s="91" t="s">
        <v>139</v>
      </c>
      <c r="E126" s="132">
        <v>6250000</v>
      </c>
      <c r="F126" s="103"/>
      <c r="G126" s="132">
        <v>1227132.3213814246</v>
      </c>
      <c r="H126" s="132">
        <v>0</v>
      </c>
      <c r="I126" s="92">
        <v>0.75</v>
      </c>
      <c r="J126" s="132">
        <v>1608108.2352941176</v>
      </c>
      <c r="K126" s="73">
        <f t="shared" si="12"/>
        <v>1.310460336896526</v>
      </c>
      <c r="L126" s="132">
        <f t="shared" si="13"/>
        <v>687758.99425804918</v>
      </c>
      <c r="M126" s="133">
        <f t="shared" si="14"/>
        <v>810472.22639619163</v>
      </c>
      <c r="N126" s="134">
        <v>1765485.5529411763</v>
      </c>
      <c r="O126" s="73">
        <f t="shared" si="15"/>
        <v>1.4387083790228175</v>
      </c>
      <c r="P126" s="132">
        <f t="shared" si="16"/>
        <v>845136.31190510793</v>
      </c>
      <c r="Q126" s="137">
        <f t="shared" si="17"/>
        <v>967849.54404325038</v>
      </c>
      <c r="R126" s="117"/>
      <c r="S126" s="10"/>
    </row>
    <row r="127" spans="1:19" s="8" customFormat="1" ht="93" hidden="1" outlineLevel="1" x14ac:dyDescent="0.2">
      <c r="A127" s="89">
        <v>89</v>
      </c>
      <c r="B127" s="90" t="s">
        <v>9</v>
      </c>
      <c r="C127" s="71" t="s">
        <v>101</v>
      </c>
      <c r="D127" s="91" t="s">
        <v>139</v>
      </c>
      <c r="E127" s="132">
        <v>4814359</v>
      </c>
      <c r="F127" s="103"/>
      <c r="G127" s="132">
        <v>148312.08888524567</v>
      </c>
      <c r="H127" s="132">
        <v>584973</v>
      </c>
      <c r="I127" s="92">
        <v>0.75</v>
      </c>
      <c r="J127" s="132">
        <v>239421.77348190034</v>
      </c>
      <c r="K127" s="73">
        <f t="shared" si="12"/>
        <v>1.6143105749602749</v>
      </c>
      <c r="L127" s="132">
        <f t="shared" si="13"/>
        <v>128187.70681796609</v>
      </c>
      <c r="M127" s="133">
        <f t="shared" si="14"/>
        <v>143018.91570649063</v>
      </c>
      <c r="N127" s="134">
        <v>239421.76470588235</v>
      </c>
      <c r="O127" s="73">
        <f t="shared" si="15"/>
        <v>1.6143105157876338</v>
      </c>
      <c r="P127" s="132">
        <f t="shared" si="16"/>
        <v>128187.6980419481</v>
      </c>
      <c r="Q127" s="137">
        <f t="shared" si="17"/>
        <v>143018.90693047264</v>
      </c>
      <c r="R127" s="117"/>
      <c r="S127" s="10"/>
    </row>
    <row r="128" spans="1:19" s="8" customFormat="1" ht="237" hidden="1" customHeight="1" outlineLevel="1" x14ac:dyDescent="0.2">
      <c r="A128" s="89">
        <v>76</v>
      </c>
      <c r="B128" s="90" t="s">
        <v>9</v>
      </c>
      <c r="C128" s="127" t="s">
        <v>102</v>
      </c>
      <c r="D128" s="91" t="s">
        <v>139</v>
      </c>
      <c r="E128" s="132">
        <v>27034565</v>
      </c>
      <c r="F128" s="103"/>
      <c r="G128" s="132">
        <v>2644848</v>
      </c>
      <c r="H128" s="132">
        <v>1428978.6074669461</v>
      </c>
      <c r="I128" s="92">
        <v>0.75</v>
      </c>
      <c r="J128" s="132">
        <v>2005347.810052112</v>
      </c>
      <c r="K128" s="114">
        <f t="shared" si="12"/>
        <v>0.75820909558965655</v>
      </c>
      <c r="L128" s="132">
        <f t="shared" si="13"/>
        <v>21711.810052111978</v>
      </c>
      <c r="M128" s="133">
        <f t="shared" si="14"/>
        <v>286196.61005211202</v>
      </c>
      <c r="N128" s="134">
        <v>3010460.2941176472</v>
      </c>
      <c r="O128" s="73">
        <f t="shared" si="15"/>
        <v>1.1382356544185706</v>
      </c>
      <c r="P128" s="132">
        <f t="shared" si="16"/>
        <v>1026824.2941176472</v>
      </c>
      <c r="Q128" s="137">
        <f t="shared" si="17"/>
        <v>1291309.0941176473</v>
      </c>
      <c r="R128" s="117" t="s">
        <v>178</v>
      </c>
    </row>
    <row r="129" spans="1:19" s="8" customFormat="1" ht="225.75" hidden="1" customHeight="1" outlineLevel="1" x14ac:dyDescent="0.2">
      <c r="A129" s="89">
        <v>78</v>
      </c>
      <c r="B129" s="90" t="s">
        <v>9</v>
      </c>
      <c r="C129" s="124" t="s">
        <v>103</v>
      </c>
      <c r="D129" s="91" t="s">
        <v>139</v>
      </c>
      <c r="E129" s="132">
        <v>21937153</v>
      </c>
      <c r="F129" s="103"/>
      <c r="G129" s="132">
        <v>3109508</v>
      </c>
      <c r="H129" s="132">
        <v>1159542.3341456992</v>
      </c>
      <c r="I129" s="92">
        <v>0.75</v>
      </c>
      <c r="J129" s="132">
        <v>906409.28478343866</v>
      </c>
      <c r="K129" s="93">
        <f t="shared" si="12"/>
        <v>0.29149604528544021</v>
      </c>
      <c r="L129" s="132">
        <f t="shared" si="13"/>
        <v>-1425721.7152165612</v>
      </c>
      <c r="M129" s="133">
        <f t="shared" si="14"/>
        <v>-1114770.9152165614</v>
      </c>
      <c r="N129" s="134">
        <v>1106963.6352941177</v>
      </c>
      <c r="O129" s="73">
        <f t="shared" si="15"/>
        <v>0.35599317811503228</v>
      </c>
      <c r="P129" s="132">
        <f t="shared" si="16"/>
        <v>-1225167.3647058823</v>
      </c>
      <c r="Q129" s="137">
        <f t="shared" si="17"/>
        <v>-914216.56470588222</v>
      </c>
      <c r="R129" s="117" t="s">
        <v>182</v>
      </c>
    </row>
    <row r="130" spans="1:19" s="8" customFormat="1" ht="185.25" hidden="1" customHeight="1" outlineLevel="1" x14ac:dyDescent="0.2">
      <c r="A130" s="89">
        <v>80</v>
      </c>
      <c r="B130" s="90" t="s">
        <v>9</v>
      </c>
      <c r="C130" s="127" t="s">
        <v>104</v>
      </c>
      <c r="D130" s="91" t="s">
        <v>139</v>
      </c>
      <c r="E130" s="132">
        <v>12936510</v>
      </c>
      <c r="F130" s="103"/>
      <c r="G130" s="132">
        <v>5102617.7926139049</v>
      </c>
      <c r="H130" s="132">
        <v>683791.11725384148</v>
      </c>
      <c r="I130" s="92">
        <v>0.75</v>
      </c>
      <c r="J130" s="132">
        <v>3836291.9273809837</v>
      </c>
      <c r="K130" s="114">
        <f t="shared" si="12"/>
        <v>0.75182819550663937</v>
      </c>
      <c r="L130" s="132">
        <f t="shared" si="13"/>
        <v>9328.5829205550253</v>
      </c>
      <c r="M130" s="133">
        <f t="shared" si="14"/>
        <v>519590.36218194524</v>
      </c>
      <c r="N130" s="134">
        <v>4388746.9411764704</v>
      </c>
      <c r="O130" s="73">
        <f t="shared" si="15"/>
        <v>0.86009713436292046</v>
      </c>
      <c r="P130" s="132">
        <f t="shared" si="16"/>
        <v>561783.59671604168</v>
      </c>
      <c r="Q130" s="137">
        <f t="shared" si="17"/>
        <v>1072045.3759774319</v>
      </c>
      <c r="R130" s="117" t="s">
        <v>179</v>
      </c>
      <c r="S130" s="10"/>
    </row>
    <row r="131" spans="1:19" s="8" customFormat="1" ht="69.75" hidden="1" outlineLevel="1" x14ac:dyDescent="0.2">
      <c r="A131" s="96">
        <v>90</v>
      </c>
      <c r="B131" s="115" t="s">
        <v>9</v>
      </c>
      <c r="C131" s="98" t="s">
        <v>105</v>
      </c>
      <c r="D131" s="99" t="s">
        <v>139</v>
      </c>
      <c r="E131" s="132">
        <v>6490095</v>
      </c>
      <c r="F131" s="103"/>
      <c r="G131" s="132">
        <v>853307.49622665439</v>
      </c>
      <c r="H131" s="132">
        <v>343049.93461007229</v>
      </c>
      <c r="I131" s="138">
        <v>0.75</v>
      </c>
      <c r="J131" s="132">
        <v>1460829.5044876446</v>
      </c>
      <c r="K131" s="139">
        <f t="shared" si="12"/>
        <v>1.7119614100983136</v>
      </c>
      <c r="L131" s="132">
        <f t="shared" si="13"/>
        <v>820848.88231765386</v>
      </c>
      <c r="M131" s="133">
        <f t="shared" si="14"/>
        <v>906179.63194031932</v>
      </c>
      <c r="N131" s="134">
        <v>1771633.2117647058</v>
      </c>
      <c r="O131" s="139">
        <f t="shared" si="15"/>
        <v>2.0761955327931716</v>
      </c>
      <c r="P131" s="132">
        <f t="shared" si="16"/>
        <v>1131652.589594715</v>
      </c>
      <c r="Q131" s="137">
        <f t="shared" si="17"/>
        <v>1216983.3392173806</v>
      </c>
      <c r="R131" s="140"/>
      <c r="S131" s="10"/>
    </row>
    <row r="132" spans="1:19" s="8" customFormat="1" ht="28.5" hidden="1" outlineLevel="1" x14ac:dyDescent="0.2">
      <c r="A132" s="462" t="s">
        <v>213</v>
      </c>
      <c r="B132" s="463"/>
      <c r="C132" s="463"/>
      <c r="D132" s="463"/>
      <c r="E132" s="463"/>
      <c r="F132" s="463"/>
      <c r="G132" s="463"/>
      <c r="H132" s="463"/>
      <c r="I132" s="463"/>
      <c r="J132" s="463"/>
      <c r="K132" s="463"/>
      <c r="L132" s="463"/>
      <c r="M132" s="463"/>
      <c r="N132" s="463"/>
      <c r="O132" s="463"/>
      <c r="P132" s="463"/>
      <c r="Q132" s="463"/>
      <c r="R132" s="464"/>
    </row>
    <row r="133" spans="1:19" s="8" customFormat="1" ht="93" hidden="1" outlineLevel="1" x14ac:dyDescent="0.2">
      <c r="A133" s="81">
        <v>94</v>
      </c>
      <c r="B133" s="81" t="s">
        <v>6</v>
      </c>
      <c r="C133" s="83" t="s">
        <v>196</v>
      </c>
      <c r="D133" s="84" t="s">
        <v>141</v>
      </c>
      <c r="E133" s="132">
        <v>44441978</v>
      </c>
      <c r="F133" s="103"/>
      <c r="G133" s="132">
        <v>0</v>
      </c>
      <c r="H133" s="132">
        <v>2515517.0000000009</v>
      </c>
      <c r="I133" s="136">
        <v>0.75</v>
      </c>
      <c r="J133" s="132">
        <v>0</v>
      </c>
      <c r="K133" s="131" t="str">
        <f t="shared" si="12"/>
        <v>n/a</v>
      </c>
      <c r="L133" s="132">
        <f t="shared" si="13"/>
        <v>0</v>
      </c>
      <c r="M133" s="133">
        <f t="shared" si="14"/>
        <v>0</v>
      </c>
      <c r="N133" s="134">
        <v>0</v>
      </c>
      <c r="O133" s="131" t="str">
        <f t="shared" si="15"/>
        <v>n/a</v>
      </c>
      <c r="P133" s="132">
        <f t="shared" si="16"/>
        <v>0</v>
      </c>
      <c r="Q133" s="137">
        <f t="shared" si="17"/>
        <v>0</v>
      </c>
      <c r="R133" s="141"/>
    </row>
    <row r="134" spans="1:19" s="8" customFormat="1" ht="186" hidden="1" outlineLevel="1" x14ac:dyDescent="0.2">
      <c r="A134" s="89">
        <v>95</v>
      </c>
      <c r="B134" s="89" t="s">
        <v>6</v>
      </c>
      <c r="C134" s="71" t="s">
        <v>124</v>
      </c>
      <c r="D134" s="91" t="s">
        <v>141</v>
      </c>
      <c r="E134" s="132">
        <v>4077075</v>
      </c>
      <c r="F134" s="103"/>
      <c r="G134" s="132">
        <v>0</v>
      </c>
      <c r="H134" s="132">
        <v>0</v>
      </c>
      <c r="I134" s="92">
        <v>0.75</v>
      </c>
      <c r="J134" s="132">
        <v>12678.95568513233</v>
      </c>
      <c r="K134" s="73" t="str">
        <f t="shared" si="12"/>
        <v>n/a</v>
      </c>
      <c r="L134" s="132">
        <f t="shared" si="13"/>
        <v>12678.95568513233</v>
      </c>
      <c r="M134" s="133">
        <f t="shared" si="14"/>
        <v>12678.95568513233</v>
      </c>
      <c r="N134" s="134">
        <v>12678.95568513233</v>
      </c>
      <c r="O134" s="73" t="str">
        <f t="shared" si="15"/>
        <v>n/a</v>
      </c>
      <c r="P134" s="132">
        <f t="shared" si="16"/>
        <v>12678.95568513233</v>
      </c>
      <c r="Q134" s="137">
        <f t="shared" si="17"/>
        <v>12678.95568513233</v>
      </c>
      <c r="R134" s="117"/>
    </row>
    <row r="135" spans="1:19" s="8" customFormat="1" ht="69.75" hidden="1" outlineLevel="1" x14ac:dyDescent="0.2">
      <c r="A135" s="96">
        <v>93</v>
      </c>
      <c r="B135" s="96" t="s">
        <v>6</v>
      </c>
      <c r="C135" s="98" t="s">
        <v>125</v>
      </c>
      <c r="D135" s="99" t="s">
        <v>142</v>
      </c>
      <c r="E135" s="132">
        <v>194364718</v>
      </c>
      <c r="F135" s="103"/>
      <c r="G135" s="132">
        <v>7796118</v>
      </c>
      <c r="H135" s="132">
        <v>9279588</v>
      </c>
      <c r="I135" s="138">
        <v>0.75</v>
      </c>
      <c r="J135" s="132">
        <v>15320621.537910301</v>
      </c>
      <c r="K135" s="139">
        <f t="shared" si="12"/>
        <v>1.9651602936115515</v>
      </c>
      <c r="L135" s="132">
        <f t="shared" si="13"/>
        <v>9473533.0379103012</v>
      </c>
      <c r="M135" s="133">
        <f t="shared" si="14"/>
        <v>10253144.837910302</v>
      </c>
      <c r="N135" s="134">
        <v>15320621.537910301</v>
      </c>
      <c r="O135" s="139">
        <f t="shared" si="15"/>
        <v>1.9651602936115515</v>
      </c>
      <c r="P135" s="132">
        <f t="shared" si="16"/>
        <v>9473533.0379103012</v>
      </c>
      <c r="Q135" s="137">
        <f t="shared" si="17"/>
        <v>10253144.837910302</v>
      </c>
      <c r="R135" s="140"/>
    </row>
    <row r="136" spans="1:19" s="8" customFormat="1" ht="28.5" hidden="1" outlineLevel="1" x14ac:dyDescent="0.2">
      <c r="A136" s="462" t="s">
        <v>214</v>
      </c>
      <c r="B136" s="463"/>
      <c r="C136" s="463"/>
      <c r="D136" s="463"/>
      <c r="E136" s="463"/>
      <c r="F136" s="463"/>
      <c r="G136" s="463"/>
      <c r="H136" s="463"/>
      <c r="I136" s="463"/>
      <c r="J136" s="463"/>
      <c r="K136" s="463"/>
      <c r="L136" s="463"/>
      <c r="M136" s="463"/>
      <c r="N136" s="463"/>
      <c r="O136" s="463"/>
      <c r="P136" s="463"/>
      <c r="Q136" s="463"/>
      <c r="R136" s="464"/>
    </row>
    <row r="137" spans="1:19" s="8" customFormat="1" ht="69.75" hidden="1" outlineLevel="1" x14ac:dyDescent="0.2">
      <c r="A137" s="81">
        <v>114</v>
      </c>
      <c r="B137" s="81" t="s">
        <v>6</v>
      </c>
      <c r="C137" s="83" t="s">
        <v>106</v>
      </c>
      <c r="D137" s="84" t="s">
        <v>137</v>
      </c>
      <c r="E137" s="132">
        <v>37218825</v>
      </c>
      <c r="F137" s="103"/>
      <c r="G137" s="132">
        <v>9364450</v>
      </c>
      <c r="H137" s="132">
        <v>1186027.0906275464</v>
      </c>
      <c r="I137" s="136">
        <v>0.75</v>
      </c>
      <c r="J137" s="132">
        <v>14473201.784961108</v>
      </c>
      <c r="K137" s="131">
        <f t="shared" si="12"/>
        <v>1.5455474464555963</v>
      </c>
      <c r="L137" s="132">
        <f t="shared" si="13"/>
        <v>7449864.2849611081</v>
      </c>
      <c r="M137" s="133">
        <f t="shared" si="14"/>
        <v>8386309.2849611081</v>
      </c>
      <c r="N137" s="134">
        <v>14473201.784961108</v>
      </c>
      <c r="O137" s="131">
        <f t="shared" si="15"/>
        <v>1.5455474464555963</v>
      </c>
      <c r="P137" s="132">
        <f t="shared" si="16"/>
        <v>7449864.2849611081</v>
      </c>
      <c r="Q137" s="137">
        <f t="shared" si="17"/>
        <v>8386309.2849611081</v>
      </c>
      <c r="R137" s="141"/>
    </row>
    <row r="138" spans="1:19" s="8" customFormat="1" ht="69.75" hidden="1" outlineLevel="1" x14ac:dyDescent="0.2">
      <c r="A138" s="89">
        <v>100</v>
      </c>
      <c r="B138" s="89" t="s">
        <v>6</v>
      </c>
      <c r="C138" s="71" t="s">
        <v>107</v>
      </c>
      <c r="D138" s="91" t="s">
        <v>137</v>
      </c>
      <c r="E138" s="132">
        <v>32030112</v>
      </c>
      <c r="F138" s="103"/>
      <c r="G138" s="132">
        <v>11896693</v>
      </c>
      <c r="H138" s="132">
        <v>0</v>
      </c>
      <c r="I138" s="92">
        <v>0.75</v>
      </c>
      <c r="J138" s="132">
        <v>9902619.8845096342</v>
      </c>
      <c r="K138" s="73">
        <f t="shared" si="12"/>
        <v>0.83238425035508889</v>
      </c>
      <c r="L138" s="132">
        <f t="shared" si="13"/>
        <v>980100.13450963423</v>
      </c>
      <c r="M138" s="133">
        <f t="shared" si="14"/>
        <v>2169769.434509634</v>
      </c>
      <c r="N138" s="134">
        <v>9902619.8845096342</v>
      </c>
      <c r="O138" s="73">
        <f t="shared" si="15"/>
        <v>0.83238425035508889</v>
      </c>
      <c r="P138" s="132">
        <f t="shared" si="16"/>
        <v>980100.13450963423</v>
      </c>
      <c r="Q138" s="137">
        <f t="shared" si="17"/>
        <v>2169769.434509634</v>
      </c>
      <c r="R138" s="117"/>
    </row>
    <row r="139" spans="1:19" s="8" customFormat="1" ht="46.5" hidden="1" outlineLevel="1" x14ac:dyDescent="0.2">
      <c r="A139" s="89">
        <v>97</v>
      </c>
      <c r="B139" s="89" t="s">
        <v>6</v>
      </c>
      <c r="C139" s="71" t="s">
        <v>108</v>
      </c>
      <c r="D139" s="91" t="s">
        <v>137</v>
      </c>
      <c r="E139" s="132">
        <v>19920206</v>
      </c>
      <c r="F139" s="103"/>
      <c r="G139" s="132">
        <v>1114247</v>
      </c>
      <c r="H139" s="132">
        <v>4250000.0000000037</v>
      </c>
      <c r="I139" s="92">
        <v>0.75</v>
      </c>
      <c r="J139" s="132">
        <v>1144778.9597021444</v>
      </c>
      <c r="K139" s="73">
        <f t="shared" si="12"/>
        <v>1.027401428679767</v>
      </c>
      <c r="L139" s="132">
        <f t="shared" si="13"/>
        <v>309093.70970214438</v>
      </c>
      <c r="M139" s="133">
        <f t="shared" si="14"/>
        <v>420518.40970214433</v>
      </c>
      <c r="N139" s="134">
        <v>1144778.9597021444</v>
      </c>
      <c r="O139" s="73">
        <f t="shared" si="15"/>
        <v>1.027401428679767</v>
      </c>
      <c r="P139" s="132">
        <f t="shared" si="16"/>
        <v>309093.70970214438</v>
      </c>
      <c r="Q139" s="137">
        <f t="shared" si="17"/>
        <v>420518.40970214433</v>
      </c>
      <c r="R139" s="117"/>
    </row>
    <row r="140" spans="1:19" s="8" customFormat="1" ht="93" hidden="1" outlineLevel="1" x14ac:dyDescent="0.2">
      <c r="A140" s="89">
        <v>112</v>
      </c>
      <c r="B140" s="89" t="s">
        <v>6</v>
      </c>
      <c r="C140" s="71" t="s">
        <v>109</v>
      </c>
      <c r="D140" s="91" t="s">
        <v>130</v>
      </c>
      <c r="E140" s="132">
        <v>5175000</v>
      </c>
      <c r="F140" s="103"/>
      <c r="G140" s="132">
        <v>469779</v>
      </c>
      <c r="H140" s="132">
        <v>273537</v>
      </c>
      <c r="I140" s="92">
        <v>0.75</v>
      </c>
      <c r="J140" s="132">
        <v>741546.24705882347</v>
      </c>
      <c r="K140" s="73">
        <f t="shared" si="12"/>
        <v>1.5785002034122928</v>
      </c>
      <c r="L140" s="132">
        <f t="shared" si="13"/>
        <v>389211.99705882347</v>
      </c>
      <c r="M140" s="133">
        <f t="shared" si="14"/>
        <v>436189.89705882344</v>
      </c>
      <c r="N140" s="134">
        <v>741546.24705882347</v>
      </c>
      <c r="O140" s="73">
        <f t="shared" si="15"/>
        <v>1.5785002034122928</v>
      </c>
      <c r="P140" s="132">
        <f t="shared" si="16"/>
        <v>389211.99705882347</v>
      </c>
      <c r="Q140" s="137">
        <f t="shared" si="17"/>
        <v>436189.89705882344</v>
      </c>
      <c r="R140" s="117"/>
    </row>
    <row r="141" spans="1:19" s="8" customFormat="1" ht="116.25" hidden="1" outlineLevel="1" x14ac:dyDescent="0.2">
      <c r="A141" s="89">
        <v>106</v>
      </c>
      <c r="B141" s="89" t="s">
        <v>6</v>
      </c>
      <c r="C141" s="124" t="s">
        <v>110</v>
      </c>
      <c r="D141" s="91" t="s">
        <v>130</v>
      </c>
      <c r="E141" s="132">
        <v>4232693</v>
      </c>
      <c r="F141" s="103"/>
      <c r="G141" s="132">
        <v>1411759</v>
      </c>
      <c r="H141" s="132">
        <v>223729</v>
      </c>
      <c r="I141" s="92">
        <v>0.75</v>
      </c>
      <c r="J141" s="132">
        <v>702733.91564854409</v>
      </c>
      <c r="K141" s="93">
        <f t="shared" si="12"/>
        <v>0.49777186874568824</v>
      </c>
      <c r="L141" s="132">
        <f t="shared" si="13"/>
        <v>-356085.33435145591</v>
      </c>
      <c r="M141" s="133">
        <f t="shared" si="14"/>
        <v>-214909.43435145589</v>
      </c>
      <c r="N141" s="134">
        <v>702733.91564854409</v>
      </c>
      <c r="O141" s="73">
        <f t="shared" si="15"/>
        <v>0.49777186874568824</v>
      </c>
      <c r="P141" s="132">
        <f t="shared" si="16"/>
        <v>-356085.33435145591</v>
      </c>
      <c r="Q141" s="137">
        <f t="shared" si="17"/>
        <v>-214909.43435145589</v>
      </c>
      <c r="R141" s="117"/>
    </row>
    <row r="142" spans="1:19" s="8" customFormat="1" ht="69.75" hidden="1" outlineLevel="1" x14ac:dyDescent="0.2">
      <c r="A142" s="89">
        <v>110</v>
      </c>
      <c r="B142" s="89" t="s">
        <v>6</v>
      </c>
      <c r="C142" s="71" t="s">
        <v>111</v>
      </c>
      <c r="D142" s="91" t="s">
        <v>137</v>
      </c>
      <c r="E142" s="132">
        <v>1252128</v>
      </c>
      <c r="F142" s="103"/>
      <c r="G142" s="132">
        <v>545837</v>
      </c>
      <c r="H142" s="132">
        <v>0</v>
      </c>
      <c r="I142" s="92">
        <v>0.75</v>
      </c>
      <c r="J142" s="132">
        <v>638938.8332069288</v>
      </c>
      <c r="K142" s="73">
        <f t="shared" si="12"/>
        <v>1.1705670982489806</v>
      </c>
      <c r="L142" s="132">
        <f t="shared" si="13"/>
        <v>229561.0832069288</v>
      </c>
      <c r="M142" s="133">
        <f t="shared" si="14"/>
        <v>284144.78320692881</v>
      </c>
      <c r="N142" s="134">
        <v>638938.8332069288</v>
      </c>
      <c r="O142" s="73">
        <f t="shared" si="15"/>
        <v>1.1705670982489806</v>
      </c>
      <c r="P142" s="132">
        <f t="shared" si="16"/>
        <v>229561.0832069288</v>
      </c>
      <c r="Q142" s="137">
        <f t="shared" si="17"/>
        <v>284144.78320692881</v>
      </c>
      <c r="R142" s="117"/>
    </row>
    <row r="143" spans="1:19" s="8" customFormat="1" ht="168" hidden="1" customHeight="1" outlineLevel="1" x14ac:dyDescent="0.2">
      <c r="A143" s="89">
        <v>107</v>
      </c>
      <c r="B143" s="89" t="s">
        <v>6</v>
      </c>
      <c r="C143" s="124" t="s">
        <v>112</v>
      </c>
      <c r="D143" s="91" t="s">
        <v>137</v>
      </c>
      <c r="E143" s="132">
        <v>1323271</v>
      </c>
      <c r="F143" s="103"/>
      <c r="G143" s="132">
        <v>436679</v>
      </c>
      <c r="H143" s="132">
        <v>0</v>
      </c>
      <c r="I143" s="92">
        <v>0.75</v>
      </c>
      <c r="J143" s="132">
        <v>148662.42273015165</v>
      </c>
      <c r="K143" s="93">
        <f t="shared" si="12"/>
        <v>0.34043868088493301</v>
      </c>
      <c r="L143" s="132">
        <f t="shared" si="13"/>
        <v>-178846.82726984835</v>
      </c>
      <c r="M143" s="133">
        <f t="shared" si="14"/>
        <v>-135178.92726984838</v>
      </c>
      <c r="N143" s="134">
        <v>148662.42273015165</v>
      </c>
      <c r="O143" s="73">
        <f t="shared" si="15"/>
        <v>0.34043868088493301</v>
      </c>
      <c r="P143" s="132">
        <f t="shared" si="16"/>
        <v>-178846.82726984835</v>
      </c>
      <c r="Q143" s="137">
        <f t="shared" si="17"/>
        <v>-135178.92726984838</v>
      </c>
      <c r="R143" s="117"/>
    </row>
    <row r="144" spans="1:19" s="8" customFormat="1" ht="93" hidden="1" outlineLevel="1" x14ac:dyDescent="0.2">
      <c r="A144" s="89">
        <v>109</v>
      </c>
      <c r="B144" s="89" t="s">
        <v>6</v>
      </c>
      <c r="C144" s="71" t="s">
        <v>113</v>
      </c>
      <c r="D144" s="91" t="s">
        <v>137</v>
      </c>
      <c r="E144" s="132">
        <v>318055</v>
      </c>
      <c r="F144" s="103"/>
      <c r="G144" s="132">
        <v>95417</v>
      </c>
      <c r="H144" s="132">
        <v>0</v>
      </c>
      <c r="I144" s="92">
        <v>0.75</v>
      </c>
      <c r="J144" s="132">
        <v>148908.66016345719</v>
      </c>
      <c r="K144" s="73">
        <f t="shared" si="12"/>
        <v>1.5606093270953518</v>
      </c>
      <c r="L144" s="132">
        <f t="shared" si="13"/>
        <v>77345.910163457185</v>
      </c>
      <c r="M144" s="133">
        <f t="shared" si="14"/>
        <v>86887.610163457182</v>
      </c>
      <c r="N144" s="134">
        <v>148908.66016345719</v>
      </c>
      <c r="O144" s="73">
        <f t="shared" si="15"/>
        <v>1.5606093270953518</v>
      </c>
      <c r="P144" s="132">
        <f t="shared" si="16"/>
        <v>77345.910163457185</v>
      </c>
      <c r="Q144" s="137">
        <f t="shared" si="17"/>
        <v>86887.610163457182</v>
      </c>
      <c r="R144" s="117"/>
    </row>
    <row r="145" spans="1:18" s="8" customFormat="1" ht="69.75" hidden="1" outlineLevel="1" x14ac:dyDescent="0.2">
      <c r="A145" s="89">
        <v>103</v>
      </c>
      <c r="B145" s="89" t="s">
        <v>6</v>
      </c>
      <c r="C145" s="124" t="s">
        <v>114</v>
      </c>
      <c r="D145" s="91" t="s">
        <v>137</v>
      </c>
      <c r="E145" s="132">
        <v>6813045</v>
      </c>
      <c r="F145" s="103"/>
      <c r="G145" s="132">
        <v>1433396</v>
      </c>
      <c r="H145" s="132">
        <v>0</v>
      </c>
      <c r="I145" s="92">
        <v>0.75</v>
      </c>
      <c r="J145" s="132">
        <v>1006566.9611003321</v>
      </c>
      <c r="K145" s="93">
        <f t="shared" si="12"/>
        <v>0.70222531742821392</v>
      </c>
      <c r="L145" s="132">
        <f t="shared" si="13"/>
        <v>-68480.03889966791</v>
      </c>
      <c r="M145" s="133">
        <f t="shared" si="14"/>
        <v>74859.561100332066</v>
      </c>
      <c r="N145" s="134">
        <v>1006566.9611003321</v>
      </c>
      <c r="O145" s="73">
        <f t="shared" si="15"/>
        <v>0.70222531742821392</v>
      </c>
      <c r="P145" s="132">
        <f t="shared" si="16"/>
        <v>-68480.03889966791</v>
      </c>
      <c r="Q145" s="137">
        <f t="shared" si="17"/>
        <v>74859.561100332066</v>
      </c>
      <c r="R145" s="117"/>
    </row>
    <row r="146" spans="1:18" s="8" customFormat="1" ht="93" hidden="1" outlineLevel="1" x14ac:dyDescent="0.2">
      <c r="A146" s="89">
        <v>104</v>
      </c>
      <c r="B146" s="89" t="s">
        <v>6</v>
      </c>
      <c r="C146" s="124" t="s">
        <v>115</v>
      </c>
      <c r="D146" s="91" t="s">
        <v>137</v>
      </c>
      <c r="E146" s="132">
        <v>8526615</v>
      </c>
      <c r="F146" s="103"/>
      <c r="G146" s="132">
        <v>2038176</v>
      </c>
      <c r="H146" s="132">
        <v>0</v>
      </c>
      <c r="I146" s="92">
        <v>0.75</v>
      </c>
      <c r="J146" s="132">
        <v>1042074.7548950192</v>
      </c>
      <c r="K146" s="93">
        <f t="shared" si="12"/>
        <v>0.51127810105457983</v>
      </c>
      <c r="L146" s="132">
        <f t="shared" si="13"/>
        <v>-486557.24510498077</v>
      </c>
      <c r="M146" s="133">
        <f t="shared" si="14"/>
        <v>-282739.64510498091</v>
      </c>
      <c r="N146" s="134">
        <v>1042074.7548950192</v>
      </c>
      <c r="O146" s="73">
        <f t="shared" si="15"/>
        <v>0.51127810105457983</v>
      </c>
      <c r="P146" s="132">
        <f t="shared" si="16"/>
        <v>-486557.24510498077</v>
      </c>
      <c r="Q146" s="137">
        <f t="shared" si="17"/>
        <v>-282739.64510498091</v>
      </c>
      <c r="R146" s="117"/>
    </row>
    <row r="147" spans="1:18" s="8" customFormat="1" ht="93" hidden="1" outlineLevel="1" x14ac:dyDescent="0.2">
      <c r="A147" s="89">
        <v>111</v>
      </c>
      <c r="B147" s="89" t="s">
        <v>6</v>
      </c>
      <c r="C147" s="71" t="s">
        <v>116</v>
      </c>
      <c r="D147" s="91" t="s">
        <v>137</v>
      </c>
      <c r="E147" s="132">
        <v>1079960</v>
      </c>
      <c r="F147" s="103"/>
      <c r="G147" s="132">
        <v>269990</v>
      </c>
      <c r="H147" s="132">
        <v>0</v>
      </c>
      <c r="I147" s="92">
        <v>0.75</v>
      </c>
      <c r="J147" s="132">
        <v>415790.56470588234</v>
      </c>
      <c r="K147" s="73">
        <f t="shared" si="12"/>
        <v>1.540022092321502</v>
      </c>
      <c r="L147" s="132">
        <f t="shared" si="13"/>
        <v>213298.06470588234</v>
      </c>
      <c r="M147" s="133">
        <f t="shared" si="14"/>
        <v>240297.06470588234</v>
      </c>
      <c r="N147" s="134">
        <v>415790.56470588234</v>
      </c>
      <c r="O147" s="73">
        <f t="shared" si="15"/>
        <v>1.540022092321502</v>
      </c>
      <c r="P147" s="132">
        <f t="shared" si="16"/>
        <v>213298.06470588234</v>
      </c>
      <c r="Q147" s="137">
        <f t="shared" si="17"/>
        <v>240297.06470588234</v>
      </c>
      <c r="R147" s="117"/>
    </row>
    <row r="148" spans="1:18" s="8" customFormat="1" ht="126" hidden="1" customHeight="1" outlineLevel="1" x14ac:dyDescent="0.2">
      <c r="A148" s="89">
        <v>113</v>
      </c>
      <c r="B148" s="89" t="s">
        <v>6</v>
      </c>
      <c r="C148" s="71" t="s">
        <v>117</v>
      </c>
      <c r="D148" s="91" t="s">
        <v>137</v>
      </c>
      <c r="E148" s="132">
        <v>2347738</v>
      </c>
      <c r="F148" s="103"/>
      <c r="G148" s="132">
        <v>586934</v>
      </c>
      <c r="H148" s="132">
        <v>0</v>
      </c>
      <c r="I148" s="92">
        <v>0.75</v>
      </c>
      <c r="J148" s="132">
        <v>1051634.9228007239</v>
      </c>
      <c r="K148" s="73">
        <f t="shared" si="12"/>
        <v>1.7917430627646787</v>
      </c>
      <c r="L148" s="132">
        <f t="shared" si="13"/>
        <v>611434.42280072393</v>
      </c>
      <c r="M148" s="133">
        <f t="shared" si="14"/>
        <v>670127.82280072384</v>
      </c>
      <c r="N148" s="134">
        <v>1051634.9228007239</v>
      </c>
      <c r="O148" s="73">
        <f t="shared" si="15"/>
        <v>1.7917430627646787</v>
      </c>
      <c r="P148" s="132">
        <f t="shared" si="16"/>
        <v>611434.42280072393</v>
      </c>
      <c r="Q148" s="137">
        <f t="shared" si="17"/>
        <v>670127.82280072384</v>
      </c>
      <c r="R148" s="117"/>
    </row>
    <row r="149" spans="1:18" s="11" customFormat="1" ht="78" hidden="1" customHeight="1" outlineLevel="1" x14ac:dyDescent="0.2">
      <c r="A149" s="89">
        <v>96</v>
      </c>
      <c r="B149" s="89" t="s">
        <v>6</v>
      </c>
      <c r="C149" s="124" t="s">
        <v>197</v>
      </c>
      <c r="D149" s="91" t="s">
        <v>137</v>
      </c>
      <c r="E149" s="132">
        <v>47209260</v>
      </c>
      <c r="F149" s="103"/>
      <c r="G149" s="132">
        <v>6592644</v>
      </c>
      <c r="H149" s="132">
        <v>3167386.9999999981</v>
      </c>
      <c r="I149" s="92">
        <v>0.75</v>
      </c>
      <c r="J149" s="132">
        <v>3745366.7176470589</v>
      </c>
      <c r="K149" s="93">
        <f t="shared" si="12"/>
        <v>0.56811299345862731</v>
      </c>
      <c r="L149" s="132">
        <f t="shared" si="13"/>
        <v>-1199116.2823529411</v>
      </c>
      <c r="M149" s="133">
        <f t="shared" si="14"/>
        <v>-539851.88235294167</v>
      </c>
      <c r="N149" s="134">
        <v>3745366.7176470589</v>
      </c>
      <c r="O149" s="73">
        <f t="shared" si="15"/>
        <v>0.56811299345862731</v>
      </c>
      <c r="P149" s="132">
        <f t="shared" si="16"/>
        <v>-1199116.2823529411</v>
      </c>
      <c r="Q149" s="137">
        <f t="shared" si="17"/>
        <v>-539851.88235294167</v>
      </c>
      <c r="R149" s="117"/>
    </row>
    <row r="150" spans="1:18" s="11" customFormat="1" ht="69.75" hidden="1" outlineLevel="1" x14ac:dyDescent="0.2">
      <c r="A150" s="89">
        <v>108</v>
      </c>
      <c r="B150" s="89" t="s">
        <v>6</v>
      </c>
      <c r="C150" s="71" t="s">
        <v>118</v>
      </c>
      <c r="D150" s="91" t="s">
        <v>137</v>
      </c>
      <c r="E150" s="132">
        <v>4727073</v>
      </c>
      <c r="F150" s="103"/>
      <c r="G150" s="132">
        <v>350658</v>
      </c>
      <c r="H150" s="132">
        <v>0</v>
      </c>
      <c r="I150" s="92">
        <v>0.75</v>
      </c>
      <c r="J150" s="132">
        <v>655967.93757460651</v>
      </c>
      <c r="K150" s="73">
        <f t="shared" si="12"/>
        <v>1.8706772341558058</v>
      </c>
      <c r="L150" s="132">
        <f t="shared" si="13"/>
        <v>392974.43757460651</v>
      </c>
      <c r="M150" s="133">
        <f t="shared" si="14"/>
        <v>428040.23757460649</v>
      </c>
      <c r="N150" s="134">
        <v>655967.93757460651</v>
      </c>
      <c r="O150" s="73">
        <f t="shared" si="15"/>
        <v>1.8706772341558058</v>
      </c>
      <c r="P150" s="132">
        <f t="shared" si="16"/>
        <v>392974.43757460651</v>
      </c>
      <c r="Q150" s="137">
        <f t="shared" si="17"/>
        <v>428040.23757460649</v>
      </c>
      <c r="R150" s="117"/>
    </row>
    <row r="151" spans="1:18" s="8" customFormat="1" ht="93" hidden="1" outlineLevel="1" x14ac:dyDescent="0.2">
      <c r="A151" s="89">
        <v>102</v>
      </c>
      <c r="B151" s="89" t="s">
        <v>6</v>
      </c>
      <c r="C151" s="71" t="s">
        <v>119</v>
      </c>
      <c r="D151" s="91" t="s">
        <v>140</v>
      </c>
      <c r="E151" s="132">
        <v>4609777</v>
      </c>
      <c r="F151" s="103"/>
      <c r="G151" s="132">
        <v>1324950</v>
      </c>
      <c r="H151" s="132">
        <v>0</v>
      </c>
      <c r="I151" s="92">
        <v>0.75</v>
      </c>
      <c r="J151" s="132">
        <v>1924782.609287757</v>
      </c>
      <c r="K151" s="73">
        <f t="shared" si="12"/>
        <v>1.4527209398752836</v>
      </c>
      <c r="L151" s="132">
        <f t="shared" si="13"/>
        <v>931070.10928775696</v>
      </c>
      <c r="M151" s="133">
        <f t="shared" si="14"/>
        <v>1063565.109287757</v>
      </c>
      <c r="N151" s="134">
        <v>1924782.609287757</v>
      </c>
      <c r="O151" s="73">
        <f t="shared" si="15"/>
        <v>1.4527209398752836</v>
      </c>
      <c r="P151" s="132">
        <f t="shared" si="16"/>
        <v>931070.10928775696</v>
      </c>
      <c r="Q151" s="137">
        <f t="shared" si="17"/>
        <v>1063565.109287757</v>
      </c>
      <c r="R151" s="117"/>
    </row>
    <row r="152" spans="1:18" s="8" customFormat="1" ht="93" hidden="1" outlineLevel="1" x14ac:dyDescent="0.2">
      <c r="A152" s="89">
        <v>101</v>
      </c>
      <c r="B152" s="89" t="s">
        <v>6</v>
      </c>
      <c r="C152" s="124" t="s">
        <v>120</v>
      </c>
      <c r="D152" s="91" t="s">
        <v>140</v>
      </c>
      <c r="E152" s="132">
        <v>16692798</v>
      </c>
      <c r="F152" s="103"/>
      <c r="G152" s="132">
        <v>2851654</v>
      </c>
      <c r="H152" s="132">
        <v>0</v>
      </c>
      <c r="I152" s="92">
        <v>0.75</v>
      </c>
      <c r="J152" s="132">
        <v>785184.9460131817</v>
      </c>
      <c r="K152" s="93">
        <f t="shared" si="12"/>
        <v>0.2753436938749167</v>
      </c>
      <c r="L152" s="132">
        <f t="shared" si="13"/>
        <v>-1353555.5539868183</v>
      </c>
      <c r="M152" s="133">
        <f t="shared" si="14"/>
        <v>-1068390.1539868184</v>
      </c>
      <c r="N152" s="134">
        <v>785184.9460131817</v>
      </c>
      <c r="O152" s="73">
        <f t="shared" si="15"/>
        <v>0.2753436938749167</v>
      </c>
      <c r="P152" s="132">
        <f t="shared" si="16"/>
        <v>-1353555.5539868183</v>
      </c>
      <c r="Q152" s="137">
        <f t="shared" si="17"/>
        <v>-1068390.1539868184</v>
      </c>
      <c r="R152" s="117"/>
    </row>
    <row r="153" spans="1:18" s="8" customFormat="1" ht="96.75" hidden="1" customHeight="1" outlineLevel="1" x14ac:dyDescent="0.2">
      <c r="A153" s="89">
        <v>99</v>
      </c>
      <c r="B153" s="89" t="s">
        <v>6</v>
      </c>
      <c r="C153" s="71" t="s">
        <v>121</v>
      </c>
      <c r="D153" s="91" t="s">
        <v>140</v>
      </c>
      <c r="E153" s="132">
        <v>38692398</v>
      </c>
      <c r="F153" s="103"/>
      <c r="G153" s="132">
        <v>3882114</v>
      </c>
      <c r="H153" s="132">
        <v>4900999</v>
      </c>
      <c r="I153" s="92">
        <v>0.75</v>
      </c>
      <c r="J153" s="132">
        <v>6430316.1039496521</v>
      </c>
      <c r="K153" s="73">
        <f t="shared" si="12"/>
        <v>1.65639548553949</v>
      </c>
      <c r="L153" s="132">
        <f t="shared" si="13"/>
        <v>3518730.6039496521</v>
      </c>
      <c r="M153" s="133">
        <f t="shared" si="14"/>
        <v>3906942.003949652</v>
      </c>
      <c r="N153" s="134">
        <v>6430316.1039496521</v>
      </c>
      <c r="O153" s="73">
        <f t="shared" si="15"/>
        <v>1.65639548553949</v>
      </c>
      <c r="P153" s="132">
        <f t="shared" si="16"/>
        <v>3518730.6039496521</v>
      </c>
      <c r="Q153" s="137">
        <f t="shared" si="17"/>
        <v>3906942.003949652</v>
      </c>
      <c r="R153" s="117"/>
    </row>
    <row r="154" spans="1:18" s="8" customFormat="1" ht="81" hidden="1" customHeight="1" outlineLevel="1" x14ac:dyDescent="0.2">
      <c r="A154" s="89">
        <v>105</v>
      </c>
      <c r="B154" s="89" t="s">
        <v>6</v>
      </c>
      <c r="C154" s="71" t="s">
        <v>122</v>
      </c>
      <c r="D154" s="91" t="s">
        <v>140</v>
      </c>
      <c r="E154" s="132">
        <v>9960103</v>
      </c>
      <c r="F154" s="103"/>
      <c r="G154" s="132">
        <v>1124950</v>
      </c>
      <c r="H154" s="132">
        <v>0</v>
      </c>
      <c r="I154" s="92">
        <v>0.75</v>
      </c>
      <c r="J154" s="132">
        <v>1188768.5713460846</v>
      </c>
      <c r="K154" s="73">
        <f t="shared" si="12"/>
        <v>1.0567301403138669</v>
      </c>
      <c r="L154" s="132">
        <f t="shared" si="13"/>
        <v>345056.07134608459</v>
      </c>
      <c r="M154" s="133">
        <f t="shared" si="14"/>
        <v>457551.07134608459</v>
      </c>
      <c r="N154" s="134">
        <v>1188768.5713460846</v>
      </c>
      <c r="O154" s="73">
        <f t="shared" si="15"/>
        <v>1.0567301403138669</v>
      </c>
      <c r="P154" s="132">
        <f t="shared" si="16"/>
        <v>345056.07134608459</v>
      </c>
      <c r="Q154" s="137">
        <f t="shared" si="17"/>
        <v>457551.07134608459</v>
      </c>
      <c r="R154" s="117"/>
    </row>
    <row r="155" spans="1:18" s="8" customFormat="1" ht="69.75" hidden="1" outlineLevel="1" x14ac:dyDescent="0.2">
      <c r="A155" s="96">
        <v>98</v>
      </c>
      <c r="B155" s="96" t="s">
        <v>6</v>
      </c>
      <c r="C155" s="126" t="s">
        <v>123</v>
      </c>
      <c r="D155" s="99" t="s">
        <v>140</v>
      </c>
      <c r="E155" s="132">
        <v>22765950</v>
      </c>
      <c r="F155" s="103"/>
      <c r="G155" s="132">
        <v>2124950</v>
      </c>
      <c r="H155" s="132">
        <v>0</v>
      </c>
      <c r="I155" s="138">
        <v>0.75</v>
      </c>
      <c r="J155" s="132">
        <v>1010997.0025931142</v>
      </c>
      <c r="K155" s="123">
        <f t="shared" si="12"/>
        <v>0.47577449003181915</v>
      </c>
      <c r="L155" s="132">
        <f t="shared" si="13"/>
        <v>-582715.49740688584</v>
      </c>
      <c r="M155" s="133">
        <f t="shared" si="14"/>
        <v>-370220.49740688584</v>
      </c>
      <c r="N155" s="134">
        <v>1010997.0025931142</v>
      </c>
      <c r="O155" s="139">
        <f t="shared" si="15"/>
        <v>0.47577449003181915</v>
      </c>
      <c r="P155" s="132">
        <f t="shared" si="16"/>
        <v>-582715.49740688584</v>
      </c>
      <c r="Q155" s="137">
        <f t="shared" si="17"/>
        <v>-370220.49740688584</v>
      </c>
      <c r="R155" s="140"/>
    </row>
    <row r="156" spans="1:18" s="8" customFormat="1" ht="28.5" hidden="1" outlineLevel="1" x14ac:dyDescent="0.2">
      <c r="A156" s="462" t="s">
        <v>19</v>
      </c>
      <c r="B156" s="463"/>
      <c r="C156" s="463"/>
      <c r="D156" s="463"/>
      <c r="E156" s="463"/>
      <c r="F156" s="463"/>
      <c r="G156" s="463"/>
      <c r="H156" s="463"/>
      <c r="I156" s="463"/>
      <c r="J156" s="463"/>
      <c r="K156" s="463"/>
      <c r="L156" s="463"/>
      <c r="M156" s="463"/>
      <c r="N156" s="463"/>
      <c r="O156" s="463"/>
      <c r="P156" s="463"/>
      <c r="Q156" s="463"/>
      <c r="R156" s="464"/>
    </row>
    <row r="157" spans="1:18" s="8" customFormat="1" ht="39.75" hidden="1" outlineLevel="1" thickBot="1" x14ac:dyDescent="0.25">
      <c r="A157" s="61">
        <v>115</v>
      </c>
      <c r="B157" s="61" t="s">
        <v>160</v>
      </c>
      <c r="C157" s="62" t="s">
        <v>19</v>
      </c>
      <c r="D157" s="63" t="s">
        <v>159</v>
      </c>
      <c r="E157" s="132">
        <v>119195650.58823529</v>
      </c>
      <c r="F157" s="38"/>
      <c r="G157" s="56"/>
      <c r="H157" s="56"/>
      <c r="I157" s="64"/>
      <c r="J157" s="56" t="s">
        <v>163</v>
      </c>
      <c r="K157" s="56"/>
      <c r="L157" s="58"/>
      <c r="M157" s="57"/>
      <c r="N157" s="65"/>
      <c r="O157" s="66"/>
      <c r="P157" s="66"/>
      <c r="Q157" s="67"/>
      <c r="R157" s="44"/>
    </row>
    <row r="158" spans="1:18" s="8" customFormat="1" ht="24.75" customHeight="1" x14ac:dyDescent="0.2">
      <c r="A158" s="21"/>
      <c r="B158" s="21"/>
      <c r="C158" s="22"/>
      <c r="D158" s="23"/>
      <c r="E158" s="19"/>
      <c r="F158" s="19"/>
      <c r="G158" s="19"/>
      <c r="H158" s="19"/>
      <c r="I158" s="19"/>
      <c r="J158" s="24"/>
      <c r="K158" s="24"/>
      <c r="L158" s="24"/>
      <c r="M158" s="24"/>
      <c r="N158" s="24"/>
      <c r="O158" s="24"/>
      <c r="P158" s="24"/>
      <c r="Q158" s="24"/>
      <c r="R158" s="45"/>
    </row>
    <row r="159" spans="1:18" s="8" customFormat="1" ht="44.25" customHeight="1" x14ac:dyDescent="0.2">
      <c r="A159" s="374" t="s">
        <v>15</v>
      </c>
      <c r="B159" s="374"/>
      <c r="C159" s="374"/>
      <c r="D159" s="374"/>
      <c r="E159" s="374"/>
      <c r="F159" s="374"/>
      <c r="G159" s="374"/>
      <c r="H159" s="374"/>
      <c r="I159" s="374"/>
      <c r="J159" s="374"/>
      <c r="K159" s="374"/>
      <c r="L159" s="374"/>
      <c r="M159" s="374"/>
      <c r="N159" s="374"/>
      <c r="O159" s="374"/>
      <c r="P159" s="374"/>
      <c r="Q159" s="374"/>
      <c r="R159" s="374"/>
    </row>
    <row r="160" spans="1:18" s="8" customFormat="1" ht="17.25" customHeight="1" x14ac:dyDescent="0.2">
      <c r="A160" s="16" t="s">
        <v>16</v>
      </c>
      <c r="D160" s="11"/>
      <c r="R160" s="46"/>
    </row>
    <row r="161" spans="1:18" s="8" customFormat="1" ht="32.25" customHeight="1" x14ac:dyDescent="0.2">
      <c r="A161" s="16"/>
      <c r="D161" s="11"/>
      <c r="R161" s="46"/>
    </row>
    <row r="162" spans="1:18" s="8" customFormat="1" ht="15.75" x14ac:dyDescent="0.2">
      <c r="A162" s="16"/>
      <c r="B162" s="16"/>
      <c r="D162" s="11"/>
      <c r="R162" s="46"/>
    </row>
    <row r="163" spans="1:18" s="8" customFormat="1" ht="10.5" customHeight="1" x14ac:dyDescent="0.2">
      <c r="D163" s="11"/>
      <c r="R163" s="46"/>
    </row>
    <row r="164" spans="1:18" s="8" customFormat="1" x14ac:dyDescent="0.2">
      <c r="D164" s="11"/>
      <c r="R164" s="46"/>
    </row>
    <row r="165" spans="1:18" s="8" customFormat="1" x14ac:dyDescent="0.2">
      <c r="D165" s="11"/>
      <c r="R165" s="46"/>
    </row>
    <row r="166" spans="1:18" s="8" customFormat="1" ht="16.5" x14ac:dyDescent="0.25">
      <c r="B166" s="37"/>
      <c r="D166" s="11"/>
      <c r="R166" s="46"/>
    </row>
    <row r="167" spans="1:18" s="8" customFormat="1" ht="16.5" x14ac:dyDescent="0.25">
      <c r="A167" s="17"/>
      <c r="B167" s="17"/>
      <c r="D167" s="11"/>
      <c r="R167" s="46"/>
    </row>
    <row r="168" spans="1:18" s="8" customFormat="1" ht="16.5" x14ac:dyDescent="0.25">
      <c r="A168" s="18"/>
      <c r="B168" s="18"/>
      <c r="C168" s="37"/>
      <c r="D168" s="11"/>
      <c r="R168" s="46"/>
    </row>
    <row r="169" spans="1:18" s="8" customFormat="1" x14ac:dyDescent="0.2">
      <c r="D169" s="11"/>
      <c r="R169" s="46"/>
    </row>
    <row r="170" spans="1:18" s="8" customFormat="1" x14ac:dyDescent="0.2">
      <c r="D170" s="11"/>
      <c r="R170" s="46"/>
    </row>
    <row r="171" spans="1:18" s="8" customFormat="1" x14ac:dyDescent="0.2">
      <c r="D171" s="11"/>
      <c r="R171" s="46"/>
    </row>
    <row r="172" spans="1:18" s="8" customFormat="1" x14ac:dyDescent="0.2">
      <c r="D172" s="11"/>
      <c r="R172" s="46"/>
    </row>
    <row r="173" spans="1:18" s="8" customFormat="1" x14ac:dyDescent="0.2">
      <c r="R173" s="46"/>
    </row>
    <row r="174" spans="1:18" s="8" customFormat="1" x14ac:dyDescent="0.2">
      <c r="R174" s="46"/>
    </row>
    <row r="175" spans="1:18" s="8" customFormat="1" x14ac:dyDescent="0.2">
      <c r="R175" s="46"/>
    </row>
    <row r="176" spans="1:18" s="8" customFormat="1" x14ac:dyDescent="0.2">
      <c r="R176" s="46"/>
    </row>
    <row r="177" spans="4:18" s="12" customFormat="1" ht="18.75" x14ac:dyDescent="0.3">
      <c r="D177" s="8"/>
      <c r="R177" s="47"/>
    </row>
    <row r="178" spans="4:18" s="12" customFormat="1" ht="18.75" x14ac:dyDescent="0.3">
      <c r="D178" s="8"/>
      <c r="F178" s="14"/>
      <c r="G178" s="14"/>
      <c r="H178" s="14"/>
      <c r="I178" s="14"/>
      <c r="J178" s="14"/>
      <c r="K178" s="14"/>
      <c r="L178" s="14"/>
      <c r="M178" s="14"/>
      <c r="N178" s="14"/>
      <c r="O178" s="14"/>
      <c r="P178" s="14"/>
      <c r="Q178" s="14"/>
      <c r="R178" s="48"/>
    </row>
    <row r="179" spans="4:18" s="12" customFormat="1" ht="18.75" x14ac:dyDescent="0.3">
      <c r="D179" s="8"/>
      <c r="F179" s="13"/>
      <c r="G179" s="13"/>
      <c r="H179" s="13"/>
      <c r="I179" s="13"/>
      <c r="J179" s="13"/>
      <c r="K179" s="13"/>
      <c r="L179" s="13"/>
      <c r="M179" s="13"/>
      <c r="N179" s="13"/>
      <c r="O179" s="13"/>
      <c r="P179" s="13"/>
      <c r="Q179" s="13"/>
      <c r="R179" s="49"/>
    </row>
    <row r="180" spans="4:18" s="12" customFormat="1" ht="18.75" x14ac:dyDescent="0.3">
      <c r="D180" s="8"/>
      <c r="F180" s="15"/>
      <c r="G180" s="15"/>
      <c r="H180" s="15"/>
      <c r="I180" s="15"/>
      <c r="J180" s="15"/>
      <c r="K180" s="15"/>
      <c r="L180" s="15"/>
      <c r="M180" s="15"/>
      <c r="N180" s="15"/>
      <c r="O180" s="15"/>
      <c r="P180" s="15"/>
      <c r="Q180" s="15"/>
      <c r="R180" s="50"/>
    </row>
    <row r="181" spans="4:18" s="12" customFormat="1" ht="18.75" x14ac:dyDescent="0.3">
      <c r="D181" s="8"/>
      <c r="R181" s="47"/>
    </row>
    <row r="182" spans="4:18" s="12" customFormat="1" ht="18.75" x14ac:dyDescent="0.3">
      <c r="D182" s="8"/>
      <c r="R182" s="47"/>
    </row>
    <row r="183" spans="4:18" s="12" customFormat="1" ht="18.75" x14ac:dyDescent="0.3">
      <c r="D183" s="8"/>
      <c r="R183" s="47"/>
    </row>
    <row r="184" spans="4:18" s="12" customFormat="1" ht="18.75" x14ac:dyDescent="0.3">
      <c r="D184" s="8"/>
      <c r="R184" s="47"/>
    </row>
    <row r="185" spans="4:18" s="8" customFormat="1" x14ac:dyDescent="0.2">
      <c r="R185" s="46"/>
    </row>
    <row r="186" spans="4:18" s="8" customFormat="1" x14ac:dyDescent="0.2">
      <c r="R186" s="46"/>
    </row>
    <row r="187" spans="4:18" s="8" customFormat="1" x14ac:dyDescent="0.2">
      <c r="R187" s="46"/>
    </row>
    <row r="188" spans="4:18" s="8" customFormat="1" x14ac:dyDescent="0.2">
      <c r="R188" s="46"/>
    </row>
    <row r="189" spans="4:18" s="8" customFormat="1" x14ac:dyDescent="0.2">
      <c r="R189" s="46"/>
    </row>
    <row r="190" spans="4:18" s="8" customFormat="1" x14ac:dyDescent="0.2">
      <c r="R190" s="46"/>
    </row>
    <row r="191" spans="4:18" s="8" customFormat="1" x14ac:dyDescent="0.2">
      <c r="R191" s="46"/>
    </row>
    <row r="192" spans="4:18" s="8" customFormat="1" x14ac:dyDescent="0.2">
      <c r="R192" s="46"/>
    </row>
    <row r="193" spans="18:18" s="8" customFormat="1" x14ac:dyDescent="0.2">
      <c r="R193" s="46"/>
    </row>
    <row r="194" spans="18:18" s="8" customFormat="1" x14ac:dyDescent="0.2">
      <c r="R194" s="46"/>
    </row>
    <row r="195" spans="18:18" s="8" customFormat="1" x14ac:dyDescent="0.2">
      <c r="R195" s="46"/>
    </row>
    <row r="196" spans="18:18" s="8" customFormat="1" x14ac:dyDescent="0.2">
      <c r="R196" s="46"/>
    </row>
    <row r="197" spans="18:18" s="8" customFormat="1" x14ac:dyDescent="0.2">
      <c r="R197" s="46"/>
    </row>
    <row r="198" spans="18:18" s="8" customFormat="1" x14ac:dyDescent="0.2">
      <c r="R198" s="46"/>
    </row>
    <row r="199" spans="18:18" s="8" customFormat="1" x14ac:dyDescent="0.2">
      <c r="R199" s="46"/>
    </row>
    <row r="200" spans="18:18" s="8" customFormat="1" x14ac:dyDescent="0.2">
      <c r="R200" s="46"/>
    </row>
    <row r="201" spans="18:18" s="8" customFormat="1" x14ac:dyDescent="0.2">
      <c r="R201" s="46"/>
    </row>
    <row r="202" spans="18:18" s="8" customFormat="1" x14ac:dyDescent="0.2">
      <c r="R202" s="46"/>
    </row>
    <row r="203" spans="18:18" s="8" customFormat="1" x14ac:dyDescent="0.2">
      <c r="R203" s="46"/>
    </row>
    <row r="204" spans="18:18" s="8" customFormat="1" x14ac:dyDescent="0.2">
      <c r="R204" s="46"/>
    </row>
    <row r="205" spans="18:18" s="8" customFormat="1" x14ac:dyDescent="0.2">
      <c r="R205" s="46"/>
    </row>
    <row r="206" spans="18:18" s="8" customFormat="1" x14ac:dyDescent="0.2">
      <c r="R206" s="46"/>
    </row>
    <row r="207" spans="18:18" s="8" customFormat="1" x14ac:dyDescent="0.2">
      <c r="R207" s="46"/>
    </row>
    <row r="208" spans="18:18" s="8" customFormat="1" x14ac:dyDescent="0.2">
      <c r="R208" s="46"/>
    </row>
    <row r="209" spans="18:18" s="8" customFormat="1" x14ac:dyDescent="0.2">
      <c r="R209" s="46"/>
    </row>
    <row r="210" spans="18:18" s="8" customFormat="1" x14ac:dyDescent="0.2">
      <c r="R210" s="46"/>
    </row>
    <row r="211" spans="18:18" s="8" customFormat="1" x14ac:dyDescent="0.2">
      <c r="R211" s="46"/>
    </row>
    <row r="212" spans="18:18" s="8" customFormat="1" x14ac:dyDescent="0.2">
      <c r="R212" s="46"/>
    </row>
    <row r="213" spans="18:18" s="8" customFormat="1" x14ac:dyDescent="0.2">
      <c r="R213" s="46"/>
    </row>
    <row r="214" spans="18:18" s="8" customFormat="1" x14ac:dyDescent="0.2">
      <c r="R214" s="46"/>
    </row>
    <row r="215" spans="18:18" s="8" customFormat="1" x14ac:dyDescent="0.2">
      <c r="R215" s="46"/>
    </row>
    <row r="216" spans="18:18" s="8" customFormat="1" x14ac:dyDescent="0.2">
      <c r="R216" s="46"/>
    </row>
    <row r="217" spans="18:18" s="8" customFormat="1" x14ac:dyDescent="0.2">
      <c r="R217" s="46"/>
    </row>
    <row r="218" spans="18:18" s="8" customFormat="1" x14ac:dyDescent="0.2">
      <c r="R218" s="46"/>
    </row>
    <row r="219" spans="18:18" s="8" customFormat="1" x14ac:dyDescent="0.2">
      <c r="R219" s="46"/>
    </row>
    <row r="220" spans="18:18" s="8" customFormat="1" x14ac:dyDescent="0.2">
      <c r="R220" s="46"/>
    </row>
    <row r="221" spans="18:18" s="8" customFormat="1" x14ac:dyDescent="0.2">
      <c r="R221" s="46"/>
    </row>
    <row r="222" spans="18:18" s="8" customFormat="1" x14ac:dyDescent="0.2">
      <c r="R222" s="46"/>
    </row>
    <row r="223" spans="18:18" s="8" customFormat="1" x14ac:dyDescent="0.2">
      <c r="R223" s="46"/>
    </row>
    <row r="224" spans="18:18" s="8" customFormat="1" x14ac:dyDescent="0.2">
      <c r="R224" s="46"/>
    </row>
    <row r="225" spans="18:18" s="8" customFormat="1" x14ac:dyDescent="0.2">
      <c r="R225" s="46"/>
    </row>
    <row r="226" spans="18:18" s="8" customFormat="1" x14ac:dyDescent="0.2">
      <c r="R226" s="46"/>
    </row>
    <row r="227" spans="18:18" s="8" customFormat="1" x14ac:dyDescent="0.2">
      <c r="R227" s="46"/>
    </row>
    <row r="228" spans="18:18" s="8" customFormat="1" x14ac:dyDescent="0.2">
      <c r="R228" s="46"/>
    </row>
    <row r="229" spans="18:18" s="8" customFormat="1" x14ac:dyDescent="0.2">
      <c r="R229" s="46"/>
    </row>
    <row r="230" spans="18:18" s="8" customFormat="1" x14ac:dyDescent="0.2">
      <c r="R230" s="46"/>
    </row>
    <row r="231" spans="18:18" s="8" customFormat="1" x14ac:dyDescent="0.2">
      <c r="R231" s="46"/>
    </row>
    <row r="232" spans="18:18" s="8" customFormat="1" x14ac:dyDescent="0.2">
      <c r="R232" s="46"/>
    </row>
    <row r="233" spans="18:18" s="8" customFormat="1" x14ac:dyDescent="0.2">
      <c r="R233" s="46"/>
    </row>
    <row r="234" spans="18:18" s="8" customFormat="1" x14ac:dyDescent="0.2">
      <c r="R234" s="46"/>
    </row>
    <row r="235" spans="18:18" s="8" customFormat="1" x14ac:dyDescent="0.2">
      <c r="R235" s="46"/>
    </row>
    <row r="236" spans="18:18" s="8" customFormat="1" x14ac:dyDescent="0.2">
      <c r="R236" s="46"/>
    </row>
    <row r="237" spans="18:18" s="8" customFormat="1" x14ac:dyDescent="0.2">
      <c r="R237" s="46"/>
    </row>
    <row r="238" spans="18:18" s="8" customFormat="1" x14ac:dyDescent="0.2">
      <c r="R238" s="46"/>
    </row>
    <row r="239" spans="18:18" s="8" customFormat="1" x14ac:dyDescent="0.2">
      <c r="R239" s="46"/>
    </row>
    <row r="240" spans="18:18" s="8" customFormat="1" x14ac:dyDescent="0.2">
      <c r="R240" s="46"/>
    </row>
    <row r="241" spans="18:18" s="8" customFormat="1" x14ac:dyDescent="0.2">
      <c r="R241" s="46"/>
    </row>
    <row r="242" spans="18:18" s="8" customFormat="1" x14ac:dyDescent="0.2">
      <c r="R242" s="46"/>
    </row>
    <row r="243" spans="18:18" s="8" customFormat="1" x14ac:dyDescent="0.2">
      <c r="R243" s="46"/>
    </row>
    <row r="244" spans="18:18" s="8" customFormat="1" x14ac:dyDescent="0.2">
      <c r="R244" s="46"/>
    </row>
    <row r="245" spans="18:18" s="8" customFormat="1" x14ac:dyDescent="0.2">
      <c r="R245" s="46"/>
    </row>
    <row r="246" spans="18:18" s="8" customFormat="1" x14ac:dyDescent="0.2">
      <c r="R246" s="46"/>
    </row>
    <row r="247" spans="18:18" s="8" customFormat="1" x14ac:dyDescent="0.2">
      <c r="R247" s="46"/>
    </row>
    <row r="248" spans="18:18" s="8" customFormat="1" x14ac:dyDescent="0.2">
      <c r="R248" s="46"/>
    </row>
    <row r="249" spans="18:18" s="8" customFormat="1" x14ac:dyDescent="0.2">
      <c r="R249" s="46"/>
    </row>
    <row r="250" spans="18:18" s="8" customFormat="1" x14ac:dyDescent="0.2">
      <c r="R250" s="46"/>
    </row>
    <row r="251" spans="18:18" s="8" customFormat="1" x14ac:dyDescent="0.2">
      <c r="R251" s="46"/>
    </row>
    <row r="252" spans="18:18" s="8" customFormat="1" x14ac:dyDescent="0.2">
      <c r="R252" s="46"/>
    </row>
    <row r="253" spans="18:18" s="8" customFormat="1" x14ac:dyDescent="0.2">
      <c r="R253" s="46"/>
    </row>
    <row r="254" spans="18:18" s="8" customFormat="1" x14ac:dyDescent="0.2">
      <c r="R254" s="46"/>
    </row>
    <row r="255" spans="18:18" s="8" customFormat="1" x14ac:dyDescent="0.2">
      <c r="R255" s="46"/>
    </row>
    <row r="256" spans="18:18" s="8" customFormat="1" x14ac:dyDescent="0.2">
      <c r="R256" s="46"/>
    </row>
    <row r="257" spans="18:18" s="8" customFormat="1" x14ac:dyDescent="0.2">
      <c r="R257" s="46"/>
    </row>
    <row r="258" spans="18:18" s="8" customFormat="1" x14ac:dyDescent="0.2">
      <c r="R258" s="46"/>
    </row>
    <row r="259" spans="18:18" s="8" customFormat="1" x14ac:dyDescent="0.2">
      <c r="R259" s="46"/>
    </row>
    <row r="260" spans="18:18" s="8" customFormat="1" x14ac:dyDescent="0.2">
      <c r="R260" s="46"/>
    </row>
    <row r="261" spans="18:18" s="8" customFormat="1" x14ac:dyDescent="0.2">
      <c r="R261" s="46"/>
    </row>
    <row r="262" spans="18:18" s="8" customFormat="1" x14ac:dyDescent="0.2">
      <c r="R262" s="46"/>
    </row>
    <row r="263" spans="18:18" s="8" customFormat="1" x14ac:dyDescent="0.2">
      <c r="R263" s="46"/>
    </row>
    <row r="264" spans="18:18" s="8" customFormat="1" x14ac:dyDescent="0.2">
      <c r="R264" s="46"/>
    </row>
    <row r="265" spans="18:18" s="8" customFormat="1" x14ac:dyDescent="0.2">
      <c r="R265" s="46"/>
    </row>
    <row r="266" spans="18:18" s="8" customFormat="1" x14ac:dyDescent="0.2">
      <c r="R266" s="46"/>
    </row>
    <row r="267" spans="18:18" s="8" customFormat="1" x14ac:dyDescent="0.2">
      <c r="R267" s="46"/>
    </row>
    <row r="268" spans="18:18" s="8" customFormat="1" x14ac:dyDescent="0.2">
      <c r="R268" s="46"/>
    </row>
    <row r="269" spans="18:18" s="8" customFormat="1" x14ac:dyDescent="0.2">
      <c r="R269" s="46"/>
    </row>
    <row r="270" spans="18:18" s="8" customFormat="1" x14ac:dyDescent="0.2">
      <c r="R270" s="46"/>
    </row>
    <row r="271" spans="18:18" s="8" customFormat="1" x14ac:dyDescent="0.2">
      <c r="R271" s="46"/>
    </row>
    <row r="272" spans="18:18" s="8" customFormat="1" x14ac:dyDescent="0.2">
      <c r="R272" s="46"/>
    </row>
    <row r="273" spans="18:18" s="8" customFormat="1" x14ac:dyDescent="0.2">
      <c r="R273" s="46"/>
    </row>
    <row r="274" spans="18:18" s="8" customFormat="1" x14ac:dyDescent="0.2">
      <c r="R274" s="46"/>
    </row>
    <row r="275" spans="18:18" s="8" customFormat="1" x14ac:dyDescent="0.2">
      <c r="R275" s="46"/>
    </row>
    <row r="276" spans="18:18" s="8" customFormat="1" x14ac:dyDescent="0.2">
      <c r="R276" s="46"/>
    </row>
    <row r="277" spans="18:18" s="8" customFormat="1" x14ac:dyDescent="0.2">
      <c r="R277" s="46"/>
    </row>
    <row r="278" spans="18:18" s="8" customFormat="1" x14ac:dyDescent="0.2">
      <c r="R278" s="46"/>
    </row>
    <row r="279" spans="18:18" s="8" customFormat="1" x14ac:dyDescent="0.2">
      <c r="R279" s="46"/>
    </row>
    <row r="280" spans="18:18" s="8" customFormat="1" x14ac:dyDescent="0.2">
      <c r="R280" s="46"/>
    </row>
    <row r="281" spans="18:18" s="8" customFormat="1" x14ac:dyDescent="0.2">
      <c r="R281" s="46"/>
    </row>
  </sheetData>
  <sheetProtection formatCells="0" formatColumns="0" formatRows="0" autoFilter="0"/>
  <autoFilter ref="A25:S157"/>
  <dataConsolidate/>
  <mergeCells count="58">
    <mergeCell ref="A132:R132"/>
    <mergeCell ref="A136:R136"/>
    <mergeCell ref="A156:R156"/>
    <mergeCell ref="A159:R159"/>
    <mergeCell ref="A85:R85"/>
    <mergeCell ref="A87:R87"/>
    <mergeCell ref="A97:R97"/>
    <mergeCell ref="A106:R106"/>
    <mergeCell ref="A109:R109"/>
    <mergeCell ref="A114:R114"/>
    <mergeCell ref="K49:K50"/>
    <mergeCell ref="A77:R77"/>
    <mergeCell ref="L49:L50"/>
    <mergeCell ref="M49:M50"/>
    <mergeCell ref="N49:N50"/>
    <mergeCell ref="O49:O50"/>
    <mergeCell ref="P49:P50"/>
    <mergeCell ref="Q49:Q50"/>
    <mergeCell ref="R49:R50"/>
    <mergeCell ref="A54:R54"/>
    <mergeCell ref="A59:R59"/>
    <mergeCell ref="A64:R64"/>
    <mergeCell ref="A69:R69"/>
    <mergeCell ref="F49:F50"/>
    <mergeCell ref="G49:G50"/>
    <mergeCell ref="H49:H50"/>
    <mergeCell ref="I49:I50"/>
    <mergeCell ref="J49:J50"/>
    <mergeCell ref="A42:R42"/>
    <mergeCell ref="F43:F46"/>
    <mergeCell ref="G43:G46"/>
    <mergeCell ref="H43:H46"/>
    <mergeCell ref="I43:I46"/>
    <mergeCell ref="J43:J46"/>
    <mergeCell ref="K43:K46"/>
    <mergeCell ref="L43:L46"/>
    <mergeCell ref="M43:M46"/>
    <mergeCell ref="N43:N46"/>
    <mergeCell ref="O43:O46"/>
    <mergeCell ref="P43:P46"/>
    <mergeCell ref="Q43:Q46"/>
    <mergeCell ref="R43:R46"/>
    <mergeCell ref="A38:R38"/>
    <mergeCell ref="A4:R4"/>
    <mergeCell ref="A6:A24"/>
    <mergeCell ref="B6:B24"/>
    <mergeCell ref="C6:C24"/>
    <mergeCell ref="D6:D24"/>
    <mergeCell ref="E6:E8"/>
    <mergeCell ref="F6:F8"/>
    <mergeCell ref="G6:G8"/>
    <mergeCell ref="H6:H8"/>
    <mergeCell ref="I6:I8"/>
    <mergeCell ref="J6:Q6"/>
    <mergeCell ref="R6:R24"/>
    <mergeCell ref="J7:M7"/>
    <mergeCell ref="N7:Q7"/>
    <mergeCell ref="A26:R26"/>
  </mergeCells>
  <dataValidations count="1">
    <dataValidation type="list" errorStyle="warning" allowBlank="1" showInputMessage="1" showErrorMessage="1" errorTitle="Izvēle tikai no saraksta!" error="Lūdzu izvēlēties vienu no vērtībām sarakstā." sqref="F167:I1048576 J160:R1048576">
      <formula1>#REF!</formula1>
    </dataValidation>
  </dataValidations>
  <pageMargins left="0.23622047244094488" right="3.937007874015748E-2" top="0.74803149606299213" bottom="0.74803149606299213" header="0.31496062992125984" footer="0.31496062992125984"/>
  <pageSetup paperSize="9" scale="40" fitToHeight="0" orientation="landscape" r:id="rId1"/>
  <headerFooter>
    <oddFooter>&amp;L&amp;16&amp;F&amp;C&amp;16&amp;P no &amp;N</oddFooter>
  </headerFooter>
  <rowBreaks count="1" manualBreakCount="1">
    <brk id="113"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V281"/>
  <sheetViews>
    <sheetView view="pageBreakPreview" topLeftCell="C2" zoomScale="55" zoomScaleNormal="70" zoomScaleSheetLayoutView="55" zoomScalePageLayoutView="50" workbookViewId="0">
      <selection activeCell="P82" sqref="P82"/>
    </sheetView>
  </sheetViews>
  <sheetFormatPr defaultColWidth="9" defaultRowHeight="12.75" outlineLevelRow="1" outlineLevelCol="1" x14ac:dyDescent="0.2"/>
  <cols>
    <col min="1" max="1" width="12.25" style="1" hidden="1" customWidth="1"/>
    <col min="2" max="2" width="12" style="1" hidden="1" customWidth="1" outlineLevel="1"/>
    <col min="3" max="3" width="25.75" style="1" customWidth="1"/>
    <col min="4" max="4" width="10.375" style="1" customWidth="1"/>
    <col min="5" max="5" width="15.25" style="1" customWidth="1" collapsed="1"/>
    <col min="6" max="6" width="13.75" style="1" hidden="1" customWidth="1" outlineLevel="1"/>
    <col min="7" max="7" width="13" style="1" customWidth="1"/>
    <col min="8" max="8" width="13" style="1" customWidth="1" collapsed="1"/>
    <col min="9" max="9" width="11.125" style="1" hidden="1" customWidth="1" outlineLevel="1"/>
    <col min="10" max="10" width="11.75" style="1" customWidth="1"/>
    <col min="11" max="11" width="11.125" style="1" customWidth="1"/>
    <col min="12" max="12" width="14" style="1" customWidth="1"/>
    <col min="13" max="13" width="15.875" style="1" customWidth="1"/>
    <col min="14" max="14" width="11.75" style="1" customWidth="1"/>
    <col min="15" max="15" width="10.625" style="1" customWidth="1"/>
    <col min="16" max="16" width="13.75" style="1" customWidth="1"/>
    <col min="17" max="17" width="15.25" style="1" customWidth="1"/>
    <col min="18" max="18" width="150.375" style="42" customWidth="1"/>
    <col min="19" max="19" width="19.625" style="1" bestFit="1" customWidth="1"/>
    <col min="20" max="20" width="29" style="1" customWidth="1"/>
    <col min="21" max="21" width="9" style="1"/>
    <col min="22" max="22" width="10.625" style="1" bestFit="1" customWidth="1"/>
    <col min="23" max="16384" width="9" style="1"/>
  </cols>
  <sheetData>
    <row r="1" spans="1:20" ht="26.25" hidden="1" customHeight="1" x14ac:dyDescent="0.2"/>
    <row r="2" spans="1:20" ht="24.75" customHeight="1" x14ac:dyDescent="0.2"/>
    <row r="3" spans="1:20" ht="26.25" hidden="1" customHeight="1" x14ac:dyDescent="0.2"/>
    <row r="4" spans="1:20" ht="57" customHeight="1" x14ac:dyDescent="0.2">
      <c r="A4" s="395" t="s">
        <v>226</v>
      </c>
      <c r="B4" s="395"/>
      <c r="C4" s="395"/>
      <c r="D4" s="395"/>
      <c r="E4" s="395"/>
      <c r="F4" s="395"/>
      <c r="G4" s="395"/>
      <c r="H4" s="395"/>
      <c r="I4" s="395"/>
      <c r="J4" s="395"/>
      <c r="K4" s="395"/>
      <c r="L4" s="395"/>
      <c r="M4" s="395"/>
      <c r="N4" s="395"/>
      <c r="O4" s="395"/>
      <c r="P4" s="395"/>
      <c r="Q4" s="395"/>
      <c r="R4" s="395"/>
      <c r="S4" s="32"/>
    </row>
    <row r="5" spans="1:20" s="3" customFormat="1" ht="36" customHeight="1" x14ac:dyDescent="0.3">
      <c r="A5" s="25"/>
      <c r="B5" s="25"/>
      <c r="C5" s="28" t="s">
        <v>190</v>
      </c>
      <c r="D5" s="2"/>
      <c r="E5" s="20"/>
      <c r="F5" s="29"/>
      <c r="G5" s="29"/>
      <c r="H5" s="29"/>
      <c r="I5" s="29"/>
      <c r="J5" s="31"/>
      <c r="K5" s="31"/>
      <c r="L5" s="31"/>
      <c r="M5" s="31"/>
      <c r="N5" s="31"/>
      <c r="O5" s="31"/>
      <c r="P5" s="31"/>
      <c r="Q5" s="31"/>
      <c r="R5" s="43"/>
    </row>
    <row r="6" spans="1:20" s="4" customFormat="1" ht="72.75" customHeight="1" thickBot="1" x14ac:dyDescent="0.25">
      <c r="A6" s="375" t="s">
        <v>18</v>
      </c>
      <c r="B6" s="375" t="s">
        <v>0</v>
      </c>
      <c r="C6" s="375" t="s">
        <v>17</v>
      </c>
      <c r="D6" s="385" t="s">
        <v>169</v>
      </c>
      <c r="E6" s="375" t="s">
        <v>194</v>
      </c>
      <c r="F6" s="375" t="s">
        <v>161</v>
      </c>
      <c r="G6" s="375" t="s">
        <v>187</v>
      </c>
      <c r="H6" s="375" t="s">
        <v>188</v>
      </c>
      <c r="I6" s="378" t="s">
        <v>172</v>
      </c>
      <c r="J6" s="381" t="s">
        <v>189</v>
      </c>
      <c r="K6" s="381"/>
      <c r="L6" s="381"/>
      <c r="M6" s="381"/>
      <c r="N6" s="383"/>
      <c r="O6" s="383"/>
      <c r="P6" s="383"/>
      <c r="Q6" s="383"/>
      <c r="R6" s="465" t="s">
        <v>225</v>
      </c>
    </row>
    <row r="7" spans="1:20" s="4" customFormat="1" ht="70.5" customHeight="1" x14ac:dyDescent="0.2">
      <c r="A7" s="376"/>
      <c r="B7" s="376"/>
      <c r="C7" s="376"/>
      <c r="D7" s="386"/>
      <c r="E7" s="376"/>
      <c r="F7" s="376"/>
      <c r="G7" s="376"/>
      <c r="H7" s="376"/>
      <c r="I7" s="379"/>
      <c r="J7" s="381" t="s">
        <v>170</v>
      </c>
      <c r="K7" s="381"/>
      <c r="L7" s="381"/>
      <c r="M7" s="382"/>
      <c r="N7" s="388" t="s">
        <v>183</v>
      </c>
      <c r="O7" s="389"/>
      <c r="P7" s="389"/>
      <c r="Q7" s="390"/>
      <c r="R7" s="466"/>
    </row>
    <row r="8" spans="1:20" s="4" customFormat="1" ht="139.5" customHeight="1" collapsed="1" x14ac:dyDescent="0.2">
      <c r="A8" s="376"/>
      <c r="B8" s="376"/>
      <c r="C8" s="376"/>
      <c r="D8" s="386"/>
      <c r="E8" s="376"/>
      <c r="F8" s="377"/>
      <c r="G8" s="377"/>
      <c r="H8" s="377"/>
      <c r="I8" s="380"/>
      <c r="J8" s="40" t="s">
        <v>186</v>
      </c>
      <c r="K8" s="129" t="s">
        <v>171</v>
      </c>
      <c r="L8" s="41" t="s">
        <v>185</v>
      </c>
      <c r="M8" s="51" t="s">
        <v>184</v>
      </c>
      <c r="N8" s="52" t="s">
        <v>186</v>
      </c>
      <c r="O8" s="129" t="s">
        <v>171</v>
      </c>
      <c r="P8" s="41" t="s">
        <v>185</v>
      </c>
      <c r="Q8" s="53" t="s">
        <v>184</v>
      </c>
      <c r="R8" s="466"/>
    </row>
    <row r="9" spans="1:20" s="4" customFormat="1" ht="18.75" hidden="1" customHeight="1" outlineLevel="1" x14ac:dyDescent="0.45">
      <c r="A9" s="376"/>
      <c r="B9" s="376"/>
      <c r="C9" s="376"/>
      <c r="D9" s="386"/>
      <c r="E9" s="78" t="s">
        <v>143</v>
      </c>
      <c r="F9" s="71" t="s">
        <v>143</v>
      </c>
      <c r="G9" s="132">
        <f>G27+G28+G30+G29+G31+G32+G33+G34+G35+G36+G37</f>
        <v>83094259</v>
      </c>
      <c r="H9" s="132">
        <f>H27+H28+H30+H29+H31+H32+H33+H34+H35+H36+H37</f>
        <v>34255265.871961921</v>
      </c>
      <c r="I9" s="73">
        <v>0.75</v>
      </c>
      <c r="J9" s="132">
        <f>J27+J28+J30+J29+J31+J32+J33+J34+J35+J36+J37</f>
        <v>93753197.836180657</v>
      </c>
      <c r="K9" s="73">
        <f>J9/G9</f>
        <v>1.1282752739413762</v>
      </c>
      <c r="L9" s="132">
        <f>J9-(G9*I9)</f>
        <v>31432503.586180657</v>
      </c>
      <c r="M9" s="133">
        <f>J9-(G9*0.65)</f>
        <v>39741929.486180656</v>
      </c>
      <c r="N9" s="75">
        <f>N27+N28+N30+N29+N31+N32+N33+N34+N35+N36+N37</f>
        <v>114405845.87145244</v>
      </c>
      <c r="O9" s="73">
        <f>N9/G9</f>
        <v>1.3768200986238104</v>
      </c>
      <c r="P9" s="76">
        <f>N9-(G9*I9)</f>
        <v>52085151.621452436</v>
      </c>
      <c r="Q9" s="77">
        <f>N9-(G9*0.65)</f>
        <v>60394577.521452434</v>
      </c>
      <c r="R9" s="466"/>
      <c r="S9" s="35"/>
      <c r="T9" s="39"/>
    </row>
    <row r="10" spans="1:20" s="4" customFormat="1" ht="18.75" customHeight="1" x14ac:dyDescent="0.45">
      <c r="A10" s="376"/>
      <c r="B10" s="376"/>
      <c r="C10" s="376"/>
      <c r="D10" s="386"/>
      <c r="E10" s="78" t="s">
        <v>144</v>
      </c>
      <c r="F10" s="78" t="s">
        <v>144</v>
      </c>
      <c r="G10" s="132">
        <f>G39+G40+G41</f>
        <v>23975988</v>
      </c>
      <c r="H10" s="132">
        <f>H39+H40+H41</f>
        <v>10538992.077308552</v>
      </c>
      <c r="I10" s="73">
        <v>0.75</v>
      </c>
      <c r="J10" s="132">
        <f>J39+J40+J41</f>
        <v>24185311.906327732</v>
      </c>
      <c r="K10" s="73">
        <f t="shared" ref="K10:K24" si="0">J10/G10</f>
        <v>1.0087305643599642</v>
      </c>
      <c r="L10" s="132">
        <f t="shared" ref="L10:L24" si="1">J10-(G10*I10)</f>
        <v>6203320.9063277319</v>
      </c>
      <c r="M10" s="133">
        <f t="shared" ref="M10:M24" si="2">J10-(G10*0.65)</f>
        <v>8600919.7063277308</v>
      </c>
      <c r="N10" s="75">
        <f>N39+N40+N41</f>
        <v>24186961.579857141</v>
      </c>
      <c r="O10" s="73">
        <f t="shared" ref="O10:O24" si="3">N10/G10</f>
        <v>1.0087993695966624</v>
      </c>
      <c r="P10" s="76">
        <f t="shared" ref="P10:P24" si="4">N10-(G10*I10)</f>
        <v>6204970.5798571408</v>
      </c>
      <c r="Q10" s="77">
        <f t="shared" ref="Q10:Q24" si="5">N10-(G10*0.65)</f>
        <v>8602569.3798571397</v>
      </c>
      <c r="R10" s="466"/>
      <c r="S10" s="35"/>
      <c r="T10" s="39"/>
    </row>
    <row r="11" spans="1:20" s="4" customFormat="1" ht="19.5" customHeight="1" collapsed="1" x14ac:dyDescent="0.45">
      <c r="A11" s="376"/>
      <c r="B11" s="376"/>
      <c r="C11" s="376"/>
      <c r="D11" s="386"/>
      <c r="E11" s="78" t="s">
        <v>145</v>
      </c>
      <c r="F11" s="71" t="s">
        <v>145</v>
      </c>
      <c r="G11" s="132">
        <f>G43+G44+G45+G46+G47+G48+G49+G50+G51+G52+G53</f>
        <v>79669032</v>
      </c>
      <c r="H11" s="132">
        <f>H43+H44+H45+H46+H47+H48+H49+H50+H51+H52+H53</f>
        <v>18066349.449242234</v>
      </c>
      <c r="I11" s="73">
        <v>0.85</v>
      </c>
      <c r="J11" s="132">
        <f>J43+J44+J45+J46+J47+J48+J49+J50+J51+J52+J53</f>
        <v>117640456.7457357</v>
      </c>
      <c r="K11" s="73">
        <f t="shared" si="0"/>
        <v>1.4766146116314769</v>
      </c>
      <c r="L11" s="132">
        <f t="shared" si="1"/>
        <v>49921779.545735702</v>
      </c>
      <c r="M11" s="133">
        <f t="shared" si="2"/>
        <v>65855585.9457357</v>
      </c>
      <c r="N11" s="75">
        <f>N43+N44+N45+N46+N47+N48+N49+N50+N51+N52+N53</f>
        <v>127789529.43456942</v>
      </c>
      <c r="O11" s="73">
        <f t="shared" si="3"/>
        <v>1.6040050472129423</v>
      </c>
      <c r="P11" s="76">
        <f t="shared" si="4"/>
        <v>60070852.234569415</v>
      </c>
      <c r="Q11" s="77">
        <f t="shared" si="5"/>
        <v>76004658.634569407</v>
      </c>
      <c r="R11" s="466"/>
      <c r="S11" s="35"/>
      <c r="T11" s="39"/>
    </row>
    <row r="12" spans="1:20" s="4" customFormat="1" ht="19.5" hidden="1" customHeight="1" outlineLevel="1" x14ac:dyDescent="0.45">
      <c r="A12" s="376"/>
      <c r="B12" s="376"/>
      <c r="C12" s="376"/>
      <c r="D12" s="386"/>
      <c r="E12" s="78" t="s">
        <v>146</v>
      </c>
      <c r="F12" s="78" t="s">
        <v>146</v>
      </c>
      <c r="G12" s="132">
        <f>G55+G56+G57+G58</f>
        <v>7012838</v>
      </c>
      <c r="H12" s="132">
        <f>H55+H56+H57+H58</f>
        <v>1123274.1675711775</v>
      </c>
      <c r="I12" s="73">
        <v>0.85</v>
      </c>
      <c r="J12" s="132">
        <f>J55+J56+J57+J58</f>
        <v>7255831.6283764224</v>
      </c>
      <c r="K12" s="73">
        <f t="shared" si="0"/>
        <v>1.0346498276983473</v>
      </c>
      <c r="L12" s="132">
        <f t="shared" si="1"/>
        <v>1294919.3283764226</v>
      </c>
      <c r="M12" s="133">
        <f t="shared" si="2"/>
        <v>2697486.9283764223</v>
      </c>
      <c r="N12" s="75">
        <f>N55+N56+N57+N58</f>
        <v>7255831.6283764224</v>
      </c>
      <c r="O12" s="73">
        <f t="shared" si="3"/>
        <v>1.0346498276983473</v>
      </c>
      <c r="P12" s="76">
        <f t="shared" si="4"/>
        <v>1294919.3283764226</v>
      </c>
      <c r="Q12" s="77">
        <f t="shared" si="5"/>
        <v>2697486.9283764223</v>
      </c>
      <c r="R12" s="466"/>
      <c r="S12" s="35"/>
      <c r="T12" s="39"/>
    </row>
    <row r="13" spans="1:20" s="4" customFormat="1" ht="20.25" customHeight="1" collapsed="1" x14ac:dyDescent="0.45">
      <c r="A13" s="376"/>
      <c r="B13" s="376"/>
      <c r="C13" s="376"/>
      <c r="D13" s="386"/>
      <c r="E13" s="120" t="s">
        <v>147</v>
      </c>
      <c r="F13" s="71" t="s">
        <v>147</v>
      </c>
      <c r="G13" s="132">
        <f>G60+G61+G62+G63</f>
        <v>74174925</v>
      </c>
      <c r="H13" s="132">
        <f>H60+H61+H62+H63</f>
        <v>17465636.620791227</v>
      </c>
      <c r="I13" s="73">
        <v>0.75</v>
      </c>
      <c r="J13" s="132">
        <f>J60+J61+J62+J63</f>
        <v>46812514.283291258</v>
      </c>
      <c r="K13" s="79">
        <f t="shared" si="0"/>
        <v>0.63110969486374613</v>
      </c>
      <c r="L13" s="132">
        <f t="shared" si="1"/>
        <v>-8818679.4667087421</v>
      </c>
      <c r="M13" s="133">
        <f t="shared" si="2"/>
        <v>-1401186.9667087421</v>
      </c>
      <c r="N13" s="75">
        <f>N60+N61+N62+N63</f>
        <v>55986282.549278125</v>
      </c>
      <c r="O13" s="73">
        <f t="shared" si="3"/>
        <v>0.75478718110302268</v>
      </c>
      <c r="P13" s="76">
        <f t="shared" si="4"/>
        <v>355088.79927812517</v>
      </c>
      <c r="Q13" s="77">
        <f t="shared" si="5"/>
        <v>7772581.2992781252</v>
      </c>
      <c r="R13" s="466"/>
      <c r="S13" s="35"/>
      <c r="T13" s="39"/>
    </row>
    <row r="14" spans="1:20" s="4" customFormat="1" ht="20.25" hidden="1" customHeight="1" outlineLevel="1" x14ac:dyDescent="0.45">
      <c r="A14" s="376"/>
      <c r="B14" s="376"/>
      <c r="C14" s="376"/>
      <c r="D14" s="386"/>
      <c r="E14" s="78" t="s">
        <v>148</v>
      </c>
      <c r="F14" s="78" t="s">
        <v>148</v>
      </c>
      <c r="G14" s="132">
        <f>G65+G66+G67+G68</f>
        <v>31678051</v>
      </c>
      <c r="H14" s="132">
        <f>H65+H66+H67+H68</f>
        <v>12019298.103321806</v>
      </c>
      <c r="I14" s="73">
        <v>0.75</v>
      </c>
      <c r="J14" s="132">
        <f>J65+J66+J67+J68</f>
        <v>36346282.316279314</v>
      </c>
      <c r="K14" s="73">
        <f t="shared" si="0"/>
        <v>1.1473648526002851</v>
      </c>
      <c r="L14" s="132">
        <f t="shared" si="1"/>
        <v>12587744.066279314</v>
      </c>
      <c r="M14" s="133">
        <f t="shared" si="2"/>
        <v>15755549.166279312</v>
      </c>
      <c r="N14" s="75">
        <f>N65+N66+N67+N68</f>
        <v>36384688.170881458</v>
      </c>
      <c r="O14" s="73">
        <f t="shared" si="3"/>
        <v>1.1485772332041975</v>
      </c>
      <c r="P14" s="76">
        <f t="shared" si="4"/>
        <v>12626149.920881458</v>
      </c>
      <c r="Q14" s="77">
        <f t="shared" si="5"/>
        <v>15793955.020881455</v>
      </c>
      <c r="R14" s="466"/>
      <c r="S14" s="35"/>
      <c r="T14" s="39"/>
    </row>
    <row r="15" spans="1:20" s="4" customFormat="1" ht="22.5" customHeight="1" x14ac:dyDescent="0.45">
      <c r="A15" s="376"/>
      <c r="B15" s="376"/>
      <c r="C15" s="376"/>
      <c r="D15" s="386"/>
      <c r="E15" s="121" t="s">
        <v>149</v>
      </c>
      <c r="F15" s="71" t="s">
        <v>149</v>
      </c>
      <c r="G15" s="132">
        <f>G70+G71+G72+G73+G74+G75+G76</f>
        <v>109957466</v>
      </c>
      <c r="H15" s="132">
        <f>H70+H71+H72+H73+H74+H75+H76</f>
        <v>26405878.707944859</v>
      </c>
      <c r="I15" s="73">
        <v>0.75</v>
      </c>
      <c r="J15" s="132">
        <f>J70+J71+J72+J73+J74+J75+J76</f>
        <v>82815906.822229594</v>
      </c>
      <c r="K15" s="80">
        <f t="shared" si="0"/>
        <v>0.75316310783507501</v>
      </c>
      <c r="L15" s="132">
        <f t="shared" si="1"/>
        <v>347807.32222959399</v>
      </c>
      <c r="M15" s="133">
        <f t="shared" si="2"/>
        <v>11343553.922229588</v>
      </c>
      <c r="N15" s="75">
        <f>N70+N71+N72+N73+N74+N75+N76</f>
        <v>97586954.485464066</v>
      </c>
      <c r="O15" s="73">
        <f t="shared" si="3"/>
        <v>0.88749730268851468</v>
      </c>
      <c r="P15" s="76">
        <f t="shared" si="4"/>
        <v>15118854.985464066</v>
      </c>
      <c r="Q15" s="77">
        <f t="shared" si="5"/>
        <v>26114601.58546406</v>
      </c>
      <c r="R15" s="466"/>
      <c r="S15" s="35"/>
      <c r="T15" s="39"/>
    </row>
    <row r="16" spans="1:20" s="4" customFormat="1" ht="22.5" customHeight="1" collapsed="1" x14ac:dyDescent="0.45">
      <c r="A16" s="376"/>
      <c r="B16" s="376"/>
      <c r="C16" s="376"/>
      <c r="D16" s="386"/>
      <c r="E16" s="120" t="s">
        <v>150</v>
      </c>
      <c r="F16" s="78" t="s">
        <v>150</v>
      </c>
      <c r="G16" s="132">
        <f>G78+G79+G80+G81+G82+G83+G84</f>
        <v>46013028</v>
      </c>
      <c r="H16" s="132">
        <f>H78+H79+H80+H81+H82+H83+H84</f>
        <v>12102145.191502687</v>
      </c>
      <c r="I16" s="73">
        <v>0.85</v>
      </c>
      <c r="J16" s="132">
        <f>J78+J79+J80+J81+J82+J83+J84</f>
        <v>28321248.010474801</v>
      </c>
      <c r="K16" s="79">
        <f t="shared" si="0"/>
        <v>0.61550498285995869</v>
      </c>
      <c r="L16" s="132">
        <f t="shared" si="1"/>
        <v>-10789825.789525196</v>
      </c>
      <c r="M16" s="133">
        <f t="shared" si="2"/>
        <v>-1587220.1895251982</v>
      </c>
      <c r="N16" s="75">
        <f>N78+N79+N80+N81+N82+N83+N84</f>
        <v>46086084.727796137</v>
      </c>
      <c r="O16" s="73">
        <f t="shared" si="3"/>
        <v>1.0015877400591011</v>
      </c>
      <c r="P16" s="76">
        <f t="shared" si="4"/>
        <v>6975010.9277961403</v>
      </c>
      <c r="Q16" s="77">
        <f t="shared" si="5"/>
        <v>16177616.527796138</v>
      </c>
      <c r="R16" s="466"/>
      <c r="S16" s="35"/>
      <c r="T16" s="39"/>
    </row>
    <row r="17" spans="1:20" s="4" customFormat="1" ht="24" hidden="1" customHeight="1" outlineLevel="1" x14ac:dyDescent="0.45">
      <c r="A17" s="376"/>
      <c r="B17" s="376"/>
      <c r="C17" s="376"/>
      <c r="D17" s="386"/>
      <c r="E17" s="78" t="s">
        <v>151</v>
      </c>
      <c r="F17" s="78" t="s">
        <v>151</v>
      </c>
      <c r="G17" s="132">
        <f>G86</f>
        <v>72852630</v>
      </c>
      <c r="H17" s="132">
        <f>H86</f>
        <v>14363011</v>
      </c>
      <c r="I17" s="73">
        <v>0.75</v>
      </c>
      <c r="J17" s="132">
        <f>J86</f>
        <v>178628249.03039232</v>
      </c>
      <c r="K17" s="73">
        <f t="shared" si="0"/>
        <v>2.4519121551327978</v>
      </c>
      <c r="L17" s="132">
        <f t="shared" si="1"/>
        <v>123988776.53039232</v>
      </c>
      <c r="M17" s="133">
        <f t="shared" si="2"/>
        <v>131274039.53039232</v>
      </c>
      <c r="N17" s="75">
        <f>N86</f>
        <v>178628249.03039232</v>
      </c>
      <c r="O17" s="73">
        <f t="shared" si="3"/>
        <v>2.4519121551327978</v>
      </c>
      <c r="P17" s="76">
        <f t="shared" si="4"/>
        <v>123988776.53039232</v>
      </c>
      <c r="Q17" s="77">
        <f t="shared" si="5"/>
        <v>131274039.53039232</v>
      </c>
      <c r="R17" s="466"/>
      <c r="S17" s="35"/>
      <c r="T17" s="39"/>
    </row>
    <row r="18" spans="1:20" s="4" customFormat="1" ht="24" hidden="1" customHeight="1" outlineLevel="1" x14ac:dyDescent="0.45">
      <c r="A18" s="376"/>
      <c r="B18" s="376"/>
      <c r="C18" s="376"/>
      <c r="D18" s="386"/>
      <c r="E18" s="78" t="s">
        <v>152</v>
      </c>
      <c r="F18" s="78" t="s">
        <v>152</v>
      </c>
      <c r="G18" s="132">
        <f>G88+G89+G90+G91+G92+G93+G94+G95+G96</f>
        <v>306148623</v>
      </c>
      <c r="H18" s="132">
        <f>H88+H89+H90+H91+H92+H93+H94+H95+H96</f>
        <v>57183035.877791017</v>
      </c>
      <c r="I18" s="73">
        <v>0.75</v>
      </c>
      <c r="J18" s="132">
        <f>J88+J89+J90+J91+J92+J93+J94+J95+J96</f>
        <v>272356963.84772599</v>
      </c>
      <c r="K18" s="73">
        <f t="shared" si="0"/>
        <v>0.88962335083808619</v>
      </c>
      <c r="L18" s="132">
        <f t="shared" si="1"/>
        <v>42745496.597725987</v>
      </c>
      <c r="M18" s="133">
        <f t="shared" si="2"/>
        <v>73360358.89772597</v>
      </c>
      <c r="N18" s="75">
        <f>N88+N89+N90+N91+N92+N93+N94+N95+N96</f>
        <v>272356963.84772599</v>
      </c>
      <c r="O18" s="73">
        <f t="shared" si="3"/>
        <v>0.88962335083808619</v>
      </c>
      <c r="P18" s="76">
        <f t="shared" si="4"/>
        <v>42745496.597725987</v>
      </c>
      <c r="Q18" s="77">
        <f t="shared" si="5"/>
        <v>73360358.89772597</v>
      </c>
      <c r="R18" s="466"/>
      <c r="S18" s="35"/>
      <c r="T18" s="39"/>
    </row>
    <row r="19" spans="1:20" s="4" customFormat="1" ht="24" hidden="1" customHeight="1" outlineLevel="1" x14ac:dyDescent="0.45">
      <c r="A19" s="376"/>
      <c r="B19" s="376"/>
      <c r="C19" s="376"/>
      <c r="D19" s="386"/>
      <c r="E19" s="78" t="s">
        <v>153</v>
      </c>
      <c r="F19" s="78" t="s">
        <v>153</v>
      </c>
      <c r="G19" s="132">
        <f>G98+G99+G100+G101+G102+G103+G104+G105</f>
        <v>49376694</v>
      </c>
      <c r="H19" s="132">
        <f>H98+H99+H100+H101+H102+H103+H104+H105</f>
        <v>6973974</v>
      </c>
      <c r="I19" s="73">
        <v>0.85</v>
      </c>
      <c r="J19" s="132">
        <f>J98+J99+J100+J101+J102+J103+J104+J105</f>
        <v>57831931.112864926</v>
      </c>
      <c r="K19" s="73">
        <f t="shared" si="0"/>
        <v>1.1712394335851024</v>
      </c>
      <c r="L19" s="132">
        <f t="shared" si="1"/>
        <v>15861741.212864928</v>
      </c>
      <c r="M19" s="133">
        <f t="shared" si="2"/>
        <v>25737080.012864925</v>
      </c>
      <c r="N19" s="75">
        <f>N98+N99+N100+N101+N102+N103+N104+N105</f>
        <v>57831931.112864926</v>
      </c>
      <c r="O19" s="73">
        <f t="shared" si="3"/>
        <v>1.1712394335851024</v>
      </c>
      <c r="P19" s="76">
        <f t="shared" si="4"/>
        <v>15861741.212864928</v>
      </c>
      <c r="Q19" s="77">
        <f t="shared" si="5"/>
        <v>25737080.012864925</v>
      </c>
      <c r="R19" s="466"/>
      <c r="S19" s="35"/>
      <c r="T19" s="39"/>
    </row>
    <row r="20" spans="1:20" s="4" customFormat="1" ht="24" hidden="1" customHeight="1" outlineLevel="1" x14ac:dyDescent="0.45">
      <c r="A20" s="376"/>
      <c r="B20" s="376"/>
      <c r="C20" s="376"/>
      <c r="D20" s="386"/>
      <c r="E20" s="78" t="s">
        <v>154</v>
      </c>
      <c r="F20" s="78" t="s">
        <v>154</v>
      </c>
      <c r="G20" s="132">
        <f>G107+G108</f>
        <v>48708012</v>
      </c>
      <c r="H20" s="132">
        <f>H107+H108</f>
        <v>0</v>
      </c>
      <c r="I20" s="73">
        <v>0.85</v>
      </c>
      <c r="J20" s="132">
        <f>J107+J108</f>
        <v>55075034.132632583</v>
      </c>
      <c r="K20" s="73">
        <f t="shared" si="0"/>
        <v>1.1307181687610774</v>
      </c>
      <c r="L20" s="132">
        <f t="shared" si="1"/>
        <v>13673223.932632588</v>
      </c>
      <c r="M20" s="133">
        <f t="shared" si="2"/>
        <v>23414826.332632583</v>
      </c>
      <c r="N20" s="75">
        <f>N107+N108</f>
        <v>55075034.132632583</v>
      </c>
      <c r="O20" s="73">
        <f t="shared" si="3"/>
        <v>1.1307181687610774</v>
      </c>
      <c r="P20" s="76">
        <f t="shared" si="4"/>
        <v>13673223.932632588</v>
      </c>
      <c r="Q20" s="77">
        <f t="shared" si="5"/>
        <v>23414826.332632583</v>
      </c>
      <c r="R20" s="466"/>
      <c r="S20" s="35"/>
      <c r="T20" s="39"/>
    </row>
    <row r="21" spans="1:20" s="4" customFormat="1" ht="24" hidden="1" customHeight="1" outlineLevel="1" x14ac:dyDescent="0.45">
      <c r="A21" s="376"/>
      <c r="B21" s="376"/>
      <c r="C21" s="376"/>
      <c r="D21" s="386"/>
      <c r="E21" s="120" t="s">
        <v>155</v>
      </c>
      <c r="F21" s="78" t="s">
        <v>155</v>
      </c>
      <c r="G21" s="132">
        <f>G110+G111+G112+G113</f>
        <v>80534872</v>
      </c>
      <c r="H21" s="132">
        <f>H110+H111+H112+H113</f>
        <v>16924211.699999999</v>
      </c>
      <c r="I21" s="73">
        <v>0.85</v>
      </c>
      <c r="J21" s="132">
        <f>J110+J111+J112+J113</f>
        <v>52712614.384429358</v>
      </c>
      <c r="K21" s="79">
        <f t="shared" si="0"/>
        <v>0.65453154733305297</v>
      </c>
      <c r="L21" s="132">
        <f t="shared" si="1"/>
        <v>-15742026.815570645</v>
      </c>
      <c r="M21" s="133">
        <f t="shared" si="2"/>
        <v>364947.58442935348</v>
      </c>
      <c r="N21" s="75">
        <f>N110+N111+N112+N113</f>
        <v>74624030.223760501</v>
      </c>
      <c r="O21" s="73">
        <f t="shared" si="3"/>
        <v>0.92660518816942428</v>
      </c>
      <c r="P21" s="76">
        <f t="shared" si="4"/>
        <v>6169389.0237604976</v>
      </c>
      <c r="Q21" s="77">
        <f t="shared" si="5"/>
        <v>22276363.423760496</v>
      </c>
      <c r="R21" s="466"/>
      <c r="S21" s="35"/>
      <c r="T21" s="39"/>
    </row>
    <row r="22" spans="1:20" s="4" customFormat="1" ht="24" hidden="1" customHeight="1" outlineLevel="1" x14ac:dyDescent="0.45">
      <c r="A22" s="376"/>
      <c r="B22" s="376"/>
      <c r="C22" s="376"/>
      <c r="D22" s="386"/>
      <c r="E22" s="78" t="s">
        <v>156</v>
      </c>
      <c r="F22" s="78" t="s">
        <v>156</v>
      </c>
      <c r="G22" s="132">
        <f>G115+G116+G117+G118+G119+G120+G121+G122+G123+G124+G125+G126+G127+G128+G129+G130+G131</f>
        <v>36865959</v>
      </c>
      <c r="H22" s="132">
        <f>H115+H116+H117+H118+H119+H120+H121+H122+H123+H124+H125+H126+H127+H128+H129+H130+H131</f>
        <v>14473760.993476558</v>
      </c>
      <c r="I22" s="73">
        <v>0.75</v>
      </c>
      <c r="J22" s="132">
        <f>J115+J116+J117+J118+J119+J120+J121+J122+J123+J124+J125+J126+J127+J128+J129+J130+J131</f>
        <v>31783514.061879277</v>
      </c>
      <c r="K22" s="73">
        <f t="shared" si="0"/>
        <v>0.86213718357033053</v>
      </c>
      <c r="L22" s="132">
        <f t="shared" si="1"/>
        <v>4134044.8118792772</v>
      </c>
      <c r="M22" s="133">
        <f t="shared" si="2"/>
        <v>7820640.7118792757</v>
      </c>
      <c r="N22" s="75">
        <f>N115+N116+N117+N118+N119+N120+N121+N122+N123+N124+N125+N126+N127+N128+N129+N130+N131</f>
        <v>39555905.851552948</v>
      </c>
      <c r="O22" s="73">
        <f t="shared" si="3"/>
        <v>1.0729656009098516</v>
      </c>
      <c r="P22" s="76">
        <f t="shared" si="4"/>
        <v>11906436.601552948</v>
      </c>
      <c r="Q22" s="77">
        <f t="shared" si="5"/>
        <v>15593032.501552947</v>
      </c>
      <c r="R22" s="466"/>
      <c r="S22" s="35"/>
      <c r="T22" s="39"/>
    </row>
    <row r="23" spans="1:20" s="4" customFormat="1" ht="24" hidden="1" customHeight="1" outlineLevel="1" x14ac:dyDescent="0.45">
      <c r="A23" s="376"/>
      <c r="B23" s="376"/>
      <c r="C23" s="376"/>
      <c r="D23" s="386"/>
      <c r="E23" s="78" t="s">
        <v>157</v>
      </c>
      <c r="F23" s="78" t="s">
        <v>157</v>
      </c>
      <c r="G23" s="132">
        <f>G133+G134+G135</f>
        <v>7796118</v>
      </c>
      <c r="H23" s="132">
        <f>H133+H134+H135</f>
        <v>11795105</v>
      </c>
      <c r="I23" s="73">
        <v>0.75</v>
      </c>
      <c r="J23" s="132">
        <f>J133+J134+J135</f>
        <v>15333300.493595434</v>
      </c>
      <c r="K23" s="73">
        <f t="shared" si="0"/>
        <v>1.9667866101559051</v>
      </c>
      <c r="L23" s="132">
        <f t="shared" si="1"/>
        <v>9486211.9935954344</v>
      </c>
      <c r="M23" s="133">
        <f t="shared" si="2"/>
        <v>10265823.793595433</v>
      </c>
      <c r="N23" s="75">
        <f>N133+N134+N135</f>
        <v>15333300.493595434</v>
      </c>
      <c r="O23" s="73">
        <f t="shared" si="3"/>
        <v>1.9667866101559051</v>
      </c>
      <c r="P23" s="76">
        <f t="shared" si="4"/>
        <v>9486211.9935954344</v>
      </c>
      <c r="Q23" s="77">
        <f t="shared" si="5"/>
        <v>10265823.793595433</v>
      </c>
      <c r="R23" s="466"/>
      <c r="S23" s="35"/>
      <c r="T23" s="39"/>
    </row>
    <row r="24" spans="1:20" s="4" customFormat="1" ht="24" hidden="1" customHeight="1" outlineLevel="1" x14ac:dyDescent="0.45">
      <c r="A24" s="377"/>
      <c r="B24" s="377"/>
      <c r="C24" s="377"/>
      <c r="D24" s="387"/>
      <c r="E24" s="78" t="s">
        <v>158</v>
      </c>
      <c r="F24" s="78" t="s">
        <v>158</v>
      </c>
      <c r="G24" s="132">
        <f>G137+G138+G139+G140+G141+G142+G143+G144+G145+G146+G147+G148+G149+G150+G151+G152+G153+G154+G155</f>
        <v>47915277</v>
      </c>
      <c r="H24" s="132">
        <f>H137+H138+H139+H140+H141+H142+H143+H144+H145+H146+H147+H148+H149+H150+H151+H152+H153+H154+H155</f>
        <v>14001679.090627547</v>
      </c>
      <c r="I24" s="73">
        <v>0.75</v>
      </c>
      <c r="J24" s="132">
        <f>J137+J138+J139+J140+J141+J142+J143+J144+J145+J146+J147+J148+J149+J150+J151+J152+J153+J154+J155</f>
        <v>47158841.799894206</v>
      </c>
      <c r="K24" s="73">
        <f t="shared" si="0"/>
        <v>0.98421306841019007</v>
      </c>
      <c r="L24" s="132">
        <f t="shared" si="1"/>
        <v>11222384.049894206</v>
      </c>
      <c r="M24" s="133">
        <f t="shared" si="2"/>
        <v>16013911.749894205</v>
      </c>
      <c r="N24" s="75">
        <f>N137+N138+N139+N140+N141+N142+N143+N144+N145+N146+N147+N148+N149+N150+N151+N152+N153+N154+N155</f>
        <v>47158841.799894206</v>
      </c>
      <c r="O24" s="73">
        <f t="shared" si="3"/>
        <v>0.98421306841019007</v>
      </c>
      <c r="P24" s="76">
        <f t="shared" si="4"/>
        <v>11222384.049894206</v>
      </c>
      <c r="Q24" s="77">
        <f t="shared" si="5"/>
        <v>16013911.749894205</v>
      </c>
      <c r="R24" s="466"/>
      <c r="S24" s="35"/>
      <c r="T24" s="39"/>
    </row>
    <row r="25" spans="1:20" s="6" customFormat="1" ht="15" customHeight="1" collapsed="1" x14ac:dyDescent="0.2">
      <c r="A25" s="54" t="s">
        <v>1</v>
      </c>
      <c r="B25" s="54" t="s">
        <v>1</v>
      </c>
      <c r="C25" s="54" t="s">
        <v>1</v>
      </c>
      <c r="D25" s="54" t="s">
        <v>2</v>
      </c>
      <c r="E25" s="54" t="s">
        <v>3</v>
      </c>
      <c r="F25" s="5" t="s">
        <v>4</v>
      </c>
      <c r="G25" s="54" t="s">
        <v>4</v>
      </c>
      <c r="H25" s="54" t="s">
        <v>5</v>
      </c>
      <c r="I25" s="54" t="s">
        <v>8</v>
      </c>
      <c r="J25" s="54" t="s">
        <v>7</v>
      </c>
      <c r="K25" s="54" t="s">
        <v>8</v>
      </c>
      <c r="L25" s="54" t="s">
        <v>9</v>
      </c>
      <c r="M25" s="59" t="s">
        <v>6</v>
      </c>
      <c r="N25" s="68" t="s">
        <v>10</v>
      </c>
      <c r="O25" s="69" t="s">
        <v>11</v>
      </c>
      <c r="P25" s="69" t="s">
        <v>12</v>
      </c>
      <c r="Q25" s="70" t="s">
        <v>13</v>
      </c>
      <c r="R25" s="60" t="s">
        <v>14</v>
      </c>
    </row>
    <row r="26" spans="1:20" s="6" customFormat="1" ht="40.5" hidden="1" customHeight="1" outlineLevel="1" x14ac:dyDescent="0.2">
      <c r="A26" s="462" t="s">
        <v>203</v>
      </c>
      <c r="B26" s="463"/>
      <c r="C26" s="463"/>
      <c r="D26" s="463"/>
      <c r="E26" s="463"/>
      <c r="F26" s="463"/>
      <c r="G26" s="463"/>
      <c r="H26" s="463"/>
      <c r="I26" s="463"/>
      <c r="J26" s="463"/>
      <c r="K26" s="463"/>
      <c r="L26" s="463"/>
      <c r="M26" s="463"/>
      <c r="N26" s="463"/>
      <c r="O26" s="463"/>
      <c r="P26" s="463"/>
      <c r="Q26" s="463"/>
      <c r="R26" s="464"/>
    </row>
    <row r="27" spans="1:20" s="8" customFormat="1" ht="46.5" hidden="1" outlineLevel="1" x14ac:dyDescent="0.2">
      <c r="A27" s="81">
        <v>9</v>
      </c>
      <c r="B27" s="82" t="s">
        <v>1</v>
      </c>
      <c r="C27" s="83" t="s">
        <v>20</v>
      </c>
      <c r="D27" s="84" t="s">
        <v>126</v>
      </c>
      <c r="E27" s="132">
        <v>76512873</v>
      </c>
      <c r="F27" s="132"/>
      <c r="G27" s="132">
        <v>11617160</v>
      </c>
      <c r="H27" s="132">
        <v>0</v>
      </c>
      <c r="I27" s="136">
        <v>0.75</v>
      </c>
      <c r="J27" s="132">
        <v>20544561.689794779</v>
      </c>
      <c r="K27" s="131">
        <f>IFERROR(J27/G27,"n/a")</f>
        <v>1.768466793071179</v>
      </c>
      <c r="L27" s="132">
        <f>IFERROR(J27-(G27*I27),"n/a")</f>
        <v>11831691.689794779</v>
      </c>
      <c r="M27" s="133">
        <f>IFERROR(J27-(G27*0.65),"n/a")</f>
        <v>12993407.689794779</v>
      </c>
      <c r="N27" s="134">
        <v>21492043.621493112</v>
      </c>
      <c r="O27" s="87">
        <f>IFERROR(N27/G27,"n/a")</f>
        <v>1.8500256191266293</v>
      </c>
      <c r="P27" s="132">
        <f>N27-(G27*I27)</f>
        <v>12779173.621493112</v>
      </c>
      <c r="Q27" s="137">
        <f>N27-(G27*0.65)</f>
        <v>13940889.621493112</v>
      </c>
      <c r="R27" s="141"/>
      <c r="S27" s="7"/>
    </row>
    <row r="28" spans="1:20" s="8" customFormat="1" ht="101.25" hidden="1" customHeight="1" outlineLevel="1" x14ac:dyDescent="0.2">
      <c r="A28" s="89">
        <v>1</v>
      </c>
      <c r="B28" s="90" t="s">
        <v>1</v>
      </c>
      <c r="C28" s="124" t="s">
        <v>21</v>
      </c>
      <c r="D28" s="91" t="s">
        <v>126</v>
      </c>
      <c r="E28" s="132">
        <v>64029231</v>
      </c>
      <c r="F28" s="132"/>
      <c r="G28" s="132">
        <v>9721734</v>
      </c>
      <c r="H28" s="132">
        <v>0</v>
      </c>
      <c r="I28" s="92">
        <v>0.75</v>
      </c>
      <c r="J28" s="132">
        <v>2913964.3246217263</v>
      </c>
      <c r="K28" s="93">
        <f t="shared" ref="K28:K91" si="6">IFERROR(J28/G28,"n/a")</f>
        <v>0.29973709675884225</v>
      </c>
      <c r="L28" s="132">
        <f t="shared" ref="L28:L91" si="7">IFERROR(J28-(G28*I28),"n/a")</f>
        <v>-4377336.1753782742</v>
      </c>
      <c r="M28" s="133">
        <f t="shared" ref="M28:M91" si="8">IFERROR(J28-(G28*0.65),"n/a")</f>
        <v>-3405162.7753782743</v>
      </c>
      <c r="N28" s="134">
        <v>3167315.1882352945</v>
      </c>
      <c r="O28" s="94">
        <f t="shared" ref="O28:O91" si="9">IFERROR(N28/G28,"n/a")</f>
        <v>0.32579735140205385</v>
      </c>
      <c r="P28" s="132">
        <f t="shared" ref="P28:P91" si="10">N28-(G28*I28)</f>
        <v>-4123985.3117647055</v>
      </c>
      <c r="Q28" s="137">
        <f t="shared" ref="Q28:Q91" si="11">N28-(G28*0.65)</f>
        <v>-3151811.911764706</v>
      </c>
      <c r="R28" s="117" t="s">
        <v>173</v>
      </c>
    </row>
    <row r="29" spans="1:20" s="8" customFormat="1" ht="158.25" hidden="1" customHeight="1" outlineLevel="1" x14ac:dyDescent="0.2">
      <c r="A29" s="89">
        <v>2</v>
      </c>
      <c r="B29" s="90" t="s">
        <v>1</v>
      </c>
      <c r="C29" s="124" t="s">
        <v>22</v>
      </c>
      <c r="D29" s="91" t="s">
        <v>126</v>
      </c>
      <c r="E29" s="132">
        <v>34000000</v>
      </c>
      <c r="F29" s="132"/>
      <c r="G29" s="132">
        <v>5116765</v>
      </c>
      <c r="H29" s="132">
        <v>9049303</v>
      </c>
      <c r="I29" s="92">
        <v>0.75</v>
      </c>
      <c r="J29" s="132">
        <v>0</v>
      </c>
      <c r="K29" s="93">
        <f t="shared" si="6"/>
        <v>0</v>
      </c>
      <c r="L29" s="132">
        <f t="shared" si="7"/>
        <v>-3837573.75</v>
      </c>
      <c r="M29" s="133">
        <f t="shared" si="8"/>
        <v>-3325897.25</v>
      </c>
      <c r="N29" s="134">
        <v>0</v>
      </c>
      <c r="O29" s="94">
        <f t="shared" si="9"/>
        <v>0</v>
      </c>
      <c r="P29" s="132">
        <f t="shared" si="10"/>
        <v>-3837573.75</v>
      </c>
      <c r="Q29" s="137">
        <f t="shared" si="11"/>
        <v>-3325897.25</v>
      </c>
      <c r="R29" s="117" t="s">
        <v>174</v>
      </c>
      <c r="S29" s="10"/>
    </row>
    <row r="30" spans="1:20" s="8" customFormat="1" ht="69.75" hidden="1" outlineLevel="1" x14ac:dyDescent="0.2">
      <c r="A30" s="89">
        <v>8</v>
      </c>
      <c r="B30" s="90" t="s">
        <v>1</v>
      </c>
      <c r="C30" s="71" t="s">
        <v>23</v>
      </c>
      <c r="D30" s="91" t="s">
        <v>126</v>
      </c>
      <c r="E30" s="132">
        <v>122252616</v>
      </c>
      <c r="F30" s="132"/>
      <c r="G30" s="132">
        <v>17499122</v>
      </c>
      <c r="H30" s="132">
        <v>0</v>
      </c>
      <c r="I30" s="92">
        <v>0.75</v>
      </c>
      <c r="J30" s="132">
        <v>30569773.266993258</v>
      </c>
      <c r="K30" s="73">
        <f t="shared" si="6"/>
        <v>1.7469318327509951</v>
      </c>
      <c r="L30" s="132">
        <f t="shared" si="7"/>
        <v>17445431.766993258</v>
      </c>
      <c r="M30" s="133">
        <f t="shared" si="8"/>
        <v>19195343.966993257</v>
      </c>
      <c r="N30" s="134">
        <v>35149476.474999994</v>
      </c>
      <c r="O30" s="94">
        <f t="shared" si="9"/>
        <v>2.008642289310286</v>
      </c>
      <c r="P30" s="132">
        <f t="shared" si="10"/>
        <v>22025134.974999994</v>
      </c>
      <c r="Q30" s="137">
        <f t="shared" si="11"/>
        <v>23775047.174999993</v>
      </c>
      <c r="R30" s="117"/>
    </row>
    <row r="31" spans="1:20" s="8" customFormat="1" ht="127.5" hidden="1" customHeight="1" outlineLevel="1" x14ac:dyDescent="0.2">
      <c r="A31" s="89">
        <v>4</v>
      </c>
      <c r="B31" s="90" t="s">
        <v>1</v>
      </c>
      <c r="C31" s="124" t="s">
        <v>24</v>
      </c>
      <c r="D31" s="91" t="s">
        <v>126</v>
      </c>
      <c r="E31" s="132">
        <v>32552786</v>
      </c>
      <c r="F31" s="132"/>
      <c r="G31" s="132">
        <v>4809228</v>
      </c>
      <c r="H31" s="132">
        <v>7663112</v>
      </c>
      <c r="I31" s="92">
        <v>0.75</v>
      </c>
      <c r="J31" s="132">
        <v>715807.04288302397</v>
      </c>
      <c r="K31" s="93">
        <f t="shared" si="6"/>
        <v>0.14884032174873471</v>
      </c>
      <c r="L31" s="132">
        <f t="shared" si="7"/>
        <v>-2891113.9571169759</v>
      </c>
      <c r="M31" s="133">
        <f t="shared" si="8"/>
        <v>-2410191.1571169761</v>
      </c>
      <c r="N31" s="134">
        <v>754807.04</v>
      </c>
      <c r="O31" s="94">
        <f t="shared" si="9"/>
        <v>0.15694973080918601</v>
      </c>
      <c r="P31" s="132">
        <f t="shared" si="10"/>
        <v>-2852113.96</v>
      </c>
      <c r="Q31" s="137">
        <f t="shared" si="11"/>
        <v>-2371191.16</v>
      </c>
      <c r="R31" s="117" t="s">
        <v>180</v>
      </c>
    </row>
    <row r="32" spans="1:20" s="8" customFormat="1" ht="69.75" hidden="1" outlineLevel="1" x14ac:dyDescent="0.2">
      <c r="A32" s="89">
        <v>10</v>
      </c>
      <c r="B32" s="95" t="s">
        <v>1</v>
      </c>
      <c r="C32" s="71" t="s">
        <v>25</v>
      </c>
      <c r="D32" s="91" t="s">
        <v>127</v>
      </c>
      <c r="E32" s="132">
        <v>81614203</v>
      </c>
      <c r="F32" s="132"/>
      <c r="G32" s="132">
        <v>13643805</v>
      </c>
      <c r="H32" s="132">
        <v>0</v>
      </c>
      <c r="I32" s="92">
        <v>0.75</v>
      </c>
      <c r="J32" s="132">
        <v>21893636.62875</v>
      </c>
      <c r="K32" s="73">
        <f t="shared" si="6"/>
        <v>1.6046576910729815</v>
      </c>
      <c r="L32" s="132">
        <f t="shared" si="7"/>
        <v>11660782.87875</v>
      </c>
      <c r="M32" s="133">
        <f t="shared" si="8"/>
        <v>13025163.37875</v>
      </c>
      <c r="N32" s="134">
        <v>34182275.523636363</v>
      </c>
      <c r="O32" s="94">
        <f t="shared" si="9"/>
        <v>2.505333044824106</v>
      </c>
      <c r="P32" s="132">
        <f t="shared" si="10"/>
        <v>23949421.773636363</v>
      </c>
      <c r="Q32" s="137">
        <f t="shared" si="11"/>
        <v>25313802.273636363</v>
      </c>
      <c r="R32" s="117"/>
    </row>
    <row r="33" spans="1:22" s="8" customFormat="1" ht="302.25" hidden="1" outlineLevel="1" x14ac:dyDescent="0.2">
      <c r="A33" s="89">
        <v>3</v>
      </c>
      <c r="B33" s="95" t="s">
        <v>1</v>
      </c>
      <c r="C33" s="124" t="s">
        <v>26</v>
      </c>
      <c r="D33" s="91" t="s">
        <v>127</v>
      </c>
      <c r="E33" s="132">
        <v>42352941</v>
      </c>
      <c r="F33" s="132"/>
      <c r="G33" s="132">
        <v>6352941</v>
      </c>
      <c r="H33" s="132">
        <v>17250001</v>
      </c>
      <c r="I33" s="92">
        <v>0.75</v>
      </c>
      <c r="J33" s="132">
        <v>3007534.9294117647</v>
      </c>
      <c r="K33" s="93">
        <f t="shared" si="6"/>
        <v>0.47340828907615617</v>
      </c>
      <c r="L33" s="132">
        <f t="shared" si="7"/>
        <v>-1757170.8205882353</v>
      </c>
      <c r="M33" s="133">
        <f t="shared" si="8"/>
        <v>-1121876.7205882357</v>
      </c>
      <c r="N33" s="134">
        <v>3007534.9294117647</v>
      </c>
      <c r="O33" s="94">
        <f t="shared" si="9"/>
        <v>0.47340828907615617</v>
      </c>
      <c r="P33" s="132">
        <f t="shared" si="10"/>
        <v>-1757170.8205882353</v>
      </c>
      <c r="Q33" s="137">
        <f t="shared" si="11"/>
        <v>-1121876.7205882357</v>
      </c>
      <c r="R33" s="117" t="s">
        <v>222</v>
      </c>
    </row>
    <row r="34" spans="1:22" s="8" customFormat="1" ht="46.5" hidden="1" outlineLevel="1" x14ac:dyDescent="0.2">
      <c r="A34" s="89">
        <v>11</v>
      </c>
      <c r="B34" s="95" t="s">
        <v>1</v>
      </c>
      <c r="C34" s="71" t="s">
        <v>27</v>
      </c>
      <c r="D34" s="91" t="s">
        <v>127</v>
      </c>
      <c r="E34" s="132">
        <v>142117362</v>
      </c>
      <c r="F34" s="132"/>
      <c r="G34" s="132">
        <v>9000000</v>
      </c>
      <c r="H34" s="132">
        <v>0</v>
      </c>
      <c r="I34" s="92">
        <v>0.75</v>
      </c>
      <c r="J34" s="132">
        <v>7706018</v>
      </c>
      <c r="K34" s="73">
        <f t="shared" si="6"/>
        <v>0.85622422222222228</v>
      </c>
      <c r="L34" s="132">
        <f t="shared" si="7"/>
        <v>956018</v>
      </c>
      <c r="M34" s="133">
        <f t="shared" si="8"/>
        <v>1856018</v>
      </c>
      <c r="N34" s="134">
        <v>7706018</v>
      </c>
      <c r="O34" s="94">
        <f t="shared" si="9"/>
        <v>0.85622422222222228</v>
      </c>
      <c r="P34" s="132">
        <f t="shared" si="10"/>
        <v>956018</v>
      </c>
      <c r="Q34" s="137">
        <f t="shared" si="11"/>
        <v>1856018</v>
      </c>
      <c r="R34" s="117"/>
    </row>
    <row r="35" spans="1:22" s="8" customFormat="1" ht="69.75" hidden="1" outlineLevel="1" x14ac:dyDescent="0.2">
      <c r="A35" s="89">
        <v>7</v>
      </c>
      <c r="B35" s="95" t="s">
        <v>1</v>
      </c>
      <c r="C35" s="71" t="s">
        <v>28</v>
      </c>
      <c r="D35" s="91" t="s">
        <v>127</v>
      </c>
      <c r="E35" s="132">
        <v>21176470</v>
      </c>
      <c r="F35" s="132"/>
      <c r="G35" s="132">
        <v>3736236</v>
      </c>
      <c r="H35" s="132">
        <v>0</v>
      </c>
      <c r="I35" s="92">
        <v>0.75</v>
      </c>
      <c r="J35" s="132">
        <v>4720511.1535805687</v>
      </c>
      <c r="K35" s="73">
        <f t="shared" si="6"/>
        <v>1.2634403055857737</v>
      </c>
      <c r="L35" s="132">
        <f t="shared" si="7"/>
        <v>1918334.1535805687</v>
      </c>
      <c r="M35" s="133">
        <f t="shared" si="8"/>
        <v>2291957.7535805688</v>
      </c>
      <c r="N35" s="134">
        <v>6798841.6545454543</v>
      </c>
      <c r="O35" s="94">
        <f t="shared" si="9"/>
        <v>1.8197034808683001</v>
      </c>
      <c r="P35" s="132">
        <f t="shared" si="10"/>
        <v>3996664.6545454543</v>
      </c>
      <c r="Q35" s="137">
        <f t="shared" si="11"/>
        <v>4370288.2545454539</v>
      </c>
      <c r="R35" s="117"/>
    </row>
    <row r="36" spans="1:22" s="8" customFormat="1" ht="69.75" hidden="1" outlineLevel="1" x14ac:dyDescent="0.2">
      <c r="A36" s="89">
        <v>5</v>
      </c>
      <c r="B36" s="95" t="s">
        <v>1</v>
      </c>
      <c r="C36" s="71" t="s">
        <v>29</v>
      </c>
      <c r="D36" s="91" t="s">
        <v>127</v>
      </c>
      <c r="E36" s="132">
        <v>5648462</v>
      </c>
      <c r="F36" s="132"/>
      <c r="G36" s="132">
        <v>847269</v>
      </c>
      <c r="H36" s="132">
        <v>292849.87196192326</v>
      </c>
      <c r="I36" s="92">
        <v>0.75</v>
      </c>
      <c r="J36" s="132">
        <v>1077658.3571194694</v>
      </c>
      <c r="K36" s="73">
        <f t="shared" si="6"/>
        <v>1.2719199653468609</v>
      </c>
      <c r="L36" s="132">
        <f t="shared" si="7"/>
        <v>442206.60711946944</v>
      </c>
      <c r="M36" s="133">
        <f t="shared" si="8"/>
        <v>526933.50711946946</v>
      </c>
      <c r="N36" s="134">
        <v>1077658.2</v>
      </c>
      <c r="O36" s="94">
        <f t="shared" si="9"/>
        <v>1.2719197799046111</v>
      </c>
      <c r="P36" s="132">
        <f t="shared" si="10"/>
        <v>442206.44999999995</v>
      </c>
      <c r="Q36" s="137">
        <f t="shared" si="11"/>
        <v>526933.35</v>
      </c>
      <c r="R36" s="117"/>
    </row>
    <row r="37" spans="1:22" s="8" customFormat="1" ht="69.75" hidden="1" outlineLevel="1" x14ac:dyDescent="0.2">
      <c r="A37" s="96">
        <v>6</v>
      </c>
      <c r="B37" s="97" t="s">
        <v>1</v>
      </c>
      <c r="C37" s="98" t="s">
        <v>30</v>
      </c>
      <c r="D37" s="99" t="s">
        <v>127</v>
      </c>
      <c r="E37" s="132">
        <v>8127343</v>
      </c>
      <c r="F37" s="132"/>
      <c r="G37" s="132">
        <v>749999</v>
      </c>
      <c r="H37" s="132">
        <v>0</v>
      </c>
      <c r="I37" s="138">
        <v>0.75</v>
      </c>
      <c r="J37" s="132">
        <v>603732.44302605942</v>
      </c>
      <c r="K37" s="139">
        <f t="shared" si="6"/>
        <v>0.80497766400496462</v>
      </c>
      <c r="L37" s="132">
        <f t="shared" si="7"/>
        <v>41233.193026059424</v>
      </c>
      <c r="M37" s="133">
        <f t="shared" si="8"/>
        <v>116233.09302605939</v>
      </c>
      <c r="N37" s="134">
        <v>1069875.2391304348</v>
      </c>
      <c r="O37" s="102">
        <f t="shared" si="9"/>
        <v>1.4265022208435409</v>
      </c>
      <c r="P37" s="132">
        <f t="shared" si="10"/>
        <v>507375.98913043481</v>
      </c>
      <c r="Q37" s="137">
        <f t="shared" si="11"/>
        <v>582375.88913043472</v>
      </c>
      <c r="R37" s="140"/>
    </row>
    <row r="38" spans="1:22" s="8" customFormat="1" ht="28.5" hidden="1" outlineLevel="1" x14ac:dyDescent="0.2">
      <c r="A38" s="462" t="s">
        <v>217</v>
      </c>
      <c r="B38" s="463"/>
      <c r="C38" s="463"/>
      <c r="D38" s="463"/>
      <c r="E38" s="463"/>
      <c r="F38" s="463"/>
      <c r="G38" s="463"/>
      <c r="H38" s="463"/>
      <c r="I38" s="463"/>
      <c r="J38" s="463"/>
      <c r="K38" s="463"/>
      <c r="L38" s="463"/>
      <c r="M38" s="463"/>
      <c r="N38" s="463"/>
      <c r="O38" s="463"/>
      <c r="P38" s="463"/>
      <c r="Q38" s="463"/>
      <c r="R38" s="464"/>
    </row>
    <row r="39" spans="1:22" s="8" customFormat="1" ht="69.75" hidden="1" outlineLevel="1" x14ac:dyDescent="0.2">
      <c r="A39" s="81">
        <v>12</v>
      </c>
      <c r="B39" s="81" t="s">
        <v>2</v>
      </c>
      <c r="C39" s="125" t="s">
        <v>31</v>
      </c>
      <c r="D39" s="84" t="s">
        <v>128</v>
      </c>
      <c r="E39" s="132">
        <v>51734253</v>
      </c>
      <c r="F39" s="132"/>
      <c r="G39" s="132">
        <v>8821904</v>
      </c>
      <c r="H39" s="132">
        <v>2682212</v>
      </c>
      <c r="I39" s="136">
        <v>0.75</v>
      </c>
      <c r="J39" s="132">
        <v>5027268.7357394937</v>
      </c>
      <c r="K39" s="113">
        <f t="shared" si="6"/>
        <v>0.56986209958071343</v>
      </c>
      <c r="L39" s="132">
        <f t="shared" si="7"/>
        <v>-1589159.2642605063</v>
      </c>
      <c r="M39" s="133">
        <f t="shared" si="8"/>
        <v>-706968.86426050682</v>
      </c>
      <c r="N39" s="134">
        <v>5027268.7357394937</v>
      </c>
      <c r="O39" s="131">
        <f t="shared" si="9"/>
        <v>0.56986209958071343</v>
      </c>
      <c r="P39" s="132">
        <f t="shared" si="10"/>
        <v>-1589159.2642605063</v>
      </c>
      <c r="Q39" s="137">
        <f t="shared" si="11"/>
        <v>-706968.86426050682</v>
      </c>
      <c r="R39" s="141"/>
    </row>
    <row r="40" spans="1:22" s="8" customFormat="1" ht="69.75" hidden="1" outlineLevel="1" x14ac:dyDescent="0.2">
      <c r="A40" s="89">
        <v>14</v>
      </c>
      <c r="B40" s="89" t="s">
        <v>2</v>
      </c>
      <c r="C40" s="71" t="s">
        <v>162</v>
      </c>
      <c r="D40" s="91" t="s">
        <v>129</v>
      </c>
      <c r="E40" s="132">
        <v>139640840</v>
      </c>
      <c r="F40" s="132"/>
      <c r="G40" s="132">
        <v>13754084</v>
      </c>
      <c r="H40" s="132">
        <v>7130936.6605614899</v>
      </c>
      <c r="I40" s="92">
        <v>0.75</v>
      </c>
      <c r="J40" s="132">
        <v>16728035.170588238</v>
      </c>
      <c r="K40" s="73">
        <f t="shared" si="6"/>
        <v>1.2162231356583426</v>
      </c>
      <c r="L40" s="132">
        <f t="shared" si="7"/>
        <v>6412472.1705882382</v>
      </c>
      <c r="M40" s="133">
        <f t="shared" si="8"/>
        <v>7787880.5705882385</v>
      </c>
      <c r="N40" s="134">
        <v>16729684.844117649</v>
      </c>
      <c r="O40" s="73">
        <f t="shared" si="9"/>
        <v>1.2163430762904786</v>
      </c>
      <c r="P40" s="132">
        <f t="shared" si="10"/>
        <v>6414121.8441176489</v>
      </c>
      <c r="Q40" s="137">
        <f t="shared" si="11"/>
        <v>7789530.2441176493</v>
      </c>
      <c r="R40" s="117"/>
    </row>
    <row r="41" spans="1:22" s="27" customFormat="1" ht="69.75" hidden="1" outlineLevel="1" x14ac:dyDescent="0.2">
      <c r="A41" s="96">
        <v>13</v>
      </c>
      <c r="B41" s="96" t="s">
        <v>2</v>
      </c>
      <c r="C41" s="98" t="s">
        <v>32</v>
      </c>
      <c r="D41" s="99" t="s">
        <v>129</v>
      </c>
      <c r="E41" s="132">
        <v>11900000</v>
      </c>
      <c r="F41" s="132"/>
      <c r="G41" s="132">
        <v>1400000</v>
      </c>
      <c r="H41" s="132">
        <v>725843.41674706095</v>
      </c>
      <c r="I41" s="138">
        <v>0.75</v>
      </c>
      <c r="J41" s="132">
        <v>2430008</v>
      </c>
      <c r="K41" s="139">
        <f t="shared" si="6"/>
        <v>1.7357199999999999</v>
      </c>
      <c r="L41" s="132">
        <f t="shared" si="7"/>
        <v>1380008</v>
      </c>
      <c r="M41" s="133">
        <f t="shared" si="8"/>
        <v>1520008</v>
      </c>
      <c r="N41" s="134">
        <v>2430008</v>
      </c>
      <c r="O41" s="139">
        <f t="shared" si="9"/>
        <v>1.7357199999999999</v>
      </c>
      <c r="P41" s="132">
        <f t="shared" si="10"/>
        <v>1380008</v>
      </c>
      <c r="Q41" s="137">
        <f t="shared" si="11"/>
        <v>1520008</v>
      </c>
      <c r="R41" s="140"/>
    </row>
    <row r="42" spans="1:22" s="27" customFormat="1" ht="28.5" hidden="1" outlineLevel="1" x14ac:dyDescent="0.2">
      <c r="A42" s="462" t="s">
        <v>218</v>
      </c>
      <c r="B42" s="463"/>
      <c r="C42" s="463"/>
      <c r="D42" s="463"/>
      <c r="E42" s="463"/>
      <c r="F42" s="463"/>
      <c r="G42" s="463"/>
      <c r="H42" s="463"/>
      <c r="I42" s="463"/>
      <c r="J42" s="463"/>
      <c r="K42" s="463"/>
      <c r="L42" s="463"/>
      <c r="M42" s="463"/>
      <c r="N42" s="463"/>
      <c r="O42" s="463"/>
      <c r="P42" s="463"/>
      <c r="Q42" s="463"/>
      <c r="R42" s="464"/>
    </row>
    <row r="43" spans="1:22" s="8" customFormat="1" ht="46.5" hidden="1" outlineLevel="1" x14ac:dyDescent="0.2">
      <c r="A43" s="81">
        <v>18</v>
      </c>
      <c r="B43" s="81" t="s">
        <v>3</v>
      </c>
      <c r="C43" s="83" t="s">
        <v>33</v>
      </c>
      <c r="D43" s="84" t="s">
        <v>127</v>
      </c>
      <c r="E43" s="132">
        <v>25882353</v>
      </c>
      <c r="F43" s="365"/>
      <c r="G43" s="373">
        <v>15955365.4</v>
      </c>
      <c r="H43" s="373">
        <v>3136162.7714382587</v>
      </c>
      <c r="I43" s="372">
        <v>0.85</v>
      </c>
      <c r="J43" s="373">
        <f>46631226.28*0.406723084186751</f>
        <v>18965996.172011878</v>
      </c>
      <c r="K43" s="371">
        <f t="shared" si="6"/>
        <v>1.1886908069188988</v>
      </c>
      <c r="L43" s="369">
        <f>IFERROR(J43-(G43*I43),"n/a")</f>
        <v>5403935.5820118785</v>
      </c>
      <c r="M43" s="398">
        <f t="shared" si="8"/>
        <v>8595008.6620118786</v>
      </c>
      <c r="N43" s="467">
        <v>18965996.172011878</v>
      </c>
      <c r="O43" s="371">
        <f t="shared" si="9"/>
        <v>1.1886908069188988</v>
      </c>
      <c r="P43" s="369">
        <f t="shared" si="10"/>
        <v>5403935.5820118785</v>
      </c>
      <c r="Q43" s="396">
        <f t="shared" si="11"/>
        <v>8595008.6620118786</v>
      </c>
      <c r="R43" s="404"/>
    </row>
    <row r="44" spans="1:22" s="8" customFormat="1" ht="46.5" hidden="1" outlineLevel="1" x14ac:dyDescent="0.2">
      <c r="A44" s="89">
        <v>19</v>
      </c>
      <c r="B44" s="89" t="s">
        <v>3</v>
      </c>
      <c r="C44" s="71" t="s">
        <v>34</v>
      </c>
      <c r="D44" s="91" t="s">
        <v>127</v>
      </c>
      <c r="E44" s="132">
        <v>8235294</v>
      </c>
      <c r="F44" s="366"/>
      <c r="G44" s="373"/>
      <c r="H44" s="373"/>
      <c r="I44" s="372"/>
      <c r="J44" s="373"/>
      <c r="K44" s="371"/>
      <c r="L44" s="369"/>
      <c r="M44" s="398"/>
      <c r="N44" s="468"/>
      <c r="O44" s="371"/>
      <c r="P44" s="369"/>
      <c r="Q44" s="396"/>
      <c r="R44" s="404"/>
    </row>
    <row r="45" spans="1:22" s="8" customFormat="1" ht="46.5" hidden="1" outlineLevel="1" x14ac:dyDescent="0.2">
      <c r="A45" s="89">
        <v>20</v>
      </c>
      <c r="B45" s="89" t="s">
        <v>3</v>
      </c>
      <c r="C45" s="71" t="s">
        <v>35</v>
      </c>
      <c r="D45" s="91" t="s">
        <v>127</v>
      </c>
      <c r="E45" s="132">
        <v>12254724</v>
      </c>
      <c r="F45" s="366"/>
      <c r="G45" s="373"/>
      <c r="H45" s="373"/>
      <c r="I45" s="372"/>
      <c r="J45" s="373"/>
      <c r="K45" s="371"/>
      <c r="L45" s="369"/>
      <c r="M45" s="398"/>
      <c r="N45" s="468"/>
      <c r="O45" s="371"/>
      <c r="P45" s="369"/>
      <c r="Q45" s="396"/>
      <c r="R45" s="404"/>
      <c r="V45" s="128"/>
    </row>
    <row r="46" spans="1:22" s="9" customFormat="1" ht="69.75" hidden="1" outlineLevel="1" x14ac:dyDescent="0.2">
      <c r="A46" s="89">
        <v>21</v>
      </c>
      <c r="B46" s="89" t="s">
        <v>3</v>
      </c>
      <c r="C46" s="71" t="s">
        <v>36</v>
      </c>
      <c r="D46" s="91" t="s">
        <v>127</v>
      </c>
      <c r="E46" s="132">
        <v>14117647</v>
      </c>
      <c r="F46" s="367"/>
      <c r="G46" s="360"/>
      <c r="H46" s="360"/>
      <c r="I46" s="362"/>
      <c r="J46" s="360"/>
      <c r="K46" s="364"/>
      <c r="L46" s="370"/>
      <c r="M46" s="399"/>
      <c r="N46" s="469"/>
      <c r="O46" s="364"/>
      <c r="P46" s="370"/>
      <c r="Q46" s="397"/>
      <c r="R46" s="403"/>
    </row>
    <row r="47" spans="1:22" s="8" customFormat="1" ht="46.5" hidden="1" outlineLevel="1" x14ac:dyDescent="0.2">
      <c r="A47" s="89">
        <v>17</v>
      </c>
      <c r="B47" s="89" t="s">
        <v>3</v>
      </c>
      <c r="C47" s="71" t="s">
        <v>37</v>
      </c>
      <c r="D47" s="91" t="s">
        <v>127</v>
      </c>
      <c r="E47" s="132">
        <v>29565515</v>
      </c>
      <c r="F47" s="103"/>
      <c r="G47" s="132">
        <v>7712947</v>
      </c>
      <c r="H47" s="132">
        <v>1532852.3333420665</v>
      </c>
      <c r="I47" s="92">
        <v>0.85</v>
      </c>
      <c r="J47" s="132">
        <v>9311063.9649381246</v>
      </c>
      <c r="K47" s="73">
        <f t="shared" si="6"/>
        <v>1.2071992670166312</v>
      </c>
      <c r="L47" s="132">
        <f t="shared" si="7"/>
        <v>2755059.0149381245</v>
      </c>
      <c r="M47" s="133">
        <f t="shared" si="8"/>
        <v>4297648.4149381248</v>
      </c>
      <c r="N47" s="134">
        <v>18377756.831111107</v>
      </c>
      <c r="O47" s="73">
        <f t="shared" si="9"/>
        <v>2.3827153007937314</v>
      </c>
      <c r="P47" s="132">
        <f t="shared" si="10"/>
        <v>11821751.881111108</v>
      </c>
      <c r="Q47" s="137">
        <f t="shared" si="11"/>
        <v>13364341.281111106</v>
      </c>
      <c r="R47" s="117"/>
    </row>
    <row r="48" spans="1:22" s="8" customFormat="1" ht="69.75" hidden="1" outlineLevel="1" x14ac:dyDescent="0.2">
      <c r="A48" s="89">
        <v>15</v>
      </c>
      <c r="B48" s="89" t="s">
        <v>3</v>
      </c>
      <c r="C48" s="124" t="s">
        <v>38</v>
      </c>
      <c r="D48" s="91" t="s">
        <v>127</v>
      </c>
      <c r="E48" s="132">
        <v>32823529</v>
      </c>
      <c r="F48" s="103"/>
      <c r="G48" s="132">
        <v>8657815</v>
      </c>
      <c r="H48" s="132">
        <v>1701767.2497470386</v>
      </c>
      <c r="I48" s="92">
        <v>0.85</v>
      </c>
      <c r="J48" s="132">
        <v>3286941.7705306686</v>
      </c>
      <c r="K48" s="93">
        <f t="shared" si="6"/>
        <v>0.3796502663236242</v>
      </c>
      <c r="L48" s="132">
        <f t="shared" si="7"/>
        <v>-4072200.9794693314</v>
      </c>
      <c r="M48" s="133">
        <f t="shared" si="8"/>
        <v>-2340637.9794693314</v>
      </c>
      <c r="N48" s="134">
        <v>3286941.8117647059</v>
      </c>
      <c r="O48" s="73">
        <f t="shared" si="9"/>
        <v>0.37965027108626204</v>
      </c>
      <c r="P48" s="132">
        <f t="shared" si="10"/>
        <v>-4072200.9382352941</v>
      </c>
      <c r="Q48" s="137">
        <f t="shared" si="11"/>
        <v>-2340637.9382352941</v>
      </c>
      <c r="R48" s="117" t="s">
        <v>223</v>
      </c>
    </row>
    <row r="49" spans="1:19" s="8" customFormat="1" ht="46.5" hidden="1" outlineLevel="1" x14ac:dyDescent="0.2">
      <c r="A49" s="89">
        <v>22</v>
      </c>
      <c r="B49" s="89" t="s">
        <v>3</v>
      </c>
      <c r="C49" s="71" t="s">
        <v>39</v>
      </c>
      <c r="D49" s="91" t="s">
        <v>127</v>
      </c>
      <c r="E49" s="132">
        <v>70588236</v>
      </c>
      <c r="F49" s="365"/>
      <c r="G49" s="359">
        <v>22220807.399999999</v>
      </c>
      <c r="H49" s="359">
        <v>4574643.1444812873</v>
      </c>
      <c r="I49" s="361">
        <v>0.85</v>
      </c>
      <c r="J49" s="359">
        <f>46631226.28*(1-0.406723084186751)</f>
        <v>27665230.107988123</v>
      </c>
      <c r="K49" s="363">
        <f t="shared" si="6"/>
        <v>1.2450146212053539</v>
      </c>
      <c r="L49" s="359">
        <f t="shared" si="7"/>
        <v>8777543.8179881237</v>
      </c>
      <c r="M49" s="391">
        <f t="shared" si="8"/>
        <v>13221705.297988124</v>
      </c>
      <c r="N49" s="467">
        <v>27665230.107988123</v>
      </c>
      <c r="O49" s="363">
        <f t="shared" si="9"/>
        <v>1.2450146212053539</v>
      </c>
      <c r="P49" s="359">
        <f t="shared" si="10"/>
        <v>8777543.8179881237</v>
      </c>
      <c r="Q49" s="405">
        <f t="shared" si="11"/>
        <v>13221705.297988124</v>
      </c>
      <c r="R49" s="402"/>
    </row>
    <row r="50" spans="1:19" s="8" customFormat="1" ht="69.75" hidden="1" outlineLevel="1" x14ac:dyDescent="0.2">
      <c r="A50" s="89">
        <v>23</v>
      </c>
      <c r="B50" s="89" t="s">
        <v>3</v>
      </c>
      <c r="C50" s="71" t="s">
        <v>40</v>
      </c>
      <c r="D50" s="91" t="s">
        <v>127</v>
      </c>
      <c r="E50" s="132">
        <v>17647059</v>
      </c>
      <c r="F50" s="367"/>
      <c r="G50" s="360"/>
      <c r="H50" s="360"/>
      <c r="I50" s="362"/>
      <c r="J50" s="360"/>
      <c r="K50" s="364"/>
      <c r="L50" s="360">
        <f t="shared" si="7"/>
        <v>0</v>
      </c>
      <c r="M50" s="392">
        <f t="shared" si="8"/>
        <v>0</v>
      </c>
      <c r="N50" s="469"/>
      <c r="O50" s="364"/>
      <c r="P50" s="360">
        <f t="shared" si="10"/>
        <v>0</v>
      </c>
      <c r="Q50" s="406">
        <f t="shared" si="11"/>
        <v>0</v>
      </c>
      <c r="R50" s="403"/>
    </row>
    <row r="51" spans="1:19" s="8" customFormat="1" ht="46.5" hidden="1" outlineLevel="1" x14ac:dyDescent="0.2">
      <c r="A51" s="89">
        <v>16</v>
      </c>
      <c r="B51" s="89" t="s">
        <v>3</v>
      </c>
      <c r="C51" s="71" t="s">
        <v>41</v>
      </c>
      <c r="D51" s="91" t="s">
        <v>127</v>
      </c>
      <c r="E51" s="132">
        <v>7294119</v>
      </c>
      <c r="F51" s="104"/>
      <c r="G51" s="132">
        <v>1201009</v>
      </c>
      <c r="H51" s="132">
        <v>378170.56093902828</v>
      </c>
      <c r="I51" s="92">
        <v>0.85</v>
      </c>
      <c r="J51" s="132">
        <v>2270395.6313995048</v>
      </c>
      <c r="K51" s="73">
        <f t="shared" si="6"/>
        <v>1.8904068424129252</v>
      </c>
      <c r="L51" s="132">
        <f t="shared" si="7"/>
        <v>1249537.9813995049</v>
      </c>
      <c r="M51" s="133">
        <f t="shared" si="8"/>
        <v>1489739.7813995047</v>
      </c>
      <c r="N51" s="134">
        <v>2323273.1325301207</v>
      </c>
      <c r="O51" s="73">
        <f t="shared" si="9"/>
        <v>1.9344344068446786</v>
      </c>
      <c r="P51" s="132">
        <f t="shared" si="10"/>
        <v>1302415.4825301208</v>
      </c>
      <c r="Q51" s="137">
        <f t="shared" si="11"/>
        <v>1542617.2825301206</v>
      </c>
      <c r="R51" s="117"/>
    </row>
    <row r="52" spans="1:19" s="8" customFormat="1" ht="69.75" hidden="1" outlineLevel="1" x14ac:dyDescent="0.2">
      <c r="A52" s="89">
        <v>25</v>
      </c>
      <c r="B52" s="89" t="s">
        <v>3</v>
      </c>
      <c r="C52" s="71" t="s">
        <v>42</v>
      </c>
      <c r="D52" s="91" t="s">
        <v>127</v>
      </c>
      <c r="E52" s="132">
        <v>60620418</v>
      </c>
      <c r="F52" s="104"/>
      <c r="G52" s="132">
        <v>10034796</v>
      </c>
      <c r="H52" s="132">
        <v>3143014</v>
      </c>
      <c r="I52" s="92">
        <v>0.85</v>
      </c>
      <c r="J52" s="132">
        <v>30181731.558139537</v>
      </c>
      <c r="K52" s="73">
        <f t="shared" si="6"/>
        <v>3.0077075366693591</v>
      </c>
      <c r="L52" s="132">
        <f t="shared" si="7"/>
        <v>21652154.958139539</v>
      </c>
      <c r="M52" s="133">
        <f t="shared" si="8"/>
        <v>23659114.158139534</v>
      </c>
      <c r="N52" s="134">
        <v>30181731.558139537</v>
      </c>
      <c r="O52" s="73">
        <f t="shared" si="9"/>
        <v>3.0077075366693591</v>
      </c>
      <c r="P52" s="132">
        <f t="shared" si="10"/>
        <v>21652154.958139539</v>
      </c>
      <c r="Q52" s="137">
        <f t="shared" si="11"/>
        <v>23659114.158139534</v>
      </c>
      <c r="R52" s="117"/>
    </row>
    <row r="53" spans="1:19" s="8" customFormat="1" ht="69.75" hidden="1" outlineLevel="1" x14ac:dyDescent="0.2">
      <c r="A53" s="96">
        <v>24</v>
      </c>
      <c r="B53" s="96" t="s">
        <v>3</v>
      </c>
      <c r="C53" s="98" t="s">
        <v>43</v>
      </c>
      <c r="D53" s="99" t="s">
        <v>129</v>
      </c>
      <c r="E53" s="132">
        <v>75552110.395380691</v>
      </c>
      <c r="F53" s="104"/>
      <c r="G53" s="132">
        <v>13886292.199999999</v>
      </c>
      <c r="H53" s="132">
        <v>3599739.3892945535</v>
      </c>
      <c r="I53" s="138">
        <v>0.85</v>
      </c>
      <c r="J53" s="132">
        <v>25959097.540727876</v>
      </c>
      <c r="K53" s="139">
        <f t="shared" si="6"/>
        <v>1.8694045297943447</v>
      </c>
      <c r="L53" s="132">
        <f t="shared" si="7"/>
        <v>14155749.170727877</v>
      </c>
      <c r="M53" s="133">
        <f t="shared" si="8"/>
        <v>16933007.610727876</v>
      </c>
      <c r="N53" s="134">
        <v>26988599.821023963</v>
      </c>
      <c r="O53" s="139">
        <f t="shared" si="9"/>
        <v>1.9435425549394649</v>
      </c>
      <c r="P53" s="132">
        <f t="shared" si="10"/>
        <v>15185251.451023964</v>
      </c>
      <c r="Q53" s="137">
        <f t="shared" si="11"/>
        <v>17962509.891023964</v>
      </c>
      <c r="R53" s="140"/>
    </row>
    <row r="54" spans="1:19" s="8" customFormat="1" ht="28.5" hidden="1" outlineLevel="1" x14ac:dyDescent="0.2">
      <c r="A54" s="462" t="s">
        <v>219</v>
      </c>
      <c r="B54" s="463"/>
      <c r="C54" s="463"/>
      <c r="D54" s="463"/>
      <c r="E54" s="463"/>
      <c r="F54" s="463"/>
      <c r="G54" s="463"/>
      <c r="H54" s="463"/>
      <c r="I54" s="463"/>
      <c r="J54" s="463"/>
      <c r="K54" s="463"/>
      <c r="L54" s="463"/>
      <c r="M54" s="463"/>
      <c r="N54" s="463"/>
      <c r="O54" s="463"/>
      <c r="P54" s="463"/>
      <c r="Q54" s="463"/>
      <c r="R54" s="464"/>
    </row>
    <row r="55" spans="1:19" s="8" customFormat="1" ht="116.25" hidden="1" outlineLevel="1" x14ac:dyDescent="0.2">
      <c r="A55" s="81">
        <v>26</v>
      </c>
      <c r="B55" s="81" t="s">
        <v>3</v>
      </c>
      <c r="C55" s="83" t="s">
        <v>44</v>
      </c>
      <c r="D55" s="84" t="s">
        <v>130</v>
      </c>
      <c r="E55" s="132">
        <v>11169393</v>
      </c>
      <c r="F55" s="132"/>
      <c r="G55" s="132">
        <v>3672987</v>
      </c>
      <c r="H55" s="132">
        <v>590386</v>
      </c>
      <c r="I55" s="136">
        <v>0.85</v>
      </c>
      <c r="J55" s="132">
        <v>3515603.7243972546</v>
      </c>
      <c r="K55" s="131">
        <f t="shared" si="6"/>
        <v>0.95715114820642022</v>
      </c>
      <c r="L55" s="132">
        <f t="shared" si="7"/>
        <v>393564.77439725492</v>
      </c>
      <c r="M55" s="133">
        <f t="shared" si="8"/>
        <v>1128162.1743972544</v>
      </c>
      <c r="N55" s="134">
        <v>3515603.7243972546</v>
      </c>
      <c r="O55" s="131">
        <f t="shared" si="9"/>
        <v>0.95715114820642022</v>
      </c>
      <c r="P55" s="132">
        <f t="shared" si="10"/>
        <v>393564.77439725492</v>
      </c>
      <c r="Q55" s="137">
        <f t="shared" si="11"/>
        <v>1128162.1743972544</v>
      </c>
      <c r="R55" s="141"/>
      <c r="S55" s="10"/>
    </row>
    <row r="56" spans="1:19" s="8" customFormat="1" ht="93" hidden="1" outlineLevel="1" x14ac:dyDescent="0.2">
      <c r="A56" s="89">
        <v>27</v>
      </c>
      <c r="B56" s="89" t="s">
        <v>3</v>
      </c>
      <c r="C56" s="71" t="s">
        <v>45</v>
      </c>
      <c r="D56" s="91" t="s">
        <v>131</v>
      </c>
      <c r="E56" s="132">
        <v>8181615</v>
      </c>
      <c r="F56" s="132"/>
      <c r="G56" s="132">
        <v>3132164</v>
      </c>
      <c r="H56" s="132">
        <v>453602</v>
      </c>
      <c r="I56" s="92">
        <v>0.85</v>
      </c>
      <c r="J56" s="132">
        <v>3481280.3863321091</v>
      </c>
      <c r="K56" s="73">
        <f t="shared" si="6"/>
        <v>1.1114617198627239</v>
      </c>
      <c r="L56" s="132">
        <f t="shared" si="7"/>
        <v>818940.9863321092</v>
      </c>
      <c r="M56" s="133">
        <f t="shared" si="8"/>
        <v>1445373.786332109</v>
      </c>
      <c r="N56" s="134">
        <v>3481280.3863321091</v>
      </c>
      <c r="O56" s="73">
        <f t="shared" si="9"/>
        <v>1.1114617198627239</v>
      </c>
      <c r="P56" s="132">
        <f t="shared" si="10"/>
        <v>818940.9863321092</v>
      </c>
      <c r="Q56" s="137">
        <f t="shared" si="11"/>
        <v>1445373.786332109</v>
      </c>
      <c r="R56" s="117"/>
    </row>
    <row r="57" spans="1:19" s="8" customFormat="1" ht="46.5" hidden="1" outlineLevel="1" x14ac:dyDescent="0.5">
      <c r="A57" s="89">
        <v>29</v>
      </c>
      <c r="B57" s="89" t="s">
        <v>3</v>
      </c>
      <c r="C57" s="71" t="s">
        <v>46</v>
      </c>
      <c r="D57" s="91" t="s">
        <v>131</v>
      </c>
      <c r="E57" s="132">
        <v>1500000</v>
      </c>
      <c r="F57" s="132"/>
      <c r="G57" s="132">
        <v>207687</v>
      </c>
      <c r="H57" s="132">
        <v>79286.167571177386</v>
      </c>
      <c r="I57" s="92">
        <v>0.85</v>
      </c>
      <c r="J57" s="132">
        <v>258947.51764705885</v>
      </c>
      <c r="K57" s="73">
        <f t="shared" si="6"/>
        <v>1.2468162073074331</v>
      </c>
      <c r="L57" s="132">
        <f t="shared" si="7"/>
        <v>82413.567647058866</v>
      </c>
      <c r="M57" s="133">
        <f t="shared" si="8"/>
        <v>123950.96764705883</v>
      </c>
      <c r="N57" s="134">
        <v>258947.51764705885</v>
      </c>
      <c r="O57" s="73">
        <f t="shared" si="9"/>
        <v>1.2468162073074331</v>
      </c>
      <c r="P57" s="132">
        <f t="shared" si="10"/>
        <v>82413.567647058866</v>
      </c>
      <c r="Q57" s="137">
        <f t="shared" si="11"/>
        <v>123950.96764705883</v>
      </c>
      <c r="R57" s="117"/>
      <c r="S57" s="30"/>
    </row>
    <row r="58" spans="1:19" s="8" customFormat="1" ht="139.5" hidden="1" outlineLevel="1" x14ac:dyDescent="0.2">
      <c r="A58" s="96">
        <v>28</v>
      </c>
      <c r="B58" s="96" t="s">
        <v>3</v>
      </c>
      <c r="C58" s="98" t="s">
        <v>47</v>
      </c>
      <c r="D58" s="99" t="s">
        <v>131</v>
      </c>
      <c r="E58" s="132">
        <v>400000</v>
      </c>
      <c r="F58" s="132"/>
      <c r="G58" s="132">
        <v>0</v>
      </c>
      <c r="H58" s="132">
        <v>0</v>
      </c>
      <c r="I58" s="138">
        <v>0.85</v>
      </c>
      <c r="J58" s="132">
        <v>0</v>
      </c>
      <c r="K58" s="139" t="str">
        <f t="shared" si="6"/>
        <v>n/a</v>
      </c>
      <c r="L58" s="132">
        <f t="shared" si="7"/>
        <v>0</v>
      </c>
      <c r="M58" s="133">
        <f t="shared" si="8"/>
        <v>0</v>
      </c>
      <c r="N58" s="134">
        <v>0</v>
      </c>
      <c r="O58" s="139" t="str">
        <f t="shared" si="9"/>
        <v>n/a</v>
      </c>
      <c r="P58" s="132">
        <f t="shared" si="10"/>
        <v>0</v>
      </c>
      <c r="Q58" s="137">
        <f t="shared" si="11"/>
        <v>0</v>
      </c>
      <c r="R58" s="140"/>
    </row>
    <row r="59" spans="1:19" s="8" customFormat="1" ht="28.5" hidden="1" outlineLevel="1" x14ac:dyDescent="0.2">
      <c r="A59" s="462" t="s">
        <v>220</v>
      </c>
      <c r="B59" s="463"/>
      <c r="C59" s="463"/>
      <c r="D59" s="463"/>
      <c r="E59" s="463"/>
      <c r="F59" s="463"/>
      <c r="G59" s="463"/>
      <c r="H59" s="463"/>
      <c r="I59" s="463"/>
      <c r="J59" s="463"/>
      <c r="K59" s="463"/>
      <c r="L59" s="463"/>
      <c r="M59" s="463"/>
      <c r="N59" s="463"/>
      <c r="O59" s="463"/>
      <c r="P59" s="463"/>
      <c r="Q59" s="463"/>
      <c r="R59" s="464"/>
    </row>
    <row r="60" spans="1:19" s="9" customFormat="1" ht="186" hidden="1" outlineLevel="1" x14ac:dyDescent="0.2">
      <c r="A60" s="81">
        <v>31</v>
      </c>
      <c r="B60" s="81" t="s">
        <v>4</v>
      </c>
      <c r="C60" s="127" t="s">
        <v>49</v>
      </c>
      <c r="D60" s="84" t="s">
        <v>127</v>
      </c>
      <c r="E60" s="132">
        <v>176471763</v>
      </c>
      <c r="F60" s="132"/>
      <c r="G60" s="132">
        <v>30007856</v>
      </c>
      <c r="H60" s="132">
        <v>11926141.999999985</v>
      </c>
      <c r="I60" s="136">
        <v>0.75</v>
      </c>
      <c r="J60" s="132">
        <v>23822768.326140631</v>
      </c>
      <c r="K60" s="122">
        <f t="shared" si="6"/>
        <v>0.79388438568022424</v>
      </c>
      <c r="L60" s="132">
        <f t="shared" si="7"/>
        <v>1316876.326140631</v>
      </c>
      <c r="M60" s="133">
        <f t="shared" si="8"/>
        <v>4317661.9261406288</v>
      </c>
      <c r="N60" s="134">
        <v>25997180.548235297</v>
      </c>
      <c r="O60" s="131">
        <f t="shared" si="9"/>
        <v>0.86634581784967568</v>
      </c>
      <c r="P60" s="132">
        <f t="shared" si="10"/>
        <v>3491288.5482352972</v>
      </c>
      <c r="Q60" s="137">
        <f t="shared" si="11"/>
        <v>6492074.148235295</v>
      </c>
      <c r="R60" s="141" t="s">
        <v>215</v>
      </c>
    </row>
    <row r="61" spans="1:19" s="9" customFormat="1" ht="232.5" hidden="1" outlineLevel="1" x14ac:dyDescent="0.2">
      <c r="A61" s="89">
        <v>30</v>
      </c>
      <c r="B61" s="89" t="s">
        <v>4</v>
      </c>
      <c r="C61" s="124" t="s">
        <v>50</v>
      </c>
      <c r="D61" s="91" t="s">
        <v>127</v>
      </c>
      <c r="E61" s="132">
        <v>115127027</v>
      </c>
      <c r="F61" s="132"/>
      <c r="G61" s="132">
        <v>25903583</v>
      </c>
      <c r="H61" s="132">
        <v>3192016</v>
      </c>
      <c r="I61" s="92">
        <v>0.75</v>
      </c>
      <c r="J61" s="132">
        <v>6527212.6521794489</v>
      </c>
      <c r="K61" s="93">
        <f t="shared" si="6"/>
        <v>0.25198107351324522</v>
      </c>
      <c r="L61" s="132">
        <f t="shared" si="7"/>
        <v>-12900474.59782055</v>
      </c>
      <c r="M61" s="133">
        <f t="shared" si="8"/>
        <v>-10310116.297820549</v>
      </c>
      <c r="N61" s="134">
        <v>9232241.7605813965</v>
      </c>
      <c r="O61" s="73">
        <f t="shared" si="9"/>
        <v>0.35640790544618467</v>
      </c>
      <c r="P61" s="132">
        <f t="shared" si="10"/>
        <v>-10195445.489418603</v>
      </c>
      <c r="Q61" s="137">
        <f t="shared" si="11"/>
        <v>-7605087.1894186027</v>
      </c>
      <c r="R61" s="117" t="s">
        <v>216</v>
      </c>
    </row>
    <row r="62" spans="1:19" s="8" customFormat="1" ht="116.25" hidden="1" outlineLevel="1" x14ac:dyDescent="0.2">
      <c r="A62" s="89">
        <v>33</v>
      </c>
      <c r="B62" s="89" t="s">
        <v>4</v>
      </c>
      <c r="C62" s="71" t="s">
        <v>51</v>
      </c>
      <c r="D62" s="91" t="s">
        <v>129</v>
      </c>
      <c r="E62" s="132">
        <v>55289876.350825503</v>
      </c>
      <c r="F62" s="132"/>
      <c r="G62" s="132">
        <v>14773486</v>
      </c>
      <c r="H62" s="132">
        <v>1914863.8170615549</v>
      </c>
      <c r="I62" s="92">
        <v>0.75</v>
      </c>
      <c r="J62" s="132">
        <v>13266638.755259741</v>
      </c>
      <c r="K62" s="73">
        <f t="shared" si="6"/>
        <v>0.89800327121572665</v>
      </c>
      <c r="L62" s="132">
        <f t="shared" si="7"/>
        <v>2186524.2552597411</v>
      </c>
      <c r="M62" s="133">
        <f t="shared" si="8"/>
        <v>3663872.8552597407</v>
      </c>
      <c r="N62" s="134">
        <v>17560965.690749999</v>
      </c>
      <c r="O62" s="73">
        <f t="shared" si="9"/>
        <v>1.1886812422437061</v>
      </c>
      <c r="P62" s="132">
        <f t="shared" si="10"/>
        <v>6480851.1907499991</v>
      </c>
      <c r="Q62" s="137">
        <f t="shared" si="11"/>
        <v>7958199.7907499988</v>
      </c>
      <c r="R62" s="117" t="s">
        <v>198</v>
      </c>
    </row>
    <row r="63" spans="1:19" s="8" customFormat="1" ht="93" hidden="1" outlineLevel="1" x14ac:dyDescent="0.2">
      <c r="A63" s="96">
        <v>32</v>
      </c>
      <c r="B63" s="96" t="s">
        <v>4</v>
      </c>
      <c r="C63" s="98" t="s">
        <v>195</v>
      </c>
      <c r="D63" s="99" t="s">
        <v>128</v>
      </c>
      <c r="E63" s="132">
        <v>8344235</v>
      </c>
      <c r="F63" s="132"/>
      <c r="G63" s="132">
        <v>3490000</v>
      </c>
      <c r="H63" s="132">
        <v>432614.80372968857</v>
      </c>
      <c r="I63" s="138">
        <v>0.75</v>
      </c>
      <c r="J63" s="132">
        <v>3195894.5497114393</v>
      </c>
      <c r="K63" s="139">
        <f t="shared" si="6"/>
        <v>0.91572909733852126</v>
      </c>
      <c r="L63" s="132">
        <f t="shared" si="7"/>
        <v>578394.54971143929</v>
      </c>
      <c r="M63" s="133">
        <f t="shared" si="8"/>
        <v>927394.54971143929</v>
      </c>
      <c r="N63" s="134">
        <v>3195894.5497114393</v>
      </c>
      <c r="O63" s="139">
        <f t="shared" si="9"/>
        <v>0.91572909733852126</v>
      </c>
      <c r="P63" s="132">
        <f t="shared" si="10"/>
        <v>578394.54971143929</v>
      </c>
      <c r="Q63" s="137">
        <f t="shared" si="11"/>
        <v>927394.54971143929</v>
      </c>
      <c r="R63" s="140"/>
    </row>
    <row r="64" spans="1:19" s="8" customFormat="1" ht="28.5" hidden="1" outlineLevel="1" x14ac:dyDescent="0.2">
      <c r="A64" s="462" t="s">
        <v>204</v>
      </c>
      <c r="B64" s="463"/>
      <c r="C64" s="463"/>
      <c r="D64" s="463"/>
      <c r="E64" s="463"/>
      <c r="F64" s="463"/>
      <c r="G64" s="463"/>
      <c r="H64" s="463"/>
      <c r="I64" s="463"/>
      <c r="J64" s="463"/>
      <c r="K64" s="463"/>
      <c r="L64" s="463"/>
      <c r="M64" s="463"/>
      <c r="N64" s="463"/>
      <c r="O64" s="463"/>
      <c r="P64" s="463"/>
      <c r="Q64" s="463"/>
      <c r="R64" s="464"/>
    </row>
    <row r="65" spans="1:19" s="8" customFormat="1" ht="93" hidden="1" outlineLevel="1" x14ac:dyDescent="0.2">
      <c r="A65" s="81">
        <v>37</v>
      </c>
      <c r="B65" s="81" t="s">
        <v>4</v>
      </c>
      <c r="C65" s="83" t="s">
        <v>48</v>
      </c>
      <c r="D65" s="84" t="s">
        <v>132</v>
      </c>
      <c r="E65" s="132">
        <v>85830850</v>
      </c>
      <c r="F65" s="132"/>
      <c r="G65" s="132">
        <v>5745006</v>
      </c>
      <c r="H65" s="132">
        <v>2015156</v>
      </c>
      <c r="I65" s="136">
        <v>0.75</v>
      </c>
      <c r="J65" s="132">
        <v>16356255.518666668</v>
      </c>
      <c r="K65" s="131">
        <f t="shared" si="6"/>
        <v>2.8470388923295586</v>
      </c>
      <c r="L65" s="132">
        <f t="shared" si="7"/>
        <v>12047501.018666668</v>
      </c>
      <c r="M65" s="133">
        <f t="shared" si="8"/>
        <v>12622001.618666667</v>
      </c>
      <c r="N65" s="134">
        <v>16400568.464666668</v>
      </c>
      <c r="O65" s="131">
        <f t="shared" si="9"/>
        <v>2.8547521908013094</v>
      </c>
      <c r="P65" s="132">
        <f t="shared" si="10"/>
        <v>12091813.964666668</v>
      </c>
      <c r="Q65" s="137">
        <f t="shared" si="11"/>
        <v>12666314.564666668</v>
      </c>
      <c r="R65" s="141"/>
    </row>
    <row r="66" spans="1:19" s="8" customFormat="1" ht="162.75" hidden="1" outlineLevel="1" x14ac:dyDescent="0.2">
      <c r="A66" s="89">
        <v>34</v>
      </c>
      <c r="B66" s="89" t="s">
        <v>4</v>
      </c>
      <c r="C66" s="124" t="s">
        <v>52</v>
      </c>
      <c r="D66" s="91" t="s">
        <v>132</v>
      </c>
      <c r="E66" s="132">
        <v>150000673</v>
      </c>
      <c r="F66" s="132"/>
      <c r="G66" s="132">
        <v>9387264</v>
      </c>
      <c r="H66" s="132">
        <v>3290568</v>
      </c>
      <c r="I66" s="92">
        <v>0.75</v>
      </c>
      <c r="J66" s="132">
        <v>4786313.7377728578</v>
      </c>
      <c r="K66" s="93">
        <f t="shared" si="6"/>
        <v>0.50987313638700882</v>
      </c>
      <c r="L66" s="132">
        <f t="shared" si="7"/>
        <v>-2254134.2622271422</v>
      </c>
      <c r="M66" s="133">
        <f t="shared" si="8"/>
        <v>-1315407.8622271428</v>
      </c>
      <c r="N66" s="134">
        <v>4780406.6463749995</v>
      </c>
      <c r="O66" s="73">
        <f t="shared" si="9"/>
        <v>0.50924386981925718</v>
      </c>
      <c r="P66" s="132">
        <f t="shared" si="10"/>
        <v>-2260041.3536250005</v>
      </c>
      <c r="Q66" s="137">
        <f t="shared" si="11"/>
        <v>-1321314.953625001</v>
      </c>
      <c r="R66" s="117" t="s">
        <v>224</v>
      </c>
    </row>
    <row r="67" spans="1:19" s="8" customFormat="1" ht="46.5" hidden="1" outlineLevel="1" x14ac:dyDescent="0.2">
      <c r="A67" s="89">
        <v>35</v>
      </c>
      <c r="B67" s="89" t="s">
        <v>4</v>
      </c>
      <c r="C67" s="127" t="s">
        <v>53</v>
      </c>
      <c r="D67" s="91" t="s">
        <v>133</v>
      </c>
      <c r="E67" s="132">
        <v>112941177</v>
      </c>
      <c r="F67" s="132"/>
      <c r="G67" s="132">
        <v>16545781</v>
      </c>
      <c r="H67" s="132">
        <v>5939202.9987374237</v>
      </c>
      <c r="I67" s="92">
        <v>0.75</v>
      </c>
      <c r="J67" s="132">
        <v>12524823.517533641</v>
      </c>
      <c r="K67" s="114">
        <f t="shared" si="6"/>
        <v>0.75697989218723738</v>
      </c>
      <c r="L67" s="132">
        <f t="shared" si="7"/>
        <v>115487.76753364131</v>
      </c>
      <c r="M67" s="133">
        <f t="shared" si="8"/>
        <v>1770065.8675336409</v>
      </c>
      <c r="N67" s="134">
        <v>12524823.517533641</v>
      </c>
      <c r="O67" s="73">
        <f t="shared" si="9"/>
        <v>0.75697989218723738</v>
      </c>
      <c r="P67" s="132">
        <f t="shared" si="10"/>
        <v>115487.76753364131</v>
      </c>
      <c r="Q67" s="137">
        <f t="shared" si="11"/>
        <v>1770065.8675336409</v>
      </c>
      <c r="R67" s="117"/>
    </row>
    <row r="68" spans="1:19" s="8" customFormat="1" ht="46.5" hidden="1" outlineLevel="1" x14ac:dyDescent="0.2">
      <c r="A68" s="96">
        <v>36</v>
      </c>
      <c r="B68" s="96" t="s">
        <v>4</v>
      </c>
      <c r="C68" s="98" t="s">
        <v>54</v>
      </c>
      <c r="D68" s="99" t="s">
        <v>133</v>
      </c>
      <c r="E68" s="132">
        <v>14725610</v>
      </c>
      <c r="F68" s="132"/>
      <c r="G68" s="132">
        <v>0</v>
      </c>
      <c r="H68" s="132">
        <v>774371.10458438157</v>
      </c>
      <c r="I68" s="138">
        <v>0.75</v>
      </c>
      <c r="J68" s="132">
        <v>2678889.5423061452</v>
      </c>
      <c r="K68" s="139" t="str">
        <f t="shared" si="6"/>
        <v>n/a</v>
      </c>
      <c r="L68" s="132">
        <f t="shared" si="7"/>
        <v>2678889.5423061452</v>
      </c>
      <c r="M68" s="133">
        <f t="shared" si="8"/>
        <v>2678889.5423061452</v>
      </c>
      <c r="N68" s="134">
        <v>2678889.5423061452</v>
      </c>
      <c r="O68" s="139" t="str">
        <f t="shared" si="9"/>
        <v>n/a</v>
      </c>
      <c r="P68" s="132">
        <f t="shared" si="10"/>
        <v>2678889.5423061452</v>
      </c>
      <c r="Q68" s="137">
        <f t="shared" si="11"/>
        <v>2678889.5423061452</v>
      </c>
      <c r="R68" s="140"/>
    </row>
    <row r="69" spans="1:19" s="8" customFormat="1" ht="28.5" hidden="1" outlineLevel="1" x14ac:dyDescent="0.2">
      <c r="A69" s="462" t="s">
        <v>205</v>
      </c>
      <c r="B69" s="463"/>
      <c r="C69" s="463"/>
      <c r="D69" s="463"/>
      <c r="E69" s="463"/>
      <c r="F69" s="463"/>
      <c r="G69" s="463"/>
      <c r="H69" s="463"/>
      <c r="I69" s="463"/>
      <c r="J69" s="463"/>
      <c r="K69" s="463"/>
      <c r="L69" s="463"/>
      <c r="M69" s="463"/>
      <c r="N69" s="463"/>
      <c r="O69" s="463"/>
      <c r="P69" s="463"/>
      <c r="Q69" s="463"/>
      <c r="R69" s="464"/>
    </row>
    <row r="70" spans="1:19" s="8" customFormat="1" ht="93" hidden="1" outlineLevel="1" x14ac:dyDescent="0.2">
      <c r="A70" s="81">
        <v>40</v>
      </c>
      <c r="B70" s="81" t="s">
        <v>5</v>
      </c>
      <c r="C70" s="125" t="s">
        <v>55</v>
      </c>
      <c r="D70" s="84" t="s">
        <v>129</v>
      </c>
      <c r="E70" s="132">
        <v>34044477</v>
      </c>
      <c r="F70" s="132"/>
      <c r="G70" s="132">
        <v>6056264</v>
      </c>
      <c r="H70" s="132">
        <v>2679997</v>
      </c>
      <c r="I70" s="136">
        <v>0.75</v>
      </c>
      <c r="J70" s="132">
        <v>3843786.4666241561</v>
      </c>
      <c r="K70" s="113">
        <f t="shared" si="6"/>
        <v>0.63467947675731373</v>
      </c>
      <c r="L70" s="132">
        <f t="shared" si="7"/>
        <v>-698411.53337584389</v>
      </c>
      <c r="M70" s="133">
        <f t="shared" si="8"/>
        <v>-92785.133375843987</v>
      </c>
      <c r="N70" s="134">
        <v>5199394.7899999991</v>
      </c>
      <c r="O70" s="131">
        <f t="shared" si="9"/>
        <v>0.85851521499062777</v>
      </c>
      <c r="P70" s="132">
        <f t="shared" si="10"/>
        <v>657196.78999999911</v>
      </c>
      <c r="Q70" s="137">
        <f t="shared" si="11"/>
        <v>1262823.189999999</v>
      </c>
      <c r="R70" s="141" t="s">
        <v>199</v>
      </c>
    </row>
    <row r="71" spans="1:19" s="8" customFormat="1" ht="69.75" hidden="1" outlineLevel="1" x14ac:dyDescent="0.2">
      <c r="A71" s="89">
        <v>39</v>
      </c>
      <c r="B71" s="89" t="s">
        <v>5</v>
      </c>
      <c r="C71" s="71" t="s">
        <v>56</v>
      </c>
      <c r="D71" s="91" t="s">
        <v>134</v>
      </c>
      <c r="E71" s="132">
        <v>43390019</v>
      </c>
      <c r="F71" s="132"/>
      <c r="G71" s="132">
        <v>15186507</v>
      </c>
      <c r="H71" s="132">
        <v>2249596.9460619083</v>
      </c>
      <c r="I71" s="92">
        <v>0.75</v>
      </c>
      <c r="J71" s="132">
        <v>12753471.115398772</v>
      </c>
      <c r="K71" s="73">
        <f t="shared" si="6"/>
        <v>0.83978963137466511</v>
      </c>
      <c r="L71" s="132">
        <f t="shared" si="7"/>
        <v>1363590.8653987721</v>
      </c>
      <c r="M71" s="133">
        <f t="shared" si="8"/>
        <v>2882241.5653987713</v>
      </c>
      <c r="N71" s="134">
        <v>12753471.115398772</v>
      </c>
      <c r="O71" s="73">
        <f t="shared" si="9"/>
        <v>0.83978963137466511</v>
      </c>
      <c r="P71" s="132">
        <f t="shared" si="10"/>
        <v>1363590.8653987721</v>
      </c>
      <c r="Q71" s="137">
        <f t="shared" si="11"/>
        <v>2882241.5653987713</v>
      </c>
      <c r="R71" s="117"/>
    </row>
    <row r="72" spans="1:19" s="8" customFormat="1" ht="93" hidden="1" outlineLevel="1" x14ac:dyDescent="0.2">
      <c r="A72" s="89">
        <v>42</v>
      </c>
      <c r="B72" s="89" t="s">
        <v>5</v>
      </c>
      <c r="C72" s="71" t="s">
        <v>61</v>
      </c>
      <c r="D72" s="91" t="s">
        <v>129</v>
      </c>
      <c r="E72" s="132">
        <v>4000000</v>
      </c>
      <c r="F72" s="132"/>
      <c r="G72" s="132">
        <v>1964706</v>
      </c>
      <c r="H72" s="132">
        <v>0</v>
      </c>
      <c r="I72" s="92">
        <v>0.75</v>
      </c>
      <c r="J72" s="132">
        <v>3038341.7759999996</v>
      </c>
      <c r="K72" s="73">
        <f t="shared" si="6"/>
        <v>1.5464612903915393</v>
      </c>
      <c r="L72" s="132">
        <f t="shared" si="7"/>
        <v>1564812.2759999996</v>
      </c>
      <c r="M72" s="133">
        <f t="shared" si="8"/>
        <v>1761282.8759999995</v>
      </c>
      <c r="N72" s="134">
        <v>3455579.3201176468</v>
      </c>
      <c r="O72" s="73">
        <f t="shared" si="9"/>
        <v>1.758827692345647</v>
      </c>
      <c r="P72" s="132">
        <f t="shared" si="10"/>
        <v>1982049.8201176468</v>
      </c>
      <c r="Q72" s="137">
        <f t="shared" si="11"/>
        <v>2178520.4201176465</v>
      </c>
      <c r="R72" s="117"/>
    </row>
    <row r="73" spans="1:19" s="8" customFormat="1" ht="69.75" hidden="1" outlineLevel="1" x14ac:dyDescent="0.2">
      <c r="A73" s="89">
        <v>43</v>
      </c>
      <c r="B73" s="89" t="s">
        <v>5</v>
      </c>
      <c r="C73" s="71" t="s">
        <v>65</v>
      </c>
      <c r="D73" s="91" t="s">
        <v>136</v>
      </c>
      <c r="E73" s="132">
        <v>70717732.736073375</v>
      </c>
      <c r="F73" s="132"/>
      <c r="G73" s="132">
        <v>8041664.4461944811</v>
      </c>
      <c r="H73" s="132">
        <v>2146457</v>
      </c>
      <c r="I73" s="92">
        <v>0.75</v>
      </c>
      <c r="J73" s="132">
        <v>6472157.2951087113</v>
      </c>
      <c r="K73" s="73">
        <f t="shared" si="6"/>
        <v>0.80482807239880538</v>
      </c>
      <c r="L73" s="132">
        <f t="shared" si="7"/>
        <v>440908.96046285052</v>
      </c>
      <c r="M73" s="133">
        <f t="shared" si="8"/>
        <v>1245075.4050822984</v>
      </c>
      <c r="N73" s="134">
        <v>6472157.2951087113</v>
      </c>
      <c r="O73" s="73">
        <f t="shared" si="9"/>
        <v>0.80482807239880538</v>
      </c>
      <c r="P73" s="132">
        <f t="shared" si="10"/>
        <v>440908.96046285052</v>
      </c>
      <c r="Q73" s="137">
        <f t="shared" si="11"/>
        <v>1245075.4050822984</v>
      </c>
      <c r="R73" s="117"/>
      <c r="S73" s="10"/>
    </row>
    <row r="74" spans="1:19" s="8" customFormat="1" ht="46.5" hidden="1" outlineLevel="1" x14ac:dyDescent="0.2">
      <c r="A74" s="89">
        <v>38</v>
      </c>
      <c r="B74" s="89" t="s">
        <v>5</v>
      </c>
      <c r="C74" s="71" t="s">
        <v>66</v>
      </c>
      <c r="D74" s="91" t="s">
        <v>136</v>
      </c>
      <c r="E74" s="132">
        <v>94567990</v>
      </c>
      <c r="F74" s="132"/>
      <c r="G74" s="132">
        <v>18913598</v>
      </c>
      <c r="H74" s="132">
        <v>4902967.6857516551</v>
      </c>
      <c r="I74" s="92">
        <v>0.75</v>
      </c>
      <c r="J74" s="132">
        <v>15533479.261327803</v>
      </c>
      <c r="K74" s="73">
        <f t="shared" si="6"/>
        <v>0.82128631798813756</v>
      </c>
      <c r="L74" s="132">
        <f t="shared" si="7"/>
        <v>1348280.7613278031</v>
      </c>
      <c r="M74" s="133">
        <f t="shared" si="8"/>
        <v>3239640.561327802</v>
      </c>
      <c r="N74" s="134">
        <v>15533479.261327803</v>
      </c>
      <c r="O74" s="73">
        <f t="shared" si="9"/>
        <v>0.82128631798813756</v>
      </c>
      <c r="P74" s="132">
        <f t="shared" si="10"/>
        <v>1348280.7613278031</v>
      </c>
      <c r="Q74" s="137">
        <f t="shared" si="11"/>
        <v>3239640.561327802</v>
      </c>
      <c r="R74" s="117"/>
    </row>
    <row r="75" spans="1:19" s="8" customFormat="1" ht="84.75" hidden="1" customHeight="1" outlineLevel="1" x14ac:dyDescent="0.2">
      <c r="A75" s="89">
        <v>44</v>
      </c>
      <c r="B75" s="89" t="s">
        <v>5</v>
      </c>
      <c r="C75" s="124" t="s">
        <v>67</v>
      </c>
      <c r="D75" s="91" t="s">
        <v>129</v>
      </c>
      <c r="E75" s="132">
        <v>282004866.82961953</v>
      </c>
      <c r="F75" s="132"/>
      <c r="G75" s="132">
        <v>56868726.553805523</v>
      </c>
      <c r="H75" s="132">
        <v>14426860.076131295</v>
      </c>
      <c r="I75" s="92">
        <v>0.75</v>
      </c>
      <c r="J75" s="132">
        <v>33113230.378358386</v>
      </c>
      <c r="K75" s="93">
        <f t="shared" si="6"/>
        <v>0.58227487030202418</v>
      </c>
      <c r="L75" s="132">
        <f t="shared" si="7"/>
        <v>-9538314.5369957536</v>
      </c>
      <c r="M75" s="133">
        <f t="shared" si="8"/>
        <v>-3851441.8816152066</v>
      </c>
      <c r="N75" s="134">
        <v>46111432.174099363</v>
      </c>
      <c r="O75" s="73">
        <f t="shared" si="9"/>
        <v>0.81083989335459616</v>
      </c>
      <c r="P75" s="132">
        <f t="shared" si="10"/>
        <v>3459887.2587452233</v>
      </c>
      <c r="Q75" s="137">
        <f t="shared" si="11"/>
        <v>9146759.9141257703</v>
      </c>
      <c r="R75" s="117" t="s">
        <v>202</v>
      </c>
      <c r="S75" s="10"/>
    </row>
    <row r="76" spans="1:19" s="8" customFormat="1" ht="69.75" hidden="1" outlineLevel="1" x14ac:dyDescent="0.2">
      <c r="A76" s="96">
        <v>41</v>
      </c>
      <c r="B76" s="96" t="s">
        <v>5</v>
      </c>
      <c r="C76" s="98" t="s">
        <v>68</v>
      </c>
      <c r="D76" s="99" t="s">
        <v>129</v>
      </c>
      <c r="E76" s="132">
        <v>29257750</v>
      </c>
      <c r="F76" s="132"/>
      <c r="G76" s="132">
        <v>2926000</v>
      </c>
      <c r="H76" s="132">
        <v>0</v>
      </c>
      <c r="I76" s="138">
        <v>0.75</v>
      </c>
      <c r="J76" s="132">
        <v>8061440.5294117648</v>
      </c>
      <c r="K76" s="139">
        <f t="shared" si="6"/>
        <v>2.7551061276185114</v>
      </c>
      <c r="L76" s="132">
        <f t="shared" si="7"/>
        <v>5866940.5294117648</v>
      </c>
      <c r="M76" s="133">
        <f t="shared" si="8"/>
        <v>6159540.5294117648</v>
      </c>
      <c r="N76" s="134">
        <v>8061440.5294117648</v>
      </c>
      <c r="O76" s="139">
        <f t="shared" si="9"/>
        <v>2.7551061276185114</v>
      </c>
      <c r="P76" s="132">
        <f t="shared" si="10"/>
        <v>5866940.5294117648</v>
      </c>
      <c r="Q76" s="137">
        <f t="shared" si="11"/>
        <v>6159540.5294117648</v>
      </c>
      <c r="R76" s="140"/>
    </row>
    <row r="77" spans="1:19" s="8" customFormat="1" ht="28.5" x14ac:dyDescent="0.2">
      <c r="A77" s="462" t="s">
        <v>206</v>
      </c>
      <c r="B77" s="463"/>
      <c r="C77" s="463"/>
      <c r="D77" s="463"/>
      <c r="E77" s="463"/>
      <c r="F77" s="463"/>
      <c r="G77" s="463"/>
      <c r="H77" s="463"/>
      <c r="I77" s="463"/>
      <c r="J77" s="463"/>
      <c r="K77" s="463"/>
      <c r="L77" s="463"/>
      <c r="M77" s="463"/>
      <c r="N77" s="463"/>
      <c r="O77" s="463"/>
      <c r="P77" s="463"/>
      <c r="Q77" s="463"/>
      <c r="R77" s="464"/>
    </row>
    <row r="78" spans="1:19" s="8" customFormat="1" ht="69.75" x14ac:dyDescent="0.2">
      <c r="A78" s="81">
        <v>49</v>
      </c>
      <c r="B78" s="81" t="s">
        <v>5</v>
      </c>
      <c r="C78" s="83" t="s">
        <v>57</v>
      </c>
      <c r="D78" s="84" t="s">
        <v>135</v>
      </c>
      <c r="E78" s="132">
        <v>423470</v>
      </c>
      <c r="F78" s="132"/>
      <c r="G78" s="132">
        <v>0</v>
      </c>
      <c r="H78" s="132">
        <v>338911.19150268601</v>
      </c>
      <c r="I78" s="136">
        <v>0.85</v>
      </c>
      <c r="J78" s="132">
        <v>329019.75609756092</v>
      </c>
      <c r="K78" s="131" t="str">
        <f t="shared" si="6"/>
        <v>n/a</v>
      </c>
      <c r="L78" s="132">
        <f t="shared" si="7"/>
        <v>329019.75609756092</v>
      </c>
      <c r="M78" s="133">
        <f t="shared" si="8"/>
        <v>329019.75609756092</v>
      </c>
      <c r="N78" s="134">
        <v>329019.75609756092</v>
      </c>
      <c r="O78" s="131" t="str">
        <f t="shared" si="9"/>
        <v>n/a</v>
      </c>
      <c r="P78" s="132">
        <f t="shared" si="10"/>
        <v>329019.75609756092</v>
      </c>
      <c r="Q78" s="137">
        <f t="shared" si="11"/>
        <v>329019.75609756092</v>
      </c>
      <c r="R78" s="141"/>
    </row>
    <row r="79" spans="1:19" s="27" customFormat="1" ht="69.75" x14ac:dyDescent="0.2">
      <c r="A79" s="89">
        <v>46</v>
      </c>
      <c r="B79" s="89" t="s">
        <v>5</v>
      </c>
      <c r="C79" s="124" t="s">
        <v>58</v>
      </c>
      <c r="D79" s="91" t="s">
        <v>135</v>
      </c>
      <c r="E79" s="132">
        <v>54484011</v>
      </c>
      <c r="F79" s="132"/>
      <c r="G79" s="132">
        <v>4863794</v>
      </c>
      <c r="H79" s="132">
        <v>1642779</v>
      </c>
      <c r="I79" s="92">
        <v>0.85</v>
      </c>
      <c r="J79" s="132">
        <v>694431.70245207334</v>
      </c>
      <c r="K79" s="93">
        <f t="shared" si="6"/>
        <v>0.14277572250224277</v>
      </c>
      <c r="L79" s="132">
        <f t="shared" si="7"/>
        <v>-3439793.1975479266</v>
      </c>
      <c r="M79" s="133">
        <f t="shared" si="8"/>
        <v>-2467034.3975479268</v>
      </c>
      <c r="N79" s="134">
        <v>2704822.6897758869</v>
      </c>
      <c r="O79" s="73">
        <f t="shared" si="9"/>
        <v>0.55611374366921928</v>
      </c>
      <c r="P79" s="132">
        <f t="shared" si="10"/>
        <v>-1429402.210224113</v>
      </c>
      <c r="Q79" s="137">
        <f t="shared" si="11"/>
        <v>-456643.41022411315</v>
      </c>
      <c r="R79" s="117" t="s">
        <v>200</v>
      </c>
      <c r="S79" s="33"/>
    </row>
    <row r="80" spans="1:19" s="8" customFormat="1" ht="69.75" x14ac:dyDescent="0.2">
      <c r="A80" s="89">
        <v>47</v>
      </c>
      <c r="B80" s="89" t="s">
        <v>5</v>
      </c>
      <c r="C80" s="71" t="s">
        <v>59</v>
      </c>
      <c r="D80" s="91" t="s">
        <v>135</v>
      </c>
      <c r="E80" s="132">
        <v>10804999</v>
      </c>
      <c r="F80" s="132"/>
      <c r="G80" s="132">
        <v>0</v>
      </c>
      <c r="H80" s="132">
        <v>0</v>
      </c>
      <c r="I80" s="92">
        <v>0.85</v>
      </c>
      <c r="J80" s="132">
        <v>0</v>
      </c>
      <c r="K80" s="73" t="str">
        <f t="shared" si="6"/>
        <v>n/a</v>
      </c>
      <c r="L80" s="132">
        <f t="shared" si="7"/>
        <v>0</v>
      </c>
      <c r="M80" s="133">
        <f t="shared" si="8"/>
        <v>0</v>
      </c>
      <c r="N80" s="134">
        <v>0</v>
      </c>
      <c r="O80" s="73" t="str">
        <f t="shared" si="9"/>
        <v>n/a</v>
      </c>
      <c r="P80" s="132">
        <f t="shared" si="10"/>
        <v>0</v>
      </c>
      <c r="Q80" s="137">
        <f t="shared" si="11"/>
        <v>0</v>
      </c>
      <c r="R80" s="117"/>
    </row>
    <row r="81" spans="1:18" s="8" customFormat="1" ht="69.75" x14ac:dyDescent="0.2">
      <c r="A81" s="89">
        <v>45</v>
      </c>
      <c r="B81" s="89" t="s">
        <v>5</v>
      </c>
      <c r="C81" s="124" t="s">
        <v>60</v>
      </c>
      <c r="D81" s="91" t="s">
        <v>135</v>
      </c>
      <c r="E81" s="132">
        <v>139698189</v>
      </c>
      <c r="F81" s="132"/>
      <c r="G81" s="132">
        <v>37227701</v>
      </c>
      <c r="H81" s="132">
        <v>0</v>
      </c>
      <c r="I81" s="92">
        <v>0.85</v>
      </c>
      <c r="J81" s="132">
        <v>20194348.517350201</v>
      </c>
      <c r="K81" s="93">
        <f t="shared" si="6"/>
        <v>0.54245489178475459</v>
      </c>
      <c r="L81" s="132">
        <f t="shared" si="7"/>
        <v>-11449197.332649797</v>
      </c>
      <c r="M81" s="133">
        <f t="shared" si="8"/>
        <v>-4003657.1326498017</v>
      </c>
      <c r="N81" s="134">
        <v>33735045.214275628</v>
      </c>
      <c r="O81" s="73">
        <f t="shared" si="9"/>
        <v>0.90618126578043667</v>
      </c>
      <c r="P81" s="132">
        <f t="shared" si="10"/>
        <v>2091499.3642756306</v>
      </c>
      <c r="Q81" s="137">
        <f t="shared" si="11"/>
        <v>9537039.5642756261</v>
      </c>
      <c r="R81" s="117" t="s">
        <v>201</v>
      </c>
    </row>
    <row r="82" spans="1:18" s="8" customFormat="1" ht="69.75" x14ac:dyDescent="0.2">
      <c r="A82" s="89">
        <v>50</v>
      </c>
      <c r="B82" s="89" t="s">
        <v>5</v>
      </c>
      <c r="C82" s="71" t="s">
        <v>62</v>
      </c>
      <c r="D82" s="91" t="s">
        <v>135</v>
      </c>
      <c r="E82" s="132">
        <v>9500000</v>
      </c>
      <c r="F82" s="132"/>
      <c r="G82" s="132">
        <v>2422500</v>
      </c>
      <c r="H82" s="132">
        <v>0</v>
      </c>
      <c r="I82" s="92">
        <v>0.85</v>
      </c>
      <c r="J82" s="132">
        <v>3641944.8588235294</v>
      </c>
      <c r="K82" s="73">
        <f t="shared" si="6"/>
        <v>1.5033828106598677</v>
      </c>
      <c r="L82" s="132">
        <f t="shared" si="7"/>
        <v>1582819.8588235294</v>
      </c>
      <c r="M82" s="133">
        <f t="shared" si="8"/>
        <v>2067319.8588235294</v>
      </c>
      <c r="N82" s="134">
        <v>4131688.5294117648</v>
      </c>
      <c r="O82" s="73">
        <f t="shared" si="9"/>
        <v>1.705547380562132</v>
      </c>
      <c r="P82" s="132">
        <f t="shared" si="10"/>
        <v>2072563.5294117648</v>
      </c>
      <c r="Q82" s="137">
        <f t="shared" si="11"/>
        <v>2557063.5294117648</v>
      </c>
      <c r="R82" s="117"/>
    </row>
    <row r="83" spans="1:18" s="8" customFormat="1" ht="69.75" x14ac:dyDescent="0.2">
      <c r="A83" s="89">
        <v>51</v>
      </c>
      <c r="B83" s="89" t="s">
        <v>5</v>
      </c>
      <c r="C83" s="71" t="s">
        <v>63</v>
      </c>
      <c r="D83" s="91" t="s">
        <v>135</v>
      </c>
      <c r="E83" s="132">
        <v>16643483</v>
      </c>
      <c r="F83" s="132"/>
      <c r="G83" s="132">
        <v>1499033</v>
      </c>
      <c r="H83" s="132">
        <v>2289729</v>
      </c>
      <c r="I83" s="92">
        <v>0.85</v>
      </c>
      <c r="J83" s="132">
        <v>3461503.1757514379</v>
      </c>
      <c r="K83" s="73">
        <f t="shared" si="6"/>
        <v>2.3091574206514718</v>
      </c>
      <c r="L83" s="132">
        <f t="shared" si="7"/>
        <v>2187325.1257514376</v>
      </c>
      <c r="M83" s="133">
        <f t="shared" si="8"/>
        <v>2487131.7257514377</v>
      </c>
      <c r="N83" s="134">
        <v>5185508.5382352956</v>
      </c>
      <c r="O83" s="73">
        <f t="shared" si="9"/>
        <v>3.4592357461345387</v>
      </c>
      <c r="P83" s="132">
        <f t="shared" si="10"/>
        <v>3911330.4882352958</v>
      </c>
      <c r="Q83" s="137">
        <f t="shared" si="11"/>
        <v>4211137.0882352954</v>
      </c>
      <c r="R83" s="117"/>
    </row>
    <row r="84" spans="1:18" s="8" customFormat="1" ht="69.75" collapsed="1" x14ac:dyDescent="0.2">
      <c r="A84" s="96">
        <v>48</v>
      </c>
      <c r="B84" s="96" t="s">
        <v>5</v>
      </c>
      <c r="C84" s="98" t="s">
        <v>64</v>
      </c>
      <c r="D84" s="99" t="s">
        <v>135</v>
      </c>
      <c r="E84" s="132">
        <v>9212619</v>
      </c>
      <c r="F84" s="132"/>
      <c r="G84" s="132">
        <v>0</v>
      </c>
      <c r="H84" s="132">
        <v>7830726</v>
      </c>
      <c r="I84" s="138">
        <v>0.85</v>
      </c>
      <c r="J84" s="132">
        <v>0</v>
      </c>
      <c r="K84" s="139" t="str">
        <f t="shared" si="6"/>
        <v>n/a</v>
      </c>
      <c r="L84" s="132">
        <f t="shared" si="7"/>
        <v>0</v>
      </c>
      <c r="M84" s="133">
        <f t="shared" si="8"/>
        <v>0</v>
      </c>
      <c r="N84" s="134">
        <v>0</v>
      </c>
      <c r="O84" s="139" t="str">
        <f t="shared" si="9"/>
        <v>n/a</v>
      </c>
      <c r="P84" s="132">
        <f t="shared" si="10"/>
        <v>0</v>
      </c>
      <c r="Q84" s="137">
        <f t="shared" si="11"/>
        <v>0</v>
      </c>
      <c r="R84" s="140"/>
    </row>
    <row r="85" spans="1:18" s="8" customFormat="1" ht="28.5" hidden="1" outlineLevel="1" x14ac:dyDescent="0.2">
      <c r="A85" s="462" t="s">
        <v>207</v>
      </c>
      <c r="B85" s="463"/>
      <c r="C85" s="463"/>
      <c r="D85" s="463"/>
      <c r="E85" s="463"/>
      <c r="F85" s="463"/>
      <c r="G85" s="463"/>
      <c r="H85" s="463"/>
      <c r="I85" s="463"/>
      <c r="J85" s="463"/>
      <c r="K85" s="463"/>
      <c r="L85" s="463"/>
      <c r="M85" s="463"/>
      <c r="N85" s="463"/>
      <c r="O85" s="463"/>
      <c r="P85" s="463"/>
      <c r="Q85" s="463"/>
      <c r="R85" s="464"/>
    </row>
    <row r="86" spans="1:18" s="8" customFormat="1" ht="46.5" hidden="1" outlineLevel="1" x14ac:dyDescent="0.2">
      <c r="A86" s="105">
        <v>52</v>
      </c>
      <c r="B86" s="105" t="s">
        <v>7</v>
      </c>
      <c r="C86" s="106" t="s">
        <v>78</v>
      </c>
      <c r="D86" s="107" t="s">
        <v>128</v>
      </c>
      <c r="E86" s="132">
        <v>277032428</v>
      </c>
      <c r="F86" s="108"/>
      <c r="G86" s="132">
        <v>72852630</v>
      </c>
      <c r="H86" s="132">
        <v>14363011</v>
      </c>
      <c r="I86" s="135">
        <v>0.75</v>
      </c>
      <c r="J86" s="132">
        <v>178628249.03039232</v>
      </c>
      <c r="K86" s="130">
        <f t="shared" si="6"/>
        <v>2.4519121551327978</v>
      </c>
      <c r="L86" s="132">
        <f t="shared" si="7"/>
        <v>123988776.53039232</v>
      </c>
      <c r="M86" s="133">
        <f t="shared" si="8"/>
        <v>131274039.53039232</v>
      </c>
      <c r="N86" s="134">
        <v>178628249.03039232</v>
      </c>
      <c r="O86" s="130">
        <f t="shared" si="9"/>
        <v>2.4519121551327978</v>
      </c>
      <c r="P86" s="132">
        <f t="shared" si="10"/>
        <v>123988776.53039232</v>
      </c>
      <c r="Q86" s="137">
        <f t="shared" si="11"/>
        <v>131274039.53039232</v>
      </c>
      <c r="R86" s="142"/>
    </row>
    <row r="87" spans="1:18" s="8" customFormat="1" ht="28.5" hidden="1" outlineLevel="1" x14ac:dyDescent="0.2">
      <c r="A87" s="462" t="s">
        <v>208</v>
      </c>
      <c r="B87" s="463"/>
      <c r="C87" s="463"/>
      <c r="D87" s="463"/>
      <c r="E87" s="463"/>
      <c r="F87" s="463"/>
      <c r="G87" s="463"/>
      <c r="H87" s="463"/>
      <c r="I87" s="463"/>
      <c r="J87" s="463"/>
      <c r="K87" s="463"/>
      <c r="L87" s="463"/>
      <c r="M87" s="463"/>
      <c r="N87" s="463"/>
      <c r="O87" s="463"/>
      <c r="P87" s="463"/>
      <c r="Q87" s="463"/>
      <c r="R87" s="464"/>
    </row>
    <row r="88" spans="1:18" s="8" customFormat="1" ht="46.5" hidden="1" outlineLevel="1" x14ac:dyDescent="0.2">
      <c r="A88" s="81">
        <v>55</v>
      </c>
      <c r="B88" s="81" t="s">
        <v>7</v>
      </c>
      <c r="C88" s="83" t="s">
        <v>69</v>
      </c>
      <c r="D88" s="84" t="s">
        <v>133</v>
      </c>
      <c r="E88" s="132">
        <v>105073678</v>
      </c>
      <c r="F88" s="108"/>
      <c r="G88" s="132">
        <v>33802200</v>
      </c>
      <c r="H88" s="132">
        <v>5525477.0040577287</v>
      </c>
      <c r="I88" s="136">
        <v>0.75</v>
      </c>
      <c r="J88" s="132">
        <v>36110052.568545118</v>
      </c>
      <c r="K88" s="131">
        <f t="shared" si="6"/>
        <v>1.0682752178421853</v>
      </c>
      <c r="L88" s="132">
        <f t="shared" si="7"/>
        <v>10758402.568545118</v>
      </c>
      <c r="M88" s="133">
        <f t="shared" si="8"/>
        <v>14138622.568545118</v>
      </c>
      <c r="N88" s="134">
        <v>36110052.568545118</v>
      </c>
      <c r="O88" s="131">
        <f t="shared" si="9"/>
        <v>1.0682752178421853</v>
      </c>
      <c r="P88" s="132">
        <f t="shared" si="10"/>
        <v>10758402.568545118</v>
      </c>
      <c r="Q88" s="137">
        <f t="shared" si="11"/>
        <v>14138622.568545118</v>
      </c>
      <c r="R88" s="141"/>
    </row>
    <row r="89" spans="1:18" s="8" customFormat="1" ht="69.75" hidden="1" outlineLevel="1" x14ac:dyDescent="0.2">
      <c r="A89" s="89">
        <v>58</v>
      </c>
      <c r="B89" s="89" t="s">
        <v>7</v>
      </c>
      <c r="C89" s="124" t="s">
        <v>70</v>
      </c>
      <c r="D89" s="91" t="s">
        <v>133</v>
      </c>
      <c r="E89" s="132">
        <v>23049010</v>
      </c>
      <c r="F89" s="108"/>
      <c r="G89" s="132">
        <v>2000000</v>
      </c>
      <c r="H89" s="132">
        <v>710524.46285737387</v>
      </c>
      <c r="I89" s="92">
        <v>0.75</v>
      </c>
      <c r="J89" s="132">
        <v>783218.71645782038</v>
      </c>
      <c r="K89" s="93">
        <f t="shared" si="6"/>
        <v>0.39160935822891019</v>
      </c>
      <c r="L89" s="132">
        <f t="shared" si="7"/>
        <v>-716781.28354217962</v>
      </c>
      <c r="M89" s="133">
        <f t="shared" si="8"/>
        <v>-516781.28354217962</v>
      </c>
      <c r="N89" s="134">
        <v>783218.71645782038</v>
      </c>
      <c r="O89" s="73">
        <f t="shared" si="9"/>
        <v>0.39160935822891019</v>
      </c>
      <c r="P89" s="132">
        <f t="shared" si="10"/>
        <v>-716781.28354217962</v>
      </c>
      <c r="Q89" s="137">
        <f t="shared" si="11"/>
        <v>-516781.28354217962</v>
      </c>
      <c r="R89" s="117"/>
    </row>
    <row r="90" spans="1:18" s="8" customFormat="1" ht="69.75" hidden="1" outlineLevel="1" x14ac:dyDescent="0.2">
      <c r="A90" s="89">
        <v>56</v>
      </c>
      <c r="B90" s="89" t="s">
        <v>7</v>
      </c>
      <c r="C90" s="124" t="s">
        <v>71</v>
      </c>
      <c r="D90" s="91" t="s">
        <v>133</v>
      </c>
      <c r="E90" s="132">
        <v>88364076</v>
      </c>
      <c r="F90" s="108"/>
      <c r="G90" s="132">
        <v>24085192</v>
      </c>
      <c r="H90" s="132">
        <v>4646774.3627410103</v>
      </c>
      <c r="I90" s="92">
        <v>0.75</v>
      </c>
      <c r="J90" s="132">
        <v>13091305.648107221</v>
      </c>
      <c r="K90" s="93">
        <f t="shared" si="6"/>
        <v>0.54354167689870281</v>
      </c>
      <c r="L90" s="132">
        <f t="shared" si="7"/>
        <v>-4972588.3518927786</v>
      </c>
      <c r="M90" s="133">
        <f t="shared" si="8"/>
        <v>-2564069.1518927794</v>
      </c>
      <c r="N90" s="134">
        <v>13091305.648107221</v>
      </c>
      <c r="O90" s="73">
        <f t="shared" si="9"/>
        <v>0.54354167689870281</v>
      </c>
      <c r="P90" s="132">
        <f t="shared" si="10"/>
        <v>-4972588.3518927786</v>
      </c>
      <c r="Q90" s="137">
        <f t="shared" si="11"/>
        <v>-2564069.1518927794</v>
      </c>
      <c r="R90" s="117"/>
    </row>
    <row r="91" spans="1:18" s="8" customFormat="1" ht="69.75" hidden="1" outlineLevel="1" x14ac:dyDescent="0.2">
      <c r="A91" s="89">
        <v>59</v>
      </c>
      <c r="B91" s="89" t="s">
        <v>7</v>
      </c>
      <c r="C91" s="71" t="s">
        <v>72</v>
      </c>
      <c r="D91" s="91" t="s">
        <v>133</v>
      </c>
      <c r="E91" s="132">
        <v>8345106</v>
      </c>
      <c r="F91" s="108"/>
      <c r="G91" s="132">
        <v>0</v>
      </c>
      <c r="H91" s="132">
        <v>438842</v>
      </c>
      <c r="I91" s="92">
        <v>0.75</v>
      </c>
      <c r="J91" s="132">
        <v>0</v>
      </c>
      <c r="K91" s="73" t="str">
        <f t="shared" si="6"/>
        <v>n/a</v>
      </c>
      <c r="L91" s="132">
        <f t="shared" si="7"/>
        <v>0</v>
      </c>
      <c r="M91" s="133">
        <f t="shared" si="8"/>
        <v>0</v>
      </c>
      <c r="N91" s="134">
        <v>0</v>
      </c>
      <c r="O91" s="73" t="str">
        <f t="shared" si="9"/>
        <v>n/a</v>
      </c>
      <c r="P91" s="132">
        <f t="shared" si="10"/>
        <v>0</v>
      </c>
      <c r="Q91" s="137">
        <f t="shared" si="11"/>
        <v>0</v>
      </c>
      <c r="R91" s="117"/>
    </row>
    <row r="92" spans="1:18" s="8" customFormat="1" ht="93" hidden="1" outlineLevel="1" x14ac:dyDescent="0.2">
      <c r="A92" s="89">
        <v>57</v>
      </c>
      <c r="B92" s="89" t="s">
        <v>7</v>
      </c>
      <c r="C92" s="124" t="s">
        <v>73</v>
      </c>
      <c r="D92" s="91" t="s">
        <v>133</v>
      </c>
      <c r="E92" s="132">
        <v>28235294</v>
      </c>
      <c r="F92" s="108"/>
      <c r="G92" s="132">
        <v>5170932</v>
      </c>
      <c r="H92" s="132">
        <v>1484802.3639075528</v>
      </c>
      <c r="I92" s="92">
        <v>0.75</v>
      </c>
      <c r="J92" s="132">
        <v>0</v>
      </c>
      <c r="K92" s="93">
        <f t="shared" ref="K92:K155" si="12">IFERROR(J92/G92,"n/a")</f>
        <v>0</v>
      </c>
      <c r="L92" s="132">
        <f t="shared" ref="L92:L155" si="13">IFERROR(J92-(G92*I92),"n/a")</f>
        <v>-3878199</v>
      </c>
      <c r="M92" s="133">
        <f t="shared" ref="M92:M155" si="14">IFERROR(J92-(G92*0.65),"n/a")</f>
        <v>-3361105.8000000003</v>
      </c>
      <c r="N92" s="134">
        <v>0</v>
      </c>
      <c r="O92" s="73">
        <f t="shared" ref="O92:O155" si="15">IFERROR(N92/G92,"n/a")</f>
        <v>0</v>
      </c>
      <c r="P92" s="132">
        <f t="shared" ref="P92:P155" si="16">N92-(G92*I92)</f>
        <v>-3878199</v>
      </c>
      <c r="Q92" s="137">
        <f t="shared" ref="Q92:Q155" si="17">N92-(G92*0.65)</f>
        <v>-3361105.8000000003</v>
      </c>
      <c r="R92" s="117"/>
    </row>
    <row r="93" spans="1:18" s="8" customFormat="1" ht="69.75" hidden="1" outlineLevel="1" x14ac:dyDescent="0.2">
      <c r="A93" s="89">
        <v>60</v>
      </c>
      <c r="B93" s="89" t="s">
        <v>7</v>
      </c>
      <c r="C93" s="71" t="s">
        <v>74</v>
      </c>
      <c r="D93" s="91" t="s">
        <v>133</v>
      </c>
      <c r="E93" s="132">
        <v>51570514</v>
      </c>
      <c r="F93" s="108"/>
      <c r="G93" s="132">
        <v>6554146</v>
      </c>
      <c r="H93" s="132">
        <v>2778862.1693609911</v>
      </c>
      <c r="I93" s="92">
        <v>0.75</v>
      </c>
      <c r="J93" s="132">
        <v>11022281.462211628</v>
      </c>
      <c r="K93" s="73">
        <f t="shared" si="12"/>
        <v>1.6817265685280169</v>
      </c>
      <c r="L93" s="132">
        <f t="shared" si="13"/>
        <v>6106671.9622116275</v>
      </c>
      <c r="M93" s="133">
        <f t="shared" si="14"/>
        <v>6762086.5622116271</v>
      </c>
      <c r="N93" s="134">
        <v>11022281.462211628</v>
      </c>
      <c r="O93" s="73">
        <f t="shared" si="15"/>
        <v>1.6817265685280169</v>
      </c>
      <c r="P93" s="132">
        <f t="shared" si="16"/>
        <v>6106671.9622116275</v>
      </c>
      <c r="Q93" s="137">
        <f t="shared" si="17"/>
        <v>6762086.5622116271</v>
      </c>
      <c r="R93" s="117"/>
    </row>
    <row r="94" spans="1:18" s="8" customFormat="1" ht="46.5" hidden="1" outlineLevel="1" x14ac:dyDescent="0.2">
      <c r="A94" s="89">
        <v>61</v>
      </c>
      <c r="B94" s="89" t="s">
        <v>7</v>
      </c>
      <c r="C94" s="71" t="s">
        <v>75</v>
      </c>
      <c r="D94" s="91" t="s">
        <v>133</v>
      </c>
      <c r="E94" s="132">
        <v>256999769</v>
      </c>
      <c r="F94" s="108"/>
      <c r="G94" s="132">
        <v>197688520</v>
      </c>
      <c r="H94" s="132">
        <v>13514767.514866358</v>
      </c>
      <c r="I94" s="92">
        <v>0.75</v>
      </c>
      <c r="J94" s="132">
        <v>211350105.4524042</v>
      </c>
      <c r="K94" s="73">
        <f t="shared" si="12"/>
        <v>1.0691066201133186</v>
      </c>
      <c r="L94" s="132">
        <f t="shared" si="13"/>
        <v>63083715.452404201</v>
      </c>
      <c r="M94" s="133">
        <f t="shared" si="14"/>
        <v>82852567.452404201</v>
      </c>
      <c r="N94" s="134">
        <v>211350105.4524042</v>
      </c>
      <c r="O94" s="73">
        <f t="shared" si="15"/>
        <v>1.0691066201133186</v>
      </c>
      <c r="P94" s="132">
        <f t="shared" si="16"/>
        <v>63083715.452404201</v>
      </c>
      <c r="Q94" s="137">
        <f t="shared" si="17"/>
        <v>82852567.452404201</v>
      </c>
      <c r="R94" s="117"/>
    </row>
    <row r="95" spans="1:18" s="8" customFormat="1" ht="46.5" hidden="1" outlineLevel="1" x14ac:dyDescent="0.2">
      <c r="A95" s="89">
        <v>53</v>
      </c>
      <c r="B95" s="89" t="s">
        <v>7</v>
      </c>
      <c r="C95" s="71" t="s">
        <v>76</v>
      </c>
      <c r="D95" s="91" t="s">
        <v>133</v>
      </c>
      <c r="E95" s="132">
        <v>407810998</v>
      </c>
      <c r="F95" s="108"/>
      <c r="G95" s="132">
        <v>0</v>
      </c>
      <c r="H95" s="132">
        <v>28082986</v>
      </c>
      <c r="I95" s="92">
        <v>0.75</v>
      </c>
      <c r="J95" s="132">
        <v>0</v>
      </c>
      <c r="K95" s="73" t="str">
        <f t="shared" si="12"/>
        <v>n/a</v>
      </c>
      <c r="L95" s="132">
        <f t="shared" si="13"/>
        <v>0</v>
      </c>
      <c r="M95" s="133">
        <f t="shared" si="14"/>
        <v>0</v>
      </c>
      <c r="N95" s="134">
        <v>0</v>
      </c>
      <c r="O95" s="73" t="str">
        <f t="shared" si="15"/>
        <v>n/a</v>
      </c>
      <c r="P95" s="132">
        <f t="shared" si="16"/>
        <v>0</v>
      </c>
      <c r="Q95" s="137">
        <f t="shared" si="17"/>
        <v>0</v>
      </c>
      <c r="R95" s="117"/>
    </row>
    <row r="96" spans="1:18" s="8" customFormat="1" ht="46.5" hidden="1" outlineLevel="1" x14ac:dyDescent="0.2">
      <c r="A96" s="96">
        <v>54</v>
      </c>
      <c r="B96" s="96" t="s">
        <v>7</v>
      </c>
      <c r="C96" s="98" t="s">
        <v>77</v>
      </c>
      <c r="D96" s="99" t="s">
        <v>133</v>
      </c>
      <c r="E96" s="132">
        <v>126221198</v>
      </c>
      <c r="F96" s="108"/>
      <c r="G96" s="132">
        <v>36847633</v>
      </c>
      <c r="H96" s="132">
        <v>0</v>
      </c>
      <c r="I96" s="138">
        <v>0.75</v>
      </c>
      <c r="J96" s="132">
        <v>0</v>
      </c>
      <c r="K96" s="139">
        <f t="shared" si="12"/>
        <v>0</v>
      </c>
      <c r="L96" s="132">
        <f t="shared" si="13"/>
        <v>-27635724.75</v>
      </c>
      <c r="M96" s="133">
        <f t="shared" si="14"/>
        <v>-23950961.449999999</v>
      </c>
      <c r="N96" s="134">
        <v>0</v>
      </c>
      <c r="O96" s="139">
        <f t="shared" si="15"/>
        <v>0</v>
      </c>
      <c r="P96" s="132">
        <f t="shared" si="16"/>
        <v>-27635724.75</v>
      </c>
      <c r="Q96" s="137">
        <f t="shared" si="17"/>
        <v>-23950961.449999999</v>
      </c>
      <c r="R96" s="140"/>
    </row>
    <row r="97" spans="1:19" s="8" customFormat="1" ht="28.5" hidden="1" outlineLevel="1" x14ac:dyDescent="0.2">
      <c r="A97" s="462" t="s">
        <v>209</v>
      </c>
      <c r="B97" s="463"/>
      <c r="C97" s="463"/>
      <c r="D97" s="463"/>
      <c r="E97" s="463"/>
      <c r="F97" s="463"/>
      <c r="G97" s="463"/>
      <c r="H97" s="463"/>
      <c r="I97" s="463"/>
      <c r="J97" s="463"/>
      <c r="K97" s="463"/>
      <c r="L97" s="463"/>
      <c r="M97" s="463"/>
      <c r="N97" s="463"/>
      <c r="O97" s="463"/>
      <c r="P97" s="463"/>
      <c r="Q97" s="463"/>
      <c r="R97" s="464"/>
    </row>
    <row r="98" spans="1:19" s="8" customFormat="1" ht="69.75" hidden="1" outlineLevel="1" x14ac:dyDescent="0.35">
      <c r="A98" s="81">
        <v>69</v>
      </c>
      <c r="B98" s="81" t="s">
        <v>8</v>
      </c>
      <c r="C98" s="83" t="s">
        <v>79</v>
      </c>
      <c r="D98" s="84" t="s">
        <v>137</v>
      </c>
      <c r="E98" s="132">
        <v>96428049</v>
      </c>
      <c r="F98" s="108"/>
      <c r="G98" s="132">
        <v>35925577.217863351</v>
      </c>
      <c r="H98" s="132">
        <v>4203913</v>
      </c>
      <c r="I98" s="136">
        <v>0.85</v>
      </c>
      <c r="J98" s="132">
        <v>48280572.688763045</v>
      </c>
      <c r="K98" s="131">
        <f t="shared" si="12"/>
        <v>1.3439052738380608</v>
      </c>
      <c r="L98" s="132">
        <f t="shared" si="13"/>
        <v>17743832.053579196</v>
      </c>
      <c r="M98" s="133">
        <f t="shared" si="14"/>
        <v>24928947.497151867</v>
      </c>
      <c r="N98" s="134">
        <v>48280572.688763045</v>
      </c>
      <c r="O98" s="131">
        <f t="shared" si="15"/>
        <v>1.3439052738380608</v>
      </c>
      <c r="P98" s="132">
        <f t="shared" si="16"/>
        <v>17743832.053579196</v>
      </c>
      <c r="Q98" s="137">
        <f t="shared" si="17"/>
        <v>24928947.497151867</v>
      </c>
      <c r="R98" s="141"/>
      <c r="S98" s="34"/>
    </row>
    <row r="99" spans="1:19" s="8" customFormat="1" ht="46.5" hidden="1" outlineLevel="1" x14ac:dyDescent="0.35">
      <c r="A99" s="89">
        <v>67</v>
      </c>
      <c r="B99" s="89" t="s">
        <v>8</v>
      </c>
      <c r="C99" s="71" t="s">
        <v>80</v>
      </c>
      <c r="D99" s="91" t="s">
        <v>137</v>
      </c>
      <c r="E99" s="132">
        <v>591250</v>
      </c>
      <c r="F99" s="108"/>
      <c r="G99" s="132">
        <v>239911.32122226211</v>
      </c>
      <c r="H99" s="132">
        <v>0</v>
      </c>
      <c r="I99" s="92">
        <v>0.85</v>
      </c>
      <c r="J99" s="132">
        <v>314536.37175612157</v>
      </c>
      <c r="K99" s="73">
        <f t="shared" si="12"/>
        <v>1.3110526429251925</v>
      </c>
      <c r="L99" s="132">
        <f t="shared" si="13"/>
        <v>110611.74871719879</v>
      </c>
      <c r="M99" s="133">
        <f t="shared" si="14"/>
        <v>158594.0129616512</v>
      </c>
      <c r="N99" s="134">
        <v>314536.37175612157</v>
      </c>
      <c r="O99" s="73">
        <f t="shared" si="15"/>
        <v>1.3110526429251925</v>
      </c>
      <c r="P99" s="132">
        <f t="shared" si="16"/>
        <v>110611.74871719879</v>
      </c>
      <c r="Q99" s="137">
        <f t="shared" si="17"/>
        <v>158594.0129616512</v>
      </c>
      <c r="R99" s="117"/>
      <c r="S99" s="34"/>
    </row>
    <row r="100" spans="1:19" s="8" customFormat="1" ht="93" hidden="1" outlineLevel="1" x14ac:dyDescent="0.35">
      <c r="A100" s="89">
        <v>68</v>
      </c>
      <c r="B100" s="89" t="s">
        <v>8</v>
      </c>
      <c r="C100" s="71" t="s">
        <v>81</v>
      </c>
      <c r="D100" s="91" t="s">
        <v>137</v>
      </c>
      <c r="E100" s="132">
        <v>1400770</v>
      </c>
      <c r="F100" s="108"/>
      <c r="G100" s="132">
        <v>605638.94254677766</v>
      </c>
      <c r="H100" s="132">
        <v>0</v>
      </c>
      <c r="I100" s="92">
        <v>0.85</v>
      </c>
      <c r="J100" s="132">
        <v>958596.65627322765</v>
      </c>
      <c r="K100" s="73">
        <f t="shared" si="12"/>
        <v>1.5827856977661052</v>
      </c>
      <c r="L100" s="132">
        <f t="shared" si="13"/>
        <v>443803.55510846665</v>
      </c>
      <c r="M100" s="133">
        <f t="shared" si="14"/>
        <v>564931.34361782216</v>
      </c>
      <c r="N100" s="134">
        <v>958596.65627322765</v>
      </c>
      <c r="O100" s="73">
        <f t="shared" si="15"/>
        <v>1.5827856977661052</v>
      </c>
      <c r="P100" s="132">
        <f t="shared" si="16"/>
        <v>443803.55510846665</v>
      </c>
      <c r="Q100" s="137">
        <f t="shared" si="17"/>
        <v>564931.34361782216</v>
      </c>
      <c r="R100" s="117"/>
      <c r="S100" s="34"/>
    </row>
    <row r="101" spans="1:19" s="8" customFormat="1" ht="116.25" hidden="1" outlineLevel="1" x14ac:dyDescent="0.35">
      <c r="A101" s="89">
        <v>65</v>
      </c>
      <c r="B101" s="89"/>
      <c r="C101" s="71" t="s">
        <v>164</v>
      </c>
      <c r="D101" s="91" t="s">
        <v>137</v>
      </c>
      <c r="E101" s="132">
        <v>208000</v>
      </c>
      <c r="F101" s="108"/>
      <c r="G101" s="132">
        <v>194218.59541997206</v>
      </c>
      <c r="H101" s="132">
        <v>0</v>
      </c>
      <c r="I101" s="92">
        <v>0.85</v>
      </c>
      <c r="J101" s="132">
        <v>183549.90588235305</v>
      </c>
      <c r="K101" s="73">
        <f t="shared" si="12"/>
        <v>0.94506865053498412</v>
      </c>
      <c r="L101" s="132">
        <f t="shared" si="13"/>
        <v>18464.099775376817</v>
      </c>
      <c r="M101" s="133">
        <f t="shared" si="14"/>
        <v>57307.818859371211</v>
      </c>
      <c r="N101" s="134">
        <v>183549.90588235305</v>
      </c>
      <c r="O101" s="73">
        <f t="shared" si="15"/>
        <v>0.94506865053498412</v>
      </c>
      <c r="P101" s="132">
        <f t="shared" si="16"/>
        <v>18464.099775376817</v>
      </c>
      <c r="Q101" s="137">
        <f t="shared" si="17"/>
        <v>57307.818859371211</v>
      </c>
      <c r="R101" s="117"/>
      <c r="S101" s="34"/>
    </row>
    <row r="102" spans="1:19" s="8" customFormat="1" ht="93" hidden="1" outlineLevel="1" x14ac:dyDescent="0.35">
      <c r="A102" s="89">
        <v>64</v>
      </c>
      <c r="B102" s="89"/>
      <c r="C102" s="71" t="s">
        <v>165</v>
      </c>
      <c r="D102" s="91" t="s">
        <v>137</v>
      </c>
      <c r="E102" s="132">
        <v>6812578</v>
      </c>
      <c r="F102" s="108"/>
      <c r="G102" s="132">
        <v>6361198.7036009729</v>
      </c>
      <c r="H102" s="132">
        <v>0</v>
      </c>
      <c r="I102" s="92">
        <v>0.85</v>
      </c>
      <c r="J102" s="132">
        <v>6681946.7579382313</v>
      </c>
      <c r="K102" s="73">
        <f t="shared" si="12"/>
        <v>1.0504225805987932</v>
      </c>
      <c r="L102" s="132">
        <f t="shared" si="13"/>
        <v>1274927.8598774048</v>
      </c>
      <c r="M102" s="133">
        <f t="shared" si="14"/>
        <v>2547167.6005975986</v>
      </c>
      <c r="N102" s="134">
        <v>6681946.7579382313</v>
      </c>
      <c r="O102" s="73">
        <f t="shared" si="15"/>
        <v>1.0504225805987932</v>
      </c>
      <c r="P102" s="132">
        <f t="shared" si="16"/>
        <v>1274927.8598774048</v>
      </c>
      <c r="Q102" s="137">
        <f t="shared" si="17"/>
        <v>2547167.6005975986</v>
      </c>
      <c r="R102" s="117"/>
      <c r="S102" s="34"/>
    </row>
    <row r="103" spans="1:19" s="8" customFormat="1" ht="116.25" hidden="1" outlineLevel="1" x14ac:dyDescent="0.35">
      <c r="A103" s="89">
        <v>66</v>
      </c>
      <c r="B103" s="89" t="s">
        <v>8</v>
      </c>
      <c r="C103" s="71" t="s">
        <v>82</v>
      </c>
      <c r="D103" s="91" t="s">
        <v>137</v>
      </c>
      <c r="E103" s="132">
        <v>3258896</v>
      </c>
      <c r="F103" s="108"/>
      <c r="G103" s="132">
        <v>0</v>
      </c>
      <c r="H103" s="132">
        <v>2770061</v>
      </c>
      <c r="I103" s="92">
        <v>0.85</v>
      </c>
      <c r="J103" s="132">
        <v>0</v>
      </c>
      <c r="K103" s="73" t="str">
        <f t="shared" si="12"/>
        <v>n/a</v>
      </c>
      <c r="L103" s="132">
        <f t="shared" si="13"/>
        <v>0</v>
      </c>
      <c r="M103" s="133">
        <f t="shared" si="14"/>
        <v>0</v>
      </c>
      <c r="N103" s="134">
        <v>0</v>
      </c>
      <c r="O103" s="73" t="str">
        <f t="shared" si="15"/>
        <v>n/a</v>
      </c>
      <c r="P103" s="132">
        <f t="shared" si="16"/>
        <v>0</v>
      </c>
      <c r="Q103" s="137">
        <f t="shared" si="17"/>
        <v>0</v>
      </c>
      <c r="R103" s="117"/>
      <c r="S103" s="34"/>
    </row>
    <row r="104" spans="1:19" s="8" customFormat="1" ht="69.75" hidden="1" outlineLevel="1" x14ac:dyDescent="0.35">
      <c r="A104" s="89">
        <v>63</v>
      </c>
      <c r="B104" s="89" t="s">
        <v>8</v>
      </c>
      <c r="C104" s="124" t="s">
        <v>83</v>
      </c>
      <c r="D104" s="91" t="s">
        <v>137</v>
      </c>
      <c r="E104" s="132">
        <v>12643472</v>
      </c>
      <c r="F104" s="108"/>
      <c r="G104" s="132">
        <v>2975050.7158188513</v>
      </c>
      <c r="H104" s="132">
        <v>0</v>
      </c>
      <c r="I104" s="92">
        <v>0.85</v>
      </c>
      <c r="J104" s="132">
        <v>827854.46246513643</v>
      </c>
      <c r="K104" s="93">
        <f t="shared" si="12"/>
        <v>0.27826566386357493</v>
      </c>
      <c r="L104" s="132">
        <f t="shared" si="13"/>
        <v>-1700938.6459808871</v>
      </c>
      <c r="M104" s="133">
        <f t="shared" si="14"/>
        <v>-1105928.5028171171</v>
      </c>
      <c r="N104" s="134">
        <v>827854.46246513643</v>
      </c>
      <c r="O104" s="73">
        <f t="shared" si="15"/>
        <v>0.27826566386357493</v>
      </c>
      <c r="P104" s="132">
        <f t="shared" si="16"/>
        <v>-1700938.6459808871</v>
      </c>
      <c r="Q104" s="137">
        <f t="shared" si="17"/>
        <v>-1105928.5028171171</v>
      </c>
      <c r="R104" s="117"/>
      <c r="S104" s="34"/>
    </row>
    <row r="105" spans="1:19" s="8" customFormat="1" ht="116.25" hidden="1" outlineLevel="1" x14ac:dyDescent="0.35">
      <c r="A105" s="96">
        <v>62</v>
      </c>
      <c r="B105" s="96" t="s">
        <v>8</v>
      </c>
      <c r="C105" s="126" t="s">
        <v>84</v>
      </c>
      <c r="D105" s="99" t="s">
        <v>137</v>
      </c>
      <c r="E105" s="132">
        <v>10596211</v>
      </c>
      <c r="F105" s="108"/>
      <c r="G105" s="132">
        <v>3075098.5035278117</v>
      </c>
      <c r="H105" s="132">
        <v>0</v>
      </c>
      <c r="I105" s="138">
        <v>0.85</v>
      </c>
      <c r="J105" s="132">
        <v>584874.26978681388</v>
      </c>
      <c r="K105" s="123">
        <f t="shared" si="12"/>
        <v>0.19019692185984771</v>
      </c>
      <c r="L105" s="132">
        <f t="shared" si="13"/>
        <v>-2028959.4582118262</v>
      </c>
      <c r="M105" s="133">
        <f t="shared" si="14"/>
        <v>-1413939.7575062639</v>
      </c>
      <c r="N105" s="134">
        <v>584874.26978681388</v>
      </c>
      <c r="O105" s="139">
        <f t="shared" si="15"/>
        <v>0.19019692185984771</v>
      </c>
      <c r="P105" s="132">
        <f t="shared" si="16"/>
        <v>-2028959.4582118262</v>
      </c>
      <c r="Q105" s="137">
        <f t="shared" si="17"/>
        <v>-1413939.7575062639</v>
      </c>
      <c r="R105" s="140"/>
      <c r="S105" s="34"/>
    </row>
    <row r="106" spans="1:19" s="8" customFormat="1" ht="28.5" hidden="1" outlineLevel="1" x14ac:dyDescent="0.2">
      <c r="A106" s="462" t="s">
        <v>210</v>
      </c>
      <c r="B106" s="463"/>
      <c r="C106" s="463"/>
      <c r="D106" s="463"/>
      <c r="E106" s="463"/>
      <c r="F106" s="463"/>
      <c r="G106" s="463"/>
      <c r="H106" s="463"/>
      <c r="I106" s="463"/>
      <c r="J106" s="463"/>
      <c r="K106" s="463"/>
      <c r="L106" s="463"/>
      <c r="M106" s="463"/>
      <c r="N106" s="463"/>
      <c r="O106" s="463"/>
      <c r="P106" s="463"/>
      <c r="Q106" s="463"/>
      <c r="R106" s="464"/>
    </row>
    <row r="107" spans="1:19" s="8" customFormat="1" ht="116.25" hidden="1" outlineLevel="1" x14ac:dyDescent="0.35">
      <c r="A107" s="81">
        <v>71</v>
      </c>
      <c r="B107" s="81" t="s">
        <v>8</v>
      </c>
      <c r="C107" s="83" t="s">
        <v>166</v>
      </c>
      <c r="D107" s="84" t="s">
        <v>138</v>
      </c>
      <c r="E107" s="132">
        <v>33769162</v>
      </c>
      <c r="F107" s="108"/>
      <c r="G107" s="132">
        <v>26050171.876714714</v>
      </c>
      <c r="H107" s="132">
        <v>0</v>
      </c>
      <c r="I107" s="136">
        <v>0.85</v>
      </c>
      <c r="J107" s="132">
        <v>32354522.463863201</v>
      </c>
      <c r="K107" s="131">
        <f t="shared" si="12"/>
        <v>1.2420080227103496</v>
      </c>
      <c r="L107" s="132">
        <f t="shared" si="13"/>
        <v>10211876.368655697</v>
      </c>
      <c r="M107" s="133">
        <f t="shared" si="14"/>
        <v>15421910.743998636</v>
      </c>
      <c r="N107" s="134">
        <v>32354522.463863201</v>
      </c>
      <c r="O107" s="131">
        <f t="shared" si="15"/>
        <v>1.2420080227103496</v>
      </c>
      <c r="P107" s="132">
        <f t="shared" si="16"/>
        <v>10211876.368655697</v>
      </c>
      <c r="Q107" s="137">
        <f t="shared" si="17"/>
        <v>15421910.743998636</v>
      </c>
      <c r="R107" s="141"/>
      <c r="S107" s="36"/>
    </row>
    <row r="108" spans="1:19" s="8" customFormat="1" ht="93" hidden="1" outlineLevel="1" x14ac:dyDescent="0.2">
      <c r="A108" s="96">
        <v>70</v>
      </c>
      <c r="B108" s="96" t="s">
        <v>8</v>
      </c>
      <c r="C108" s="98" t="s">
        <v>167</v>
      </c>
      <c r="D108" s="99" t="s">
        <v>138</v>
      </c>
      <c r="E108" s="132">
        <v>29371641</v>
      </c>
      <c r="F108" s="108"/>
      <c r="G108" s="132">
        <v>22657840.123285286</v>
      </c>
      <c r="H108" s="132">
        <v>0</v>
      </c>
      <c r="I108" s="138">
        <v>0.85</v>
      </c>
      <c r="J108" s="132">
        <v>22720511.668769386</v>
      </c>
      <c r="K108" s="139">
        <f t="shared" si="12"/>
        <v>1.0027659982215027</v>
      </c>
      <c r="L108" s="132">
        <f t="shared" si="13"/>
        <v>3461347.5639768913</v>
      </c>
      <c r="M108" s="133">
        <f t="shared" si="14"/>
        <v>7992915.5886339489</v>
      </c>
      <c r="N108" s="134">
        <v>22720511.668769386</v>
      </c>
      <c r="O108" s="139">
        <f t="shared" si="15"/>
        <v>1.0027659982215027</v>
      </c>
      <c r="P108" s="132">
        <f t="shared" si="16"/>
        <v>3461347.5639768913</v>
      </c>
      <c r="Q108" s="137">
        <f t="shared" si="17"/>
        <v>7992915.5886339489</v>
      </c>
      <c r="R108" s="140"/>
    </row>
    <row r="109" spans="1:19" s="8" customFormat="1" ht="28.5" hidden="1" outlineLevel="1" x14ac:dyDescent="0.2">
      <c r="A109" s="462" t="s">
        <v>211</v>
      </c>
      <c r="B109" s="463"/>
      <c r="C109" s="463"/>
      <c r="D109" s="463"/>
      <c r="E109" s="463"/>
      <c r="F109" s="463"/>
      <c r="G109" s="463"/>
      <c r="H109" s="463"/>
      <c r="I109" s="463"/>
      <c r="J109" s="463"/>
      <c r="K109" s="463"/>
      <c r="L109" s="463"/>
      <c r="M109" s="463"/>
      <c r="N109" s="463"/>
      <c r="O109" s="463"/>
      <c r="P109" s="463"/>
      <c r="Q109" s="463"/>
      <c r="R109" s="464"/>
    </row>
    <row r="110" spans="1:19" s="8" customFormat="1" ht="333.75" hidden="1" customHeight="1" outlineLevel="1" x14ac:dyDescent="0.2">
      <c r="A110" s="81">
        <v>73</v>
      </c>
      <c r="B110" s="81" t="s">
        <v>9</v>
      </c>
      <c r="C110" s="83" t="s">
        <v>85</v>
      </c>
      <c r="D110" s="84" t="s">
        <v>126</v>
      </c>
      <c r="E110" s="132">
        <v>44641656</v>
      </c>
      <c r="F110" s="108"/>
      <c r="G110" s="132">
        <v>11160414</v>
      </c>
      <c r="H110" s="132">
        <v>2314490</v>
      </c>
      <c r="I110" s="136">
        <v>0.85</v>
      </c>
      <c r="J110" s="132">
        <v>10807393.657947388</v>
      </c>
      <c r="K110" s="131">
        <f t="shared" si="12"/>
        <v>0.96836852628830683</v>
      </c>
      <c r="L110" s="132">
        <f t="shared" si="13"/>
        <v>1321041.7579473872</v>
      </c>
      <c r="M110" s="133">
        <f t="shared" si="14"/>
        <v>3553124.557947387</v>
      </c>
      <c r="N110" s="134">
        <v>14593223.314117646</v>
      </c>
      <c r="O110" s="131">
        <f t="shared" si="15"/>
        <v>1.3075879903843752</v>
      </c>
      <c r="P110" s="132">
        <f t="shared" si="16"/>
        <v>5106871.4141176455</v>
      </c>
      <c r="Q110" s="137">
        <f t="shared" si="17"/>
        <v>7338954.2141176453</v>
      </c>
      <c r="R110" s="117" t="s">
        <v>192</v>
      </c>
    </row>
    <row r="111" spans="1:19" s="8" customFormat="1" ht="409.5" hidden="1" customHeight="1" outlineLevel="1" x14ac:dyDescent="0.2">
      <c r="A111" s="89">
        <v>75</v>
      </c>
      <c r="B111" s="89" t="s">
        <v>9</v>
      </c>
      <c r="C111" s="124" t="s">
        <v>86</v>
      </c>
      <c r="D111" s="91" t="s">
        <v>126</v>
      </c>
      <c r="E111" s="132">
        <v>168136850.14364851</v>
      </c>
      <c r="F111" s="108"/>
      <c r="G111" s="132">
        <v>32373977.000000007</v>
      </c>
      <c r="H111" s="132">
        <v>8470217</v>
      </c>
      <c r="I111" s="92">
        <v>0.85</v>
      </c>
      <c r="J111" s="132">
        <v>15665395.731295474</v>
      </c>
      <c r="K111" s="93">
        <f t="shared" si="12"/>
        <v>0.48388851735131183</v>
      </c>
      <c r="L111" s="132">
        <f t="shared" si="13"/>
        <v>-11852484.718704533</v>
      </c>
      <c r="M111" s="133">
        <f t="shared" si="14"/>
        <v>-5377689.3187045306</v>
      </c>
      <c r="N111" s="134">
        <v>27488648.349642858</v>
      </c>
      <c r="O111" s="73">
        <f t="shared" si="15"/>
        <v>0.84909704944940345</v>
      </c>
      <c r="P111" s="76">
        <f t="shared" si="16"/>
        <v>-29232.100357148796</v>
      </c>
      <c r="Q111" s="77">
        <f t="shared" si="17"/>
        <v>6445563.2996428534</v>
      </c>
      <c r="R111" s="117" t="s">
        <v>191</v>
      </c>
    </row>
    <row r="112" spans="1:19" s="27" customFormat="1" ht="315.75" hidden="1" customHeight="1" outlineLevel="1" x14ac:dyDescent="0.2">
      <c r="A112" s="89">
        <v>72</v>
      </c>
      <c r="B112" s="89" t="s">
        <v>9</v>
      </c>
      <c r="C112" s="124" t="s">
        <v>87</v>
      </c>
      <c r="D112" s="91" t="s">
        <v>126</v>
      </c>
      <c r="E112" s="132">
        <v>104224880</v>
      </c>
      <c r="F112" s="108"/>
      <c r="G112" s="132">
        <v>33454181</v>
      </c>
      <c r="H112" s="132">
        <v>5404059.7000000002</v>
      </c>
      <c r="I112" s="92">
        <v>0.85</v>
      </c>
      <c r="J112" s="132">
        <v>22307733.470881745</v>
      </c>
      <c r="K112" s="93">
        <f t="shared" si="12"/>
        <v>0.66681451478013298</v>
      </c>
      <c r="L112" s="132">
        <f t="shared" si="13"/>
        <v>-6128320.3791182525</v>
      </c>
      <c r="M112" s="133">
        <f t="shared" si="14"/>
        <v>562515.82088174298</v>
      </c>
      <c r="N112" s="134">
        <v>27588048.117647059</v>
      </c>
      <c r="O112" s="73">
        <f t="shared" si="15"/>
        <v>0.82465172642089368</v>
      </c>
      <c r="P112" s="76">
        <f t="shared" si="16"/>
        <v>-848005.7323529385</v>
      </c>
      <c r="Q112" s="77">
        <f t="shared" si="17"/>
        <v>5842830.467647057</v>
      </c>
      <c r="R112" s="117" t="s">
        <v>193</v>
      </c>
    </row>
    <row r="113" spans="1:19" s="8" customFormat="1" ht="69.75" hidden="1" outlineLevel="1" x14ac:dyDescent="0.2">
      <c r="A113" s="96">
        <v>74</v>
      </c>
      <c r="B113" s="96" t="s">
        <v>9</v>
      </c>
      <c r="C113" s="98" t="s">
        <v>88</v>
      </c>
      <c r="D113" s="99" t="s">
        <v>126</v>
      </c>
      <c r="E113" s="132">
        <v>14185198</v>
      </c>
      <c r="F113" s="108"/>
      <c r="G113" s="132">
        <v>3546300</v>
      </c>
      <c r="H113" s="132">
        <v>735445</v>
      </c>
      <c r="I113" s="138">
        <v>0.85</v>
      </c>
      <c r="J113" s="132">
        <v>3932091.5243047536</v>
      </c>
      <c r="K113" s="139">
        <f t="shared" si="12"/>
        <v>1.1087870525067687</v>
      </c>
      <c r="L113" s="132">
        <f t="shared" si="13"/>
        <v>917736.52430475364</v>
      </c>
      <c r="M113" s="133">
        <f t="shared" si="14"/>
        <v>1626996.5243047536</v>
      </c>
      <c r="N113" s="134">
        <v>4954110.4423529413</v>
      </c>
      <c r="O113" s="139">
        <f t="shared" si="15"/>
        <v>1.3969800756712465</v>
      </c>
      <c r="P113" s="111">
        <f t="shared" si="16"/>
        <v>1939755.4423529413</v>
      </c>
      <c r="Q113" s="112">
        <f t="shared" si="17"/>
        <v>2649015.4423529413</v>
      </c>
      <c r="R113" s="117"/>
    </row>
    <row r="114" spans="1:19" s="8" customFormat="1" ht="28.5" hidden="1" outlineLevel="1" x14ac:dyDescent="0.35">
      <c r="A114" s="462" t="s">
        <v>212</v>
      </c>
      <c r="B114" s="463"/>
      <c r="C114" s="463"/>
      <c r="D114" s="463"/>
      <c r="E114" s="463"/>
      <c r="F114" s="463"/>
      <c r="G114" s="463"/>
      <c r="H114" s="463"/>
      <c r="I114" s="463"/>
      <c r="J114" s="463"/>
      <c r="K114" s="463"/>
      <c r="L114" s="463"/>
      <c r="M114" s="463"/>
      <c r="N114" s="463"/>
      <c r="O114" s="463"/>
      <c r="P114" s="463"/>
      <c r="Q114" s="463"/>
      <c r="R114" s="464"/>
      <c r="S114" s="26"/>
    </row>
    <row r="115" spans="1:19" s="8" customFormat="1" ht="100.5" hidden="1" customHeight="1" outlineLevel="1" x14ac:dyDescent="0.2">
      <c r="A115" s="81">
        <v>86</v>
      </c>
      <c r="B115" s="82" t="s">
        <v>9</v>
      </c>
      <c r="C115" s="125" t="s">
        <v>89</v>
      </c>
      <c r="D115" s="84" t="s">
        <v>139</v>
      </c>
      <c r="E115" s="132">
        <v>10815000</v>
      </c>
      <c r="F115" s="103"/>
      <c r="G115" s="132">
        <v>306783.08034535614</v>
      </c>
      <c r="H115" s="132">
        <v>571654</v>
      </c>
      <c r="I115" s="136">
        <v>0.75</v>
      </c>
      <c r="J115" s="132">
        <v>0</v>
      </c>
      <c r="K115" s="113">
        <f t="shared" si="12"/>
        <v>0</v>
      </c>
      <c r="L115" s="132">
        <f t="shared" si="13"/>
        <v>-230087.3102590171</v>
      </c>
      <c r="M115" s="133">
        <f t="shared" si="14"/>
        <v>-199409.00222448149</v>
      </c>
      <c r="N115" s="134">
        <v>0</v>
      </c>
      <c r="O115" s="131">
        <f t="shared" si="15"/>
        <v>0</v>
      </c>
      <c r="P115" s="132">
        <f t="shared" si="16"/>
        <v>-230087.3102590171</v>
      </c>
      <c r="Q115" s="137">
        <f t="shared" si="17"/>
        <v>-199409.00222448149</v>
      </c>
      <c r="R115" s="141" t="s">
        <v>175</v>
      </c>
      <c r="S115" s="10"/>
    </row>
    <row r="116" spans="1:19" s="8" customFormat="1" ht="120.75" hidden="1" customHeight="1" outlineLevel="1" x14ac:dyDescent="0.2">
      <c r="A116" s="89">
        <v>84</v>
      </c>
      <c r="B116" s="90" t="s">
        <v>9</v>
      </c>
      <c r="C116" s="124" t="s">
        <v>90</v>
      </c>
      <c r="D116" s="91" t="s">
        <v>139</v>
      </c>
      <c r="E116" s="132">
        <v>34340686</v>
      </c>
      <c r="F116" s="103"/>
      <c r="G116" s="132">
        <v>613566.16069071228</v>
      </c>
      <c r="H116" s="132">
        <v>1815162</v>
      </c>
      <c r="I116" s="92">
        <v>0.75</v>
      </c>
      <c r="J116" s="132">
        <v>0</v>
      </c>
      <c r="K116" s="93">
        <f t="shared" si="12"/>
        <v>0</v>
      </c>
      <c r="L116" s="132">
        <f t="shared" si="13"/>
        <v>-460174.62051803421</v>
      </c>
      <c r="M116" s="133">
        <f t="shared" si="14"/>
        <v>-398818.00444896298</v>
      </c>
      <c r="N116" s="134">
        <v>0</v>
      </c>
      <c r="O116" s="73">
        <f t="shared" si="15"/>
        <v>0</v>
      </c>
      <c r="P116" s="132">
        <f t="shared" si="16"/>
        <v>-460174.62051803421</v>
      </c>
      <c r="Q116" s="137">
        <f t="shared" si="17"/>
        <v>-398818.00444896298</v>
      </c>
      <c r="R116" s="117" t="s">
        <v>175</v>
      </c>
      <c r="S116" s="10"/>
    </row>
    <row r="117" spans="1:19" s="8" customFormat="1" ht="100.5" hidden="1" customHeight="1" outlineLevel="1" x14ac:dyDescent="0.2">
      <c r="A117" s="89">
        <v>81</v>
      </c>
      <c r="B117" s="90" t="s">
        <v>9</v>
      </c>
      <c r="C117" s="124" t="s">
        <v>91</v>
      </c>
      <c r="D117" s="91" t="s">
        <v>139</v>
      </c>
      <c r="E117" s="132">
        <v>20000000</v>
      </c>
      <c r="F117" s="103"/>
      <c r="G117" s="132">
        <v>876523.08670101757</v>
      </c>
      <c r="H117" s="132">
        <v>1136067</v>
      </c>
      <c r="I117" s="92">
        <v>0.75</v>
      </c>
      <c r="J117" s="132">
        <v>0</v>
      </c>
      <c r="K117" s="93">
        <f t="shared" si="12"/>
        <v>0</v>
      </c>
      <c r="L117" s="132">
        <f t="shared" si="13"/>
        <v>-657392.31502576312</v>
      </c>
      <c r="M117" s="133">
        <f t="shared" si="14"/>
        <v>-569740.00635566143</v>
      </c>
      <c r="N117" s="134">
        <v>0</v>
      </c>
      <c r="O117" s="73">
        <f t="shared" si="15"/>
        <v>0</v>
      </c>
      <c r="P117" s="132">
        <f t="shared" si="16"/>
        <v>-657392.31502576312</v>
      </c>
      <c r="Q117" s="137">
        <f t="shared" si="17"/>
        <v>-569740.00635566143</v>
      </c>
      <c r="R117" s="117" t="s">
        <v>175</v>
      </c>
      <c r="S117" s="10"/>
    </row>
    <row r="118" spans="1:19" s="8" customFormat="1" ht="93.75" hidden="1" customHeight="1" outlineLevel="1" x14ac:dyDescent="0.2">
      <c r="A118" s="89">
        <v>85</v>
      </c>
      <c r="B118" s="90" t="s">
        <v>9</v>
      </c>
      <c r="C118" s="71" t="s">
        <v>92</v>
      </c>
      <c r="D118" s="91" t="s">
        <v>139</v>
      </c>
      <c r="E118" s="132">
        <v>1500000</v>
      </c>
      <c r="F118" s="103"/>
      <c r="G118" s="132">
        <v>1051827.7040412212</v>
      </c>
      <c r="H118" s="132">
        <v>0</v>
      </c>
      <c r="I118" s="92">
        <v>0.75</v>
      </c>
      <c r="J118" s="132">
        <v>886383.45882352942</v>
      </c>
      <c r="K118" s="73">
        <f t="shared" si="12"/>
        <v>0.8427078459884263</v>
      </c>
      <c r="L118" s="132">
        <f t="shared" si="13"/>
        <v>97512.680792613537</v>
      </c>
      <c r="M118" s="133">
        <f t="shared" si="14"/>
        <v>202695.45119673561</v>
      </c>
      <c r="N118" s="134">
        <v>1061643.4633176471</v>
      </c>
      <c r="O118" s="73">
        <f t="shared" si="15"/>
        <v>1.0093320980600842</v>
      </c>
      <c r="P118" s="132">
        <f t="shared" si="16"/>
        <v>272772.68528673123</v>
      </c>
      <c r="Q118" s="137">
        <f t="shared" si="17"/>
        <v>377955.4556908533</v>
      </c>
      <c r="R118" s="117" t="s">
        <v>176</v>
      </c>
      <c r="S118" s="10"/>
    </row>
    <row r="119" spans="1:19" s="8" customFormat="1" ht="93" hidden="1" outlineLevel="1" x14ac:dyDescent="0.2">
      <c r="A119" s="89">
        <v>92</v>
      </c>
      <c r="B119" s="90" t="s">
        <v>9</v>
      </c>
      <c r="C119" s="71" t="s">
        <v>93</v>
      </c>
      <c r="D119" s="91" t="s">
        <v>139</v>
      </c>
      <c r="E119" s="132">
        <v>13960884</v>
      </c>
      <c r="F119" s="103"/>
      <c r="G119" s="132">
        <v>5090334</v>
      </c>
      <c r="H119" s="132">
        <v>0</v>
      </c>
      <c r="I119" s="92">
        <v>0.75</v>
      </c>
      <c r="J119" s="132">
        <v>5836705.7026238367</v>
      </c>
      <c r="K119" s="73">
        <f t="shared" si="12"/>
        <v>1.1466252907223449</v>
      </c>
      <c r="L119" s="132">
        <f t="shared" si="13"/>
        <v>2018955.2026238367</v>
      </c>
      <c r="M119" s="133">
        <f t="shared" si="14"/>
        <v>2527988.6026238366</v>
      </c>
      <c r="N119" s="134">
        <v>8055854.5764705874</v>
      </c>
      <c r="O119" s="73">
        <f t="shared" si="15"/>
        <v>1.5825787809740162</v>
      </c>
      <c r="P119" s="132">
        <f t="shared" si="16"/>
        <v>4238104.0764705874</v>
      </c>
      <c r="Q119" s="137">
        <f t="shared" si="17"/>
        <v>4747137.4764705878</v>
      </c>
      <c r="R119" s="117"/>
    </row>
    <row r="120" spans="1:19" s="8" customFormat="1" ht="69.75" hidden="1" outlineLevel="1" x14ac:dyDescent="0.2">
      <c r="A120" s="89">
        <v>82</v>
      </c>
      <c r="B120" s="90" t="s">
        <v>9</v>
      </c>
      <c r="C120" s="124" t="s">
        <v>94</v>
      </c>
      <c r="D120" s="91" t="s">
        <v>139</v>
      </c>
      <c r="E120" s="132">
        <v>4221188</v>
      </c>
      <c r="F120" s="103"/>
      <c r="G120" s="132">
        <v>593149.30843218556</v>
      </c>
      <c r="H120" s="132">
        <v>961286</v>
      </c>
      <c r="I120" s="92">
        <v>0.75</v>
      </c>
      <c r="J120" s="132">
        <v>0</v>
      </c>
      <c r="K120" s="93">
        <f t="shared" si="12"/>
        <v>0</v>
      </c>
      <c r="L120" s="132">
        <f t="shared" si="13"/>
        <v>-444861.98132413917</v>
      </c>
      <c r="M120" s="133">
        <f t="shared" si="14"/>
        <v>-385547.05048092065</v>
      </c>
      <c r="N120" s="134">
        <v>0</v>
      </c>
      <c r="O120" s="73">
        <f t="shared" si="15"/>
        <v>0</v>
      </c>
      <c r="P120" s="132">
        <f t="shared" si="16"/>
        <v>-444861.98132413917</v>
      </c>
      <c r="Q120" s="137">
        <f t="shared" si="17"/>
        <v>-385547.05048092065</v>
      </c>
      <c r="R120" s="117" t="s">
        <v>177</v>
      </c>
      <c r="S120" s="10"/>
    </row>
    <row r="121" spans="1:19" s="8" customFormat="1" ht="46.5" hidden="1" outlineLevel="1" x14ac:dyDescent="0.2">
      <c r="A121" s="89">
        <v>88</v>
      </c>
      <c r="B121" s="90" t="s">
        <v>9</v>
      </c>
      <c r="C121" s="71" t="s">
        <v>95</v>
      </c>
      <c r="D121" s="91" t="s">
        <v>139</v>
      </c>
      <c r="E121" s="132">
        <v>3287350</v>
      </c>
      <c r="F121" s="103"/>
      <c r="G121" s="132">
        <v>864430.57419689035</v>
      </c>
      <c r="H121" s="103">
        <v>0</v>
      </c>
      <c r="I121" s="92">
        <v>0.75</v>
      </c>
      <c r="J121" s="132">
        <v>937686.9089652776</v>
      </c>
      <c r="K121" s="73">
        <f t="shared" si="12"/>
        <v>1.0847451917540596</v>
      </c>
      <c r="L121" s="132">
        <f t="shared" si="13"/>
        <v>289363.97831760987</v>
      </c>
      <c r="M121" s="133">
        <f t="shared" si="14"/>
        <v>375807.03573729889</v>
      </c>
      <c r="N121" s="134">
        <v>977368.10588235303</v>
      </c>
      <c r="O121" s="73">
        <f t="shared" si="15"/>
        <v>1.1306496265363921</v>
      </c>
      <c r="P121" s="132">
        <f t="shared" si="16"/>
        <v>329045.1752346853</v>
      </c>
      <c r="Q121" s="137">
        <f t="shared" si="17"/>
        <v>415488.23265437433</v>
      </c>
      <c r="R121" s="117"/>
      <c r="S121" s="10"/>
    </row>
    <row r="122" spans="1:19" s="8" customFormat="1" ht="69.75" hidden="1" outlineLevel="1" x14ac:dyDescent="0.2">
      <c r="A122" s="89">
        <v>87</v>
      </c>
      <c r="B122" s="90" t="s">
        <v>9</v>
      </c>
      <c r="C122" s="71" t="s">
        <v>96</v>
      </c>
      <c r="D122" s="91" t="s">
        <v>139</v>
      </c>
      <c r="E122" s="132">
        <v>34345390</v>
      </c>
      <c r="F122" s="103"/>
      <c r="G122" s="132">
        <v>3079923.3159576887</v>
      </c>
      <c r="H122" s="132">
        <v>1989172</v>
      </c>
      <c r="I122" s="92">
        <v>0.75</v>
      </c>
      <c r="J122" s="132">
        <v>3813701.6653174683</v>
      </c>
      <c r="K122" s="73">
        <f t="shared" si="12"/>
        <v>1.2382456555193857</v>
      </c>
      <c r="L122" s="132">
        <f t="shared" si="13"/>
        <v>1503759.1783492016</v>
      </c>
      <c r="M122" s="133">
        <f t="shared" si="14"/>
        <v>1811751.5099449707</v>
      </c>
      <c r="N122" s="134">
        <v>5295326.4705882361</v>
      </c>
      <c r="O122" s="73">
        <f t="shared" si="15"/>
        <v>1.7193046473436879</v>
      </c>
      <c r="P122" s="132">
        <f t="shared" si="16"/>
        <v>2985383.9836199693</v>
      </c>
      <c r="Q122" s="137">
        <f t="shared" si="17"/>
        <v>3293376.3152157385</v>
      </c>
      <c r="R122" s="117"/>
      <c r="S122" s="10"/>
    </row>
    <row r="123" spans="1:19" s="8" customFormat="1" ht="105" hidden="1" customHeight="1" outlineLevel="1" x14ac:dyDescent="0.2">
      <c r="A123" s="89">
        <v>77</v>
      </c>
      <c r="B123" s="90" t="s">
        <v>9</v>
      </c>
      <c r="C123" s="71" t="s">
        <v>97</v>
      </c>
      <c r="D123" s="91" t="s">
        <v>139</v>
      </c>
      <c r="E123" s="132">
        <v>9000000</v>
      </c>
      <c r="F123" s="103"/>
      <c r="G123" s="132">
        <v>0</v>
      </c>
      <c r="H123" s="132">
        <v>0</v>
      </c>
      <c r="I123" s="92">
        <v>0.75</v>
      </c>
      <c r="J123" s="132">
        <v>2500015.8588235294</v>
      </c>
      <c r="K123" s="73" t="str">
        <f t="shared" si="12"/>
        <v>n/a</v>
      </c>
      <c r="L123" s="132">
        <f t="shared" si="13"/>
        <v>2500015.8588235294</v>
      </c>
      <c r="M123" s="133">
        <f t="shared" si="14"/>
        <v>2500015.8588235294</v>
      </c>
      <c r="N123" s="134">
        <v>1806624.5529411766</v>
      </c>
      <c r="O123" s="73" t="str">
        <f t="shared" si="15"/>
        <v>n/a</v>
      </c>
      <c r="P123" s="132">
        <f t="shared" si="16"/>
        <v>1806624.5529411766</v>
      </c>
      <c r="Q123" s="137">
        <f t="shared" si="17"/>
        <v>1806624.5529411766</v>
      </c>
      <c r="R123" s="117"/>
      <c r="S123" s="10"/>
    </row>
    <row r="124" spans="1:19" s="8" customFormat="1" ht="291.75" hidden="1" customHeight="1" outlineLevel="1" x14ac:dyDescent="0.2">
      <c r="A124" s="89">
        <v>79</v>
      </c>
      <c r="B124" s="90" t="s">
        <v>9</v>
      </c>
      <c r="C124" s="124" t="s">
        <v>98</v>
      </c>
      <c r="D124" s="91" t="s">
        <v>139</v>
      </c>
      <c r="E124" s="132">
        <v>39812376</v>
      </c>
      <c r="F124" s="103"/>
      <c r="G124" s="132">
        <v>5234469.6544539919</v>
      </c>
      <c r="H124" s="132">
        <v>2580099</v>
      </c>
      <c r="I124" s="92">
        <v>0.75</v>
      </c>
      <c r="J124" s="132">
        <v>1360097.765291309</v>
      </c>
      <c r="K124" s="93">
        <f t="shared" si="12"/>
        <v>0.25983487441445124</v>
      </c>
      <c r="L124" s="132">
        <f t="shared" si="13"/>
        <v>-2565754.4755491847</v>
      </c>
      <c r="M124" s="133">
        <f t="shared" si="14"/>
        <v>-2042307.5101037859</v>
      </c>
      <c r="N124" s="134">
        <v>2554283.8705882356</v>
      </c>
      <c r="O124" s="73">
        <f t="shared" si="15"/>
        <v>0.48797376605570814</v>
      </c>
      <c r="P124" s="132">
        <f t="shared" si="16"/>
        <v>-1371568.3702522581</v>
      </c>
      <c r="Q124" s="137">
        <f t="shared" si="17"/>
        <v>-848121.40480685933</v>
      </c>
      <c r="R124" s="117" t="s">
        <v>181</v>
      </c>
      <c r="S124" s="10"/>
    </row>
    <row r="125" spans="1:19" s="8" customFormat="1" ht="46.5" hidden="1" outlineLevel="1" x14ac:dyDescent="0.2">
      <c r="A125" s="89">
        <v>83</v>
      </c>
      <c r="B125" s="90" t="s">
        <v>9</v>
      </c>
      <c r="C125" s="71" t="s">
        <v>99</v>
      </c>
      <c r="D125" s="91" t="s">
        <v>139</v>
      </c>
      <c r="E125" s="132">
        <v>23080688</v>
      </c>
      <c r="F125" s="103"/>
      <c r="G125" s="132">
        <v>6069226.416073706</v>
      </c>
      <c r="H125" s="132">
        <v>1219986</v>
      </c>
      <c r="I125" s="92">
        <v>0.75</v>
      </c>
      <c r="J125" s="132">
        <v>6392514.1665541288</v>
      </c>
      <c r="K125" s="73">
        <f t="shared" si="12"/>
        <v>1.0532667144570895</v>
      </c>
      <c r="L125" s="132">
        <f t="shared" si="13"/>
        <v>1840594.3544988493</v>
      </c>
      <c r="M125" s="133">
        <f t="shared" si="14"/>
        <v>2447516.9961062199</v>
      </c>
      <c r="N125" s="134">
        <v>7522093.4117647065</v>
      </c>
      <c r="O125" s="73">
        <f t="shared" si="15"/>
        <v>1.2393825664244846</v>
      </c>
      <c r="P125" s="132">
        <f t="shared" si="16"/>
        <v>2970173.599709427</v>
      </c>
      <c r="Q125" s="137">
        <f t="shared" si="17"/>
        <v>3577096.2413167977</v>
      </c>
      <c r="R125" s="117"/>
      <c r="S125" s="10"/>
    </row>
    <row r="126" spans="1:19" s="8" customFormat="1" ht="69.75" hidden="1" outlineLevel="1" x14ac:dyDescent="0.2">
      <c r="A126" s="89">
        <v>91</v>
      </c>
      <c r="B126" s="90" t="s">
        <v>9</v>
      </c>
      <c r="C126" s="71" t="s">
        <v>100</v>
      </c>
      <c r="D126" s="91" t="s">
        <v>139</v>
      </c>
      <c r="E126" s="132">
        <v>6250000</v>
      </c>
      <c r="F126" s="103"/>
      <c r="G126" s="132">
        <v>1227132.3213814246</v>
      </c>
      <c r="H126" s="132">
        <v>0</v>
      </c>
      <c r="I126" s="92">
        <v>0.75</v>
      </c>
      <c r="J126" s="132">
        <v>1608108.2352941176</v>
      </c>
      <c r="K126" s="73">
        <f t="shared" si="12"/>
        <v>1.310460336896526</v>
      </c>
      <c r="L126" s="132">
        <f t="shared" si="13"/>
        <v>687758.99425804918</v>
      </c>
      <c r="M126" s="133">
        <f t="shared" si="14"/>
        <v>810472.22639619163</v>
      </c>
      <c r="N126" s="134">
        <v>1765485.5529411763</v>
      </c>
      <c r="O126" s="73">
        <f t="shared" si="15"/>
        <v>1.4387083790228175</v>
      </c>
      <c r="P126" s="132">
        <f t="shared" si="16"/>
        <v>845136.31190510793</v>
      </c>
      <c r="Q126" s="137">
        <f t="shared" si="17"/>
        <v>967849.54404325038</v>
      </c>
      <c r="R126" s="117"/>
      <c r="S126" s="10"/>
    </row>
    <row r="127" spans="1:19" s="8" customFormat="1" ht="93" hidden="1" outlineLevel="1" x14ac:dyDescent="0.2">
      <c r="A127" s="89">
        <v>89</v>
      </c>
      <c r="B127" s="90" t="s">
        <v>9</v>
      </c>
      <c r="C127" s="71" t="s">
        <v>101</v>
      </c>
      <c r="D127" s="91" t="s">
        <v>139</v>
      </c>
      <c r="E127" s="132">
        <v>4814359</v>
      </c>
      <c r="F127" s="103"/>
      <c r="G127" s="132">
        <v>148312.08888524567</v>
      </c>
      <c r="H127" s="132">
        <v>584973</v>
      </c>
      <c r="I127" s="92">
        <v>0.75</v>
      </c>
      <c r="J127" s="132">
        <v>239421.77348190034</v>
      </c>
      <c r="K127" s="73">
        <f t="shared" si="12"/>
        <v>1.6143105749602749</v>
      </c>
      <c r="L127" s="132">
        <f t="shared" si="13"/>
        <v>128187.70681796609</v>
      </c>
      <c r="M127" s="133">
        <f t="shared" si="14"/>
        <v>143018.91570649063</v>
      </c>
      <c r="N127" s="134">
        <v>239421.76470588235</v>
      </c>
      <c r="O127" s="73">
        <f t="shared" si="15"/>
        <v>1.6143105157876338</v>
      </c>
      <c r="P127" s="132">
        <f t="shared" si="16"/>
        <v>128187.6980419481</v>
      </c>
      <c r="Q127" s="137">
        <f t="shared" si="17"/>
        <v>143018.90693047264</v>
      </c>
      <c r="R127" s="117"/>
      <c r="S127" s="10"/>
    </row>
    <row r="128" spans="1:19" s="8" customFormat="1" ht="237" hidden="1" customHeight="1" outlineLevel="1" x14ac:dyDescent="0.2">
      <c r="A128" s="89">
        <v>76</v>
      </c>
      <c r="B128" s="90" t="s">
        <v>9</v>
      </c>
      <c r="C128" s="127" t="s">
        <v>102</v>
      </c>
      <c r="D128" s="91" t="s">
        <v>139</v>
      </c>
      <c r="E128" s="132">
        <v>27034565</v>
      </c>
      <c r="F128" s="103"/>
      <c r="G128" s="132">
        <v>2644848</v>
      </c>
      <c r="H128" s="132">
        <v>1428978.6074669461</v>
      </c>
      <c r="I128" s="92">
        <v>0.75</v>
      </c>
      <c r="J128" s="132">
        <v>2005347.810052112</v>
      </c>
      <c r="K128" s="114">
        <f t="shared" si="12"/>
        <v>0.75820909558965655</v>
      </c>
      <c r="L128" s="132">
        <f t="shared" si="13"/>
        <v>21711.810052111978</v>
      </c>
      <c r="M128" s="133">
        <f t="shared" si="14"/>
        <v>286196.61005211202</v>
      </c>
      <c r="N128" s="134">
        <v>3010460.2941176472</v>
      </c>
      <c r="O128" s="73">
        <f t="shared" si="15"/>
        <v>1.1382356544185706</v>
      </c>
      <c r="P128" s="132">
        <f t="shared" si="16"/>
        <v>1026824.2941176472</v>
      </c>
      <c r="Q128" s="137">
        <f t="shared" si="17"/>
        <v>1291309.0941176473</v>
      </c>
      <c r="R128" s="117" t="s">
        <v>178</v>
      </c>
    </row>
    <row r="129" spans="1:19" s="8" customFormat="1" ht="225.75" hidden="1" customHeight="1" outlineLevel="1" x14ac:dyDescent="0.2">
      <c r="A129" s="89">
        <v>78</v>
      </c>
      <c r="B129" s="90" t="s">
        <v>9</v>
      </c>
      <c r="C129" s="124" t="s">
        <v>103</v>
      </c>
      <c r="D129" s="91" t="s">
        <v>139</v>
      </c>
      <c r="E129" s="132">
        <v>21937153</v>
      </c>
      <c r="F129" s="103"/>
      <c r="G129" s="132">
        <v>3109508</v>
      </c>
      <c r="H129" s="132">
        <v>1159542.3341456992</v>
      </c>
      <c r="I129" s="92">
        <v>0.75</v>
      </c>
      <c r="J129" s="132">
        <v>906409.28478343866</v>
      </c>
      <c r="K129" s="93">
        <f t="shared" si="12"/>
        <v>0.29149604528544021</v>
      </c>
      <c r="L129" s="132">
        <f t="shared" si="13"/>
        <v>-1425721.7152165612</v>
      </c>
      <c r="M129" s="133">
        <f t="shared" si="14"/>
        <v>-1114770.9152165614</v>
      </c>
      <c r="N129" s="134">
        <v>1106963.6352941177</v>
      </c>
      <c r="O129" s="73">
        <f t="shared" si="15"/>
        <v>0.35599317811503228</v>
      </c>
      <c r="P129" s="132">
        <f t="shared" si="16"/>
        <v>-1225167.3647058823</v>
      </c>
      <c r="Q129" s="137">
        <f t="shared" si="17"/>
        <v>-914216.56470588222</v>
      </c>
      <c r="R129" s="117" t="s">
        <v>182</v>
      </c>
    </row>
    <row r="130" spans="1:19" s="8" customFormat="1" ht="185.25" hidden="1" customHeight="1" outlineLevel="1" x14ac:dyDescent="0.2">
      <c r="A130" s="89">
        <v>80</v>
      </c>
      <c r="B130" s="90" t="s">
        <v>9</v>
      </c>
      <c r="C130" s="127" t="s">
        <v>104</v>
      </c>
      <c r="D130" s="91" t="s">
        <v>139</v>
      </c>
      <c r="E130" s="132">
        <v>12936510</v>
      </c>
      <c r="F130" s="103"/>
      <c r="G130" s="132">
        <v>5102617.7926139049</v>
      </c>
      <c r="H130" s="132">
        <v>683791.11725384148</v>
      </c>
      <c r="I130" s="92">
        <v>0.75</v>
      </c>
      <c r="J130" s="132">
        <v>3836291.9273809837</v>
      </c>
      <c r="K130" s="114">
        <f t="shared" si="12"/>
        <v>0.75182819550663937</v>
      </c>
      <c r="L130" s="132">
        <f t="shared" si="13"/>
        <v>9328.5829205550253</v>
      </c>
      <c r="M130" s="133">
        <f t="shared" si="14"/>
        <v>519590.36218194524</v>
      </c>
      <c r="N130" s="134">
        <v>4388746.9411764704</v>
      </c>
      <c r="O130" s="73">
        <f t="shared" si="15"/>
        <v>0.86009713436292046</v>
      </c>
      <c r="P130" s="132">
        <f t="shared" si="16"/>
        <v>561783.59671604168</v>
      </c>
      <c r="Q130" s="137">
        <f t="shared" si="17"/>
        <v>1072045.3759774319</v>
      </c>
      <c r="R130" s="117" t="s">
        <v>179</v>
      </c>
      <c r="S130" s="10"/>
    </row>
    <row r="131" spans="1:19" s="8" customFormat="1" ht="69.75" hidden="1" outlineLevel="1" x14ac:dyDescent="0.2">
      <c r="A131" s="96">
        <v>90</v>
      </c>
      <c r="B131" s="115" t="s">
        <v>9</v>
      </c>
      <c r="C131" s="98" t="s">
        <v>105</v>
      </c>
      <c r="D131" s="99" t="s">
        <v>139</v>
      </c>
      <c r="E131" s="132">
        <v>6490095</v>
      </c>
      <c r="F131" s="103"/>
      <c r="G131" s="132">
        <v>853307.49622665439</v>
      </c>
      <c r="H131" s="132">
        <v>343049.93461007229</v>
      </c>
      <c r="I131" s="138">
        <v>0.75</v>
      </c>
      <c r="J131" s="132">
        <v>1460829.5044876446</v>
      </c>
      <c r="K131" s="139">
        <f t="shared" si="12"/>
        <v>1.7119614100983136</v>
      </c>
      <c r="L131" s="132">
        <f t="shared" si="13"/>
        <v>820848.88231765386</v>
      </c>
      <c r="M131" s="133">
        <f t="shared" si="14"/>
        <v>906179.63194031932</v>
      </c>
      <c r="N131" s="134">
        <v>1771633.2117647058</v>
      </c>
      <c r="O131" s="139">
        <f t="shared" si="15"/>
        <v>2.0761955327931716</v>
      </c>
      <c r="P131" s="132">
        <f t="shared" si="16"/>
        <v>1131652.589594715</v>
      </c>
      <c r="Q131" s="137">
        <f t="shared" si="17"/>
        <v>1216983.3392173806</v>
      </c>
      <c r="R131" s="140"/>
      <c r="S131" s="10"/>
    </row>
    <row r="132" spans="1:19" s="8" customFormat="1" ht="28.5" hidden="1" outlineLevel="1" x14ac:dyDescent="0.2">
      <c r="A132" s="462" t="s">
        <v>213</v>
      </c>
      <c r="B132" s="463"/>
      <c r="C132" s="463"/>
      <c r="D132" s="463"/>
      <c r="E132" s="463"/>
      <c r="F132" s="463"/>
      <c r="G132" s="463"/>
      <c r="H132" s="463"/>
      <c r="I132" s="463"/>
      <c r="J132" s="463"/>
      <c r="K132" s="463"/>
      <c r="L132" s="463"/>
      <c r="M132" s="463"/>
      <c r="N132" s="463"/>
      <c r="O132" s="463"/>
      <c r="P132" s="463"/>
      <c r="Q132" s="463"/>
      <c r="R132" s="464"/>
    </row>
    <row r="133" spans="1:19" s="8" customFormat="1" ht="93" hidden="1" outlineLevel="1" x14ac:dyDescent="0.2">
      <c r="A133" s="81">
        <v>94</v>
      </c>
      <c r="B133" s="81" t="s">
        <v>6</v>
      </c>
      <c r="C133" s="83" t="s">
        <v>196</v>
      </c>
      <c r="D133" s="84" t="s">
        <v>141</v>
      </c>
      <c r="E133" s="132">
        <v>44441978</v>
      </c>
      <c r="F133" s="103"/>
      <c r="G133" s="132">
        <v>0</v>
      </c>
      <c r="H133" s="132">
        <v>2515517.0000000009</v>
      </c>
      <c r="I133" s="136">
        <v>0.75</v>
      </c>
      <c r="J133" s="132">
        <v>0</v>
      </c>
      <c r="K133" s="131" t="str">
        <f t="shared" si="12"/>
        <v>n/a</v>
      </c>
      <c r="L133" s="132">
        <f t="shared" si="13"/>
        <v>0</v>
      </c>
      <c r="M133" s="133">
        <f t="shared" si="14"/>
        <v>0</v>
      </c>
      <c r="N133" s="134">
        <v>0</v>
      </c>
      <c r="O133" s="131" t="str">
        <f t="shared" si="15"/>
        <v>n/a</v>
      </c>
      <c r="P133" s="132">
        <f t="shared" si="16"/>
        <v>0</v>
      </c>
      <c r="Q133" s="137">
        <f t="shared" si="17"/>
        <v>0</v>
      </c>
      <c r="R133" s="141"/>
    </row>
    <row r="134" spans="1:19" s="8" customFormat="1" ht="186" hidden="1" outlineLevel="1" x14ac:dyDescent="0.2">
      <c r="A134" s="89">
        <v>95</v>
      </c>
      <c r="B134" s="89" t="s">
        <v>6</v>
      </c>
      <c r="C134" s="71" t="s">
        <v>124</v>
      </c>
      <c r="D134" s="91" t="s">
        <v>141</v>
      </c>
      <c r="E134" s="132">
        <v>4077075</v>
      </c>
      <c r="F134" s="103"/>
      <c r="G134" s="132">
        <v>0</v>
      </c>
      <c r="H134" s="132">
        <v>0</v>
      </c>
      <c r="I134" s="92">
        <v>0.75</v>
      </c>
      <c r="J134" s="132">
        <v>12678.95568513233</v>
      </c>
      <c r="K134" s="73" t="str">
        <f t="shared" si="12"/>
        <v>n/a</v>
      </c>
      <c r="L134" s="132">
        <f t="shared" si="13"/>
        <v>12678.95568513233</v>
      </c>
      <c r="M134" s="133">
        <f t="shared" si="14"/>
        <v>12678.95568513233</v>
      </c>
      <c r="N134" s="134">
        <v>12678.95568513233</v>
      </c>
      <c r="O134" s="73" t="str">
        <f t="shared" si="15"/>
        <v>n/a</v>
      </c>
      <c r="P134" s="132">
        <f t="shared" si="16"/>
        <v>12678.95568513233</v>
      </c>
      <c r="Q134" s="137">
        <f t="shared" si="17"/>
        <v>12678.95568513233</v>
      </c>
      <c r="R134" s="117"/>
    </row>
    <row r="135" spans="1:19" s="8" customFormat="1" ht="69.75" hidden="1" outlineLevel="1" x14ac:dyDescent="0.2">
      <c r="A135" s="96">
        <v>93</v>
      </c>
      <c r="B135" s="96" t="s">
        <v>6</v>
      </c>
      <c r="C135" s="98" t="s">
        <v>125</v>
      </c>
      <c r="D135" s="99" t="s">
        <v>142</v>
      </c>
      <c r="E135" s="132">
        <v>194364718</v>
      </c>
      <c r="F135" s="103"/>
      <c r="G135" s="132">
        <v>7796118</v>
      </c>
      <c r="H135" s="132">
        <v>9279588</v>
      </c>
      <c r="I135" s="138">
        <v>0.75</v>
      </c>
      <c r="J135" s="132">
        <v>15320621.537910301</v>
      </c>
      <c r="K135" s="139">
        <f t="shared" si="12"/>
        <v>1.9651602936115515</v>
      </c>
      <c r="L135" s="132">
        <f t="shared" si="13"/>
        <v>9473533.0379103012</v>
      </c>
      <c r="M135" s="133">
        <f t="shared" si="14"/>
        <v>10253144.837910302</v>
      </c>
      <c r="N135" s="134">
        <v>15320621.537910301</v>
      </c>
      <c r="O135" s="139">
        <f t="shared" si="15"/>
        <v>1.9651602936115515</v>
      </c>
      <c r="P135" s="132">
        <f t="shared" si="16"/>
        <v>9473533.0379103012</v>
      </c>
      <c r="Q135" s="137">
        <f t="shared" si="17"/>
        <v>10253144.837910302</v>
      </c>
      <c r="R135" s="140"/>
    </row>
    <row r="136" spans="1:19" s="8" customFormat="1" ht="28.5" hidden="1" outlineLevel="1" x14ac:dyDescent="0.2">
      <c r="A136" s="462" t="s">
        <v>214</v>
      </c>
      <c r="B136" s="463"/>
      <c r="C136" s="463"/>
      <c r="D136" s="463"/>
      <c r="E136" s="463"/>
      <c r="F136" s="463"/>
      <c r="G136" s="463"/>
      <c r="H136" s="463"/>
      <c r="I136" s="463"/>
      <c r="J136" s="463"/>
      <c r="K136" s="463"/>
      <c r="L136" s="463"/>
      <c r="M136" s="463"/>
      <c r="N136" s="463"/>
      <c r="O136" s="463"/>
      <c r="P136" s="463"/>
      <c r="Q136" s="463"/>
      <c r="R136" s="464"/>
    </row>
    <row r="137" spans="1:19" s="8" customFormat="1" ht="69.75" hidden="1" outlineLevel="1" x14ac:dyDescent="0.2">
      <c r="A137" s="81">
        <v>114</v>
      </c>
      <c r="B137" s="81" t="s">
        <v>6</v>
      </c>
      <c r="C137" s="83" t="s">
        <v>106</v>
      </c>
      <c r="D137" s="84" t="s">
        <v>137</v>
      </c>
      <c r="E137" s="132">
        <v>37218825</v>
      </c>
      <c r="F137" s="103"/>
      <c r="G137" s="132">
        <v>9364450</v>
      </c>
      <c r="H137" s="132">
        <v>1186027.0906275464</v>
      </c>
      <c r="I137" s="136">
        <v>0.75</v>
      </c>
      <c r="J137" s="132">
        <v>14473201.784961108</v>
      </c>
      <c r="K137" s="131">
        <f t="shared" si="12"/>
        <v>1.5455474464555963</v>
      </c>
      <c r="L137" s="132">
        <f t="shared" si="13"/>
        <v>7449864.2849611081</v>
      </c>
      <c r="M137" s="133">
        <f t="shared" si="14"/>
        <v>8386309.2849611081</v>
      </c>
      <c r="N137" s="134">
        <v>14473201.784961108</v>
      </c>
      <c r="O137" s="131">
        <f t="shared" si="15"/>
        <v>1.5455474464555963</v>
      </c>
      <c r="P137" s="132">
        <f t="shared" si="16"/>
        <v>7449864.2849611081</v>
      </c>
      <c r="Q137" s="137">
        <f t="shared" si="17"/>
        <v>8386309.2849611081</v>
      </c>
      <c r="R137" s="141"/>
    </row>
    <row r="138" spans="1:19" s="8" customFormat="1" ht="69.75" hidden="1" outlineLevel="1" x14ac:dyDescent="0.2">
      <c r="A138" s="89">
        <v>100</v>
      </c>
      <c r="B138" s="89" t="s">
        <v>6</v>
      </c>
      <c r="C138" s="71" t="s">
        <v>107</v>
      </c>
      <c r="D138" s="91" t="s">
        <v>137</v>
      </c>
      <c r="E138" s="132">
        <v>32030112</v>
      </c>
      <c r="F138" s="103"/>
      <c r="G138" s="132">
        <v>11896693</v>
      </c>
      <c r="H138" s="132">
        <v>0</v>
      </c>
      <c r="I138" s="92">
        <v>0.75</v>
      </c>
      <c r="J138" s="132">
        <v>9902619.8845096342</v>
      </c>
      <c r="K138" s="73">
        <f t="shared" si="12"/>
        <v>0.83238425035508889</v>
      </c>
      <c r="L138" s="132">
        <f t="shared" si="13"/>
        <v>980100.13450963423</v>
      </c>
      <c r="M138" s="133">
        <f t="shared" si="14"/>
        <v>2169769.434509634</v>
      </c>
      <c r="N138" s="134">
        <v>9902619.8845096342</v>
      </c>
      <c r="O138" s="73">
        <f t="shared" si="15"/>
        <v>0.83238425035508889</v>
      </c>
      <c r="P138" s="132">
        <f t="shared" si="16"/>
        <v>980100.13450963423</v>
      </c>
      <c r="Q138" s="137">
        <f t="shared" si="17"/>
        <v>2169769.434509634</v>
      </c>
      <c r="R138" s="117"/>
    </row>
    <row r="139" spans="1:19" s="8" customFormat="1" ht="46.5" hidden="1" outlineLevel="1" x14ac:dyDescent="0.2">
      <c r="A139" s="89">
        <v>97</v>
      </c>
      <c r="B139" s="89" t="s">
        <v>6</v>
      </c>
      <c r="C139" s="71" t="s">
        <v>108</v>
      </c>
      <c r="D139" s="91" t="s">
        <v>137</v>
      </c>
      <c r="E139" s="132">
        <v>19920206</v>
      </c>
      <c r="F139" s="103"/>
      <c r="G139" s="132">
        <v>1114247</v>
      </c>
      <c r="H139" s="132">
        <v>4250000.0000000037</v>
      </c>
      <c r="I139" s="92">
        <v>0.75</v>
      </c>
      <c r="J139" s="132">
        <v>1144778.9597021444</v>
      </c>
      <c r="K139" s="73">
        <f t="shared" si="12"/>
        <v>1.027401428679767</v>
      </c>
      <c r="L139" s="132">
        <f t="shared" si="13"/>
        <v>309093.70970214438</v>
      </c>
      <c r="M139" s="133">
        <f t="shared" si="14"/>
        <v>420518.40970214433</v>
      </c>
      <c r="N139" s="134">
        <v>1144778.9597021444</v>
      </c>
      <c r="O139" s="73">
        <f t="shared" si="15"/>
        <v>1.027401428679767</v>
      </c>
      <c r="P139" s="132">
        <f t="shared" si="16"/>
        <v>309093.70970214438</v>
      </c>
      <c r="Q139" s="137">
        <f t="shared" si="17"/>
        <v>420518.40970214433</v>
      </c>
      <c r="R139" s="117"/>
    </row>
    <row r="140" spans="1:19" s="8" customFormat="1" ht="93" hidden="1" outlineLevel="1" x14ac:dyDescent="0.2">
      <c r="A140" s="89">
        <v>112</v>
      </c>
      <c r="B140" s="89" t="s">
        <v>6</v>
      </c>
      <c r="C140" s="71" t="s">
        <v>109</v>
      </c>
      <c r="D140" s="91" t="s">
        <v>130</v>
      </c>
      <c r="E140" s="132">
        <v>5175000</v>
      </c>
      <c r="F140" s="103"/>
      <c r="G140" s="132">
        <v>469779</v>
      </c>
      <c r="H140" s="132">
        <v>273537</v>
      </c>
      <c r="I140" s="92">
        <v>0.75</v>
      </c>
      <c r="J140" s="132">
        <v>741546.24705882347</v>
      </c>
      <c r="K140" s="73">
        <f t="shared" si="12"/>
        <v>1.5785002034122928</v>
      </c>
      <c r="L140" s="132">
        <f t="shared" si="13"/>
        <v>389211.99705882347</v>
      </c>
      <c r="M140" s="133">
        <f t="shared" si="14"/>
        <v>436189.89705882344</v>
      </c>
      <c r="N140" s="134">
        <v>741546.24705882347</v>
      </c>
      <c r="O140" s="73">
        <f t="shared" si="15"/>
        <v>1.5785002034122928</v>
      </c>
      <c r="P140" s="132">
        <f t="shared" si="16"/>
        <v>389211.99705882347</v>
      </c>
      <c r="Q140" s="137">
        <f t="shared" si="17"/>
        <v>436189.89705882344</v>
      </c>
      <c r="R140" s="117"/>
    </row>
    <row r="141" spans="1:19" s="8" customFormat="1" ht="116.25" hidden="1" outlineLevel="1" x14ac:dyDescent="0.2">
      <c r="A141" s="89">
        <v>106</v>
      </c>
      <c r="B141" s="89" t="s">
        <v>6</v>
      </c>
      <c r="C141" s="124" t="s">
        <v>110</v>
      </c>
      <c r="D141" s="91" t="s">
        <v>130</v>
      </c>
      <c r="E141" s="132">
        <v>4232693</v>
      </c>
      <c r="F141" s="103"/>
      <c r="G141" s="132">
        <v>1411759</v>
      </c>
      <c r="H141" s="132">
        <v>223729</v>
      </c>
      <c r="I141" s="92">
        <v>0.75</v>
      </c>
      <c r="J141" s="132">
        <v>702733.91564854409</v>
      </c>
      <c r="K141" s="93">
        <f t="shared" si="12"/>
        <v>0.49777186874568824</v>
      </c>
      <c r="L141" s="132">
        <f t="shared" si="13"/>
        <v>-356085.33435145591</v>
      </c>
      <c r="M141" s="133">
        <f t="shared" si="14"/>
        <v>-214909.43435145589</v>
      </c>
      <c r="N141" s="134">
        <v>702733.91564854409</v>
      </c>
      <c r="O141" s="73">
        <f t="shared" si="15"/>
        <v>0.49777186874568824</v>
      </c>
      <c r="P141" s="132">
        <f t="shared" si="16"/>
        <v>-356085.33435145591</v>
      </c>
      <c r="Q141" s="137">
        <f t="shared" si="17"/>
        <v>-214909.43435145589</v>
      </c>
      <c r="R141" s="117"/>
    </row>
    <row r="142" spans="1:19" s="8" customFormat="1" ht="69.75" hidden="1" outlineLevel="1" x14ac:dyDescent="0.2">
      <c r="A142" s="89">
        <v>110</v>
      </c>
      <c r="B142" s="89" t="s">
        <v>6</v>
      </c>
      <c r="C142" s="71" t="s">
        <v>111</v>
      </c>
      <c r="D142" s="91" t="s">
        <v>137</v>
      </c>
      <c r="E142" s="132">
        <v>1252128</v>
      </c>
      <c r="F142" s="103"/>
      <c r="G142" s="132">
        <v>545837</v>
      </c>
      <c r="H142" s="132">
        <v>0</v>
      </c>
      <c r="I142" s="92">
        <v>0.75</v>
      </c>
      <c r="J142" s="132">
        <v>638938.8332069288</v>
      </c>
      <c r="K142" s="73">
        <f t="shared" si="12"/>
        <v>1.1705670982489806</v>
      </c>
      <c r="L142" s="132">
        <f t="shared" si="13"/>
        <v>229561.0832069288</v>
      </c>
      <c r="M142" s="133">
        <f t="shared" si="14"/>
        <v>284144.78320692881</v>
      </c>
      <c r="N142" s="134">
        <v>638938.8332069288</v>
      </c>
      <c r="O142" s="73">
        <f t="shared" si="15"/>
        <v>1.1705670982489806</v>
      </c>
      <c r="P142" s="132">
        <f t="shared" si="16"/>
        <v>229561.0832069288</v>
      </c>
      <c r="Q142" s="137">
        <f t="shared" si="17"/>
        <v>284144.78320692881</v>
      </c>
      <c r="R142" s="117"/>
    </row>
    <row r="143" spans="1:19" s="8" customFormat="1" ht="168" hidden="1" customHeight="1" outlineLevel="1" x14ac:dyDescent="0.2">
      <c r="A143" s="89">
        <v>107</v>
      </c>
      <c r="B143" s="89" t="s">
        <v>6</v>
      </c>
      <c r="C143" s="124" t="s">
        <v>112</v>
      </c>
      <c r="D143" s="91" t="s">
        <v>137</v>
      </c>
      <c r="E143" s="132">
        <v>1323271</v>
      </c>
      <c r="F143" s="103"/>
      <c r="G143" s="132">
        <v>436679</v>
      </c>
      <c r="H143" s="132">
        <v>0</v>
      </c>
      <c r="I143" s="92">
        <v>0.75</v>
      </c>
      <c r="J143" s="132">
        <v>148662.42273015165</v>
      </c>
      <c r="K143" s="93">
        <f t="shared" si="12"/>
        <v>0.34043868088493301</v>
      </c>
      <c r="L143" s="132">
        <f t="shared" si="13"/>
        <v>-178846.82726984835</v>
      </c>
      <c r="M143" s="133">
        <f t="shared" si="14"/>
        <v>-135178.92726984838</v>
      </c>
      <c r="N143" s="134">
        <v>148662.42273015165</v>
      </c>
      <c r="O143" s="73">
        <f t="shared" si="15"/>
        <v>0.34043868088493301</v>
      </c>
      <c r="P143" s="132">
        <f t="shared" si="16"/>
        <v>-178846.82726984835</v>
      </c>
      <c r="Q143" s="137">
        <f t="shared" si="17"/>
        <v>-135178.92726984838</v>
      </c>
      <c r="R143" s="117"/>
    </row>
    <row r="144" spans="1:19" s="8" customFormat="1" ht="93" hidden="1" outlineLevel="1" x14ac:dyDescent="0.2">
      <c r="A144" s="89">
        <v>109</v>
      </c>
      <c r="B144" s="89" t="s">
        <v>6</v>
      </c>
      <c r="C144" s="71" t="s">
        <v>113</v>
      </c>
      <c r="D144" s="91" t="s">
        <v>137</v>
      </c>
      <c r="E144" s="132">
        <v>318055</v>
      </c>
      <c r="F144" s="103"/>
      <c r="G144" s="132">
        <v>95417</v>
      </c>
      <c r="H144" s="132">
        <v>0</v>
      </c>
      <c r="I144" s="92">
        <v>0.75</v>
      </c>
      <c r="J144" s="132">
        <v>148908.66016345719</v>
      </c>
      <c r="K144" s="73">
        <f t="shared" si="12"/>
        <v>1.5606093270953518</v>
      </c>
      <c r="L144" s="132">
        <f t="shared" si="13"/>
        <v>77345.910163457185</v>
      </c>
      <c r="M144" s="133">
        <f t="shared" si="14"/>
        <v>86887.610163457182</v>
      </c>
      <c r="N144" s="134">
        <v>148908.66016345719</v>
      </c>
      <c r="O144" s="73">
        <f t="shared" si="15"/>
        <v>1.5606093270953518</v>
      </c>
      <c r="P144" s="132">
        <f t="shared" si="16"/>
        <v>77345.910163457185</v>
      </c>
      <c r="Q144" s="137">
        <f t="shared" si="17"/>
        <v>86887.610163457182</v>
      </c>
      <c r="R144" s="117"/>
    </row>
    <row r="145" spans="1:18" s="8" customFormat="1" ht="69.75" hidden="1" outlineLevel="1" x14ac:dyDescent="0.2">
      <c r="A145" s="89">
        <v>103</v>
      </c>
      <c r="B145" s="89" t="s">
        <v>6</v>
      </c>
      <c r="C145" s="124" t="s">
        <v>114</v>
      </c>
      <c r="D145" s="91" t="s">
        <v>137</v>
      </c>
      <c r="E145" s="132">
        <v>6813045</v>
      </c>
      <c r="F145" s="103"/>
      <c r="G145" s="132">
        <v>1433396</v>
      </c>
      <c r="H145" s="132">
        <v>0</v>
      </c>
      <c r="I145" s="92">
        <v>0.75</v>
      </c>
      <c r="J145" s="132">
        <v>1006566.9611003321</v>
      </c>
      <c r="K145" s="93">
        <f t="shared" si="12"/>
        <v>0.70222531742821392</v>
      </c>
      <c r="L145" s="132">
        <f t="shared" si="13"/>
        <v>-68480.03889966791</v>
      </c>
      <c r="M145" s="133">
        <f t="shared" si="14"/>
        <v>74859.561100332066</v>
      </c>
      <c r="N145" s="134">
        <v>1006566.9611003321</v>
      </c>
      <c r="O145" s="73">
        <f t="shared" si="15"/>
        <v>0.70222531742821392</v>
      </c>
      <c r="P145" s="132">
        <f t="shared" si="16"/>
        <v>-68480.03889966791</v>
      </c>
      <c r="Q145" s="137">
        <f t="shared" si="17"/>
        <v>74859.561100332066</v>
      </c>
      <c r="R145" s="117"/>
    </row>
    <row r="146" spans="1:18" s="8" customFormat="1" ht="93" hidden="1" outlineLevel="1" x14ac:dyDescent="0.2">
      <c r="A146" s="89">
        <v>104</v>
      </c>
      <c r="B146" s="89" t="s">
        <v>6</v>
      </c>
      <c r="C146" s="124" t="s">
        <v>115</v>
      </c>
      <c r="D146" s="91" t="s">
        <v>137</v>
      </c>
      <c r="E146" s="132">
        <v>8526615</v>
      </c>
      <c r="F146" s="103"/>
      <c r="G146" s="132">
        <v>2038176</v>
      </c>
      <c r="H146" s="132">
        <v>0</v>
      </c>
      <c r="I146" s="92">
        <v>0.75</v>
      </c>
      <c r="J146" s="132">
        <v>1042074.7548950192</v>
      </c>
      <c r="K146" s="93">
        <f t="shared" si="12"/>
        <v>0.51127810105457983</v>
      </c>
      <c r="L146" s="132">
        <f t="shared" si="13"/>
        <v>-486557.24510498077</v>
      </c>
      <c r="M146" s="133">
        <f t="shared" si="14"/>
        <v>-282739.64510498091</v>
      </c>
      <c r="N146" s="134">
        <v>1042074.7548950192</v>
      </c>
      <c r="O146" s="73">
        <f t="shared" si="15"/>
        <v>0.51127810105457983</v>
      </c>
      <c r="P146" s="132">
        <f t="shared" si="16"/>
        <v>-486557.24510498077</v>
      </c>
      <c r="Q146" s="137">
        <f t="shared" si="17"/>
        <v>-282739.64510498091</v>
      </c>
      <c r="R146" s="117"/>
    </row>
    <row r="147" spans="1:18" s="8" customFormat="1" ht="93" hidden="1" outlineLevel="1" x14ac:dyDescent="0.2">
      <c r="A147" s="89">
        <v>111</v>
      </c>
      <c r="B147" s="89" t="s">
        <v>6</v>
      </c>
      <c r="C147" s="71" t="s">
        <v>116</v>
      </c>
      <c r="D147" s="91" t="s">
        <v>137</v>
      </c>
      <c r="E147" s="132">
        <v>1079960</v>
      </c>
      <c r="F147" s="103"/>
      <c r="G147" s="132">
        <v>269990</v>
      </c>
      <c r="H147" s="132">
        <v>0</v>
      </c>
      <c r="I147" s="92">
        <v>0.75</v>
      </c>
      <c r="J147" s="132">
        <v>415790.56470588234</v>
      </c>
      <c r="K147" s="73">
        <f t="shared" si="12"/>
        <v>1.540022092321502</v>
      </c>
      <c r="L147" s="132">
        <f t="shared" si="13"/>
        <v>213298.06470588234</v>
      </c>
      <c r="M147" s="133">
        <f t="shared" si="14"/>
        <v>240297.06470588234</v>
      </c>
      <c r="N147" s="134">
        <v>415790.56470588234</v>
      </c>
      <c r="O147" s="73">
        <f t="shared" si="15"/>
        <v>1.540022092321502</v>
      </c>
      <c r="P147" s="132">
        <f t="shared" si="16"/>
        <v>213298.06470588234</v>
      </c>
      <c r="Q147" s="137">
        <f t="shared" si="17"/>
        <v>240297.06470588234</v>
      </c>
      <c r="R147" s="117"/>
    </row>
    <row r="148" spans="1:18" s="8" customFormat="1" ht="126" hidden="1" customHeight="1" outlineLevel="1" x14ac:dyDescent="0.2">
      <c r="A148" s="89">
        <v>113</v>
      </c>
      <c r="B148" s="89" t="s">
        <v>6</v>
      </c>
      <c r="C148" s="71" t="s">
        <v>117</v>
      </c>
      <c r="D148" s="91" t="s">
        <v>137</v>
      </c>
      <c r="E148" s="132">
        <v>2347738</v>
      </c>
      <c r="F148" s="103"/>
      <c r="G148" s="132">
        <v>586934</v>
      </c>
      <c r="H148" s="132">
        <v>0</v>
      </c>
      <c r="I148" s="92">
        <v>0.75</v>
      </c>
      <c r="J148" s="132">
        <v>1051634.9228007239</v>
      </c>
      <c r="K148" s="73">
        <f t="shared" si="12"/>
        <v>1.7917430627646787</v>
      </c>
      <c r="L148" s="132">
        <f t="shared" si="13"/>
        <v>611434.42280072393</v>
      </c>
      <c r="M148" s="133">
        <f t="shared" si="14"/>
        <v>670127.82280072384</v>
      </c>
      <c r="N148" s="134">
        <v>1051634.9228007239</v>
      </c>
      <c r="O148" s="73">
        <f t="shared" si="15"/>
        <v>1.7917430627646787</v>
      </c>
      <c r="P148" s="132">
        <f t="shared" si="16"/>
        <v>611434.42280072393</v>
      </c>
      <c r="Q148" s="137">
        <f t="shared" si="17"/>
        <v>670127.82280072384</v>
      </c>
      <c r="R148" s="117"/>
    </row>
    <row r="149" spans="1:18" s="11" customFormat="1" ht="78" hidden="1" customHeight="1" outlineLevel="1" x14ac:dyDescent="0.2">
      <c r="A149" s="89">
        <v>96</v>
      </c>
      <c r="B149" s="89" t="s">
        <v>6</v>
      </c>
      <c r="C149" s="124" t="s">
        <v>197</v>
      </c>
      <c r="D149" s="91" t="s">
        <v>137</v>
      </c>
      <c r="E149" s="132">
        <v>47209260</v>
      </c>
      <c r="F149" s="103"/>
      <c r="G149" s="132">
        <v>6592644</v>
      </c>
      <c r="H149" s="132">
        <v>3167386.9999999981</v>
      </c>
      <c r="I149" s="92">
        <v>0.75</v>
      </c>
      <c r="J149" s="132">
        <v>3745366.7176470589</v>
      </c>
      <c r="K149" s="93">
        <f t="shared" si="12"/>
        <v>0.56811299345862731</v>
      </c>
      <c r="L149" s="132">
        <f t="shared" si="13"/>
        <v>-1199116.2823529411</v>
      </c>
      <c r="M149" s="133">
        <f t="shared" si="14"/>
        <v>-539851.88235294167</v>
      </c>
      <c r="N149" s="134">
        <v>3745366.7176470589</v>
      </c>
      <c r="O149" s="73">
        <f t="shared" si="15"/>
        <v>0.56811299345862731</v>
      </c>
      <c r="P149" s="132">
        <f t="shared" si="16"/>
        <v>-1199116.2823529411</v>
      </c>
      <c r="Q149" s="137">
        <f t="shared" si="17"/>
        <v>-539851.88235294167</v>
      </c>
      <c r="R149" s="117"/>
    </row>
    <row r="150" spans="1:18" s="11" customFormat="1" ht="69.75" hidden="1" outlineLevel="1" x14ac:dyDescent="0.2">
      <c r="A150" s="89">
        <v>108</v>
      </c>
      <c r="B150" s="89" t="s">
        <v>6</v>
      </c>
      <c r="C150" s="71" t="s">
        <v>118</v>
      </c>
      <c r="D150" s="91" t="s">
        <v>137</v>
      </c>
      <c r="E150" s="132">
        <v>4727073</v>
      </c>
      <c r="F150" s="103"/>
      <c r="G150" s="132">
        <v>350658</v>
      </c>
      <c r="H150" s="132">
        <v>0</v>
      </c>
      <c r="I150" s="92">
        <v>0.75</v>
      </c>
      <c r="J150" s="132">
        <v>655967.93757460651</v>
      </c>
      <c r="K150" s="73">
        <f t="shared" si="12"/>
        <v>1.8706772341558058</v>
      </c>
      <c r="L150" s="132">
        <f t="shared" si="13"/>
        <v>392974.43757460651</v>
      </c>
      <c r="M150" s="133">
        <f t="shared" si="14"/>
        <v>428040.23757460649</v>
      </c>
      <c r="N150" s="134">
        <v>655967.93757460651</v>
      </c>
      <c r="O150" s="73">
        <f t="shared" si="15"/>
        <v>1.8706772341558058</v>
      </c>
      <c r="P150" s="132">
        <f t="shared" si="16"/>
        <v>392974.43757460651</v>
      </c>
      <c r="Q150" s="137">
        <f t="shared" si="17"/>
        <v>428040.23757460649</v>
      </c>
      <c r="R150" s="117"/>
    </row>
    <row r="151" spans="1:18" s="8" customFormat="1" ht="93" hidden="1" outlineLevel="1" x14ac:dyDescent="0.2">
      <c r="A151" s="89">
        <v>102</v>
      </c>
      <c r="B151" s="89" t="s">
        <v>6</v>
      </c>
      <c r="C151" s="71" t="s">
        <v>119</v>
      </c>
      <c r="D151" s="91" t="s">
        <v>140</v>
      </c>
      <c r="E151" s="132">
        <v>4609777</v>
      </c>
      <c r="F151" s="103"/>
      <c r="G151" s="132">
        <v>1324950</v>
      </c>
      <c r="H151" s="132">
        <v>0</v>
      </c>
      <c r="I151" s="92">
        <v>0.75</v>
      </c>
      <c r="J151" s="132">
        <v>1924782.609287757</v>
      </c>
      <c r="K151" s="73">
        <f t="shared" si="12"/>
        <v>1.4527209398752836</v>
      </c>
      <c r="L151" s="132">
        <f t="shared" si="13"/>
        <v>931070.10928775696</v>
      </c>
      <c r="M151" s="133">
        <f t="shared" si="14"/>
        <v>1063565.109287757</v>
      </c>
      <c r="N151" s="134">
        <v>1924782.609287757</v>
      </c>
      <c r="O151" s="73">
        <f t="shared" si="15"/>
        <v>1.4527209398752836</v>
      </c>
      <c r="P151" s="132">
        <f t="shared" si="16"/>
        <v>931070.10928775696</v>
      </c>
      <c r="Q151" s="137">
        <f t="shared" si="17"/>
        <v>1063565.109287757</v>
      </c>
      <c r="R151" s="117"/>
    </row>
    <row r="152" spans="1:18" s="8" customFormat="1" ht="93" hidden="1" outlineLevel="1" x14ac:dyDescent="0.2">
      <c r="A152" s="89">
        <v>101</v>
      </c>
      <c r="B152" s="89" t="s">
        <v>6</v>
      </c>
      <c r="C152" s="124" t="s">
        <v>120</v>
      </c>
      <c r="D152" s="91" t="s">
        <v>140</v>
      </c>
      <c r="E152" s="132">
        <v>16692798</v>
      </c>
      <c r="F152" s="103"/>
      <c r="G152" s="132">
        <v>2851654</v>
      </c>
      <c r="H152" s="132">
        <v>0</v>
      </c>
      <c r="I152" s="92">
        <v>0.75</v>
      </c>
      <c r="J152" s="132">
        <v>785184.9460131817</v>
      </c>
      <c r="K152" s="93">
        <f t="shared" si="12"/>
        <v>0.2753436938749167</v>
      </c>
      <c r="L152" s="132">
        <f t="shared" si="13"/>
        <v>-1353555.5539868183</v>
      </c>
      <c r="M152" s="133">
        <f t="shared" si="14"/>
        <v>-1068390.1539868184</v>
      </c>
      <c r="N152" s="134">
        <v>785184.9460131817</v>
      </c>
      <c r="O152" s="73">
        <f t="shared" si="15"/>
        <v>0.2753436938749167</v>
      </c>
      <c r="P152" s="132">
        <f t="shared" si="16"/>
        <v>-1353555.5539868183</v>
      </c>
      <c r="Q152" s="137">
        <f t="shared" si="17"/>
        <v>-1068390.1539868184</v>
      </c>
      <c r="R152" s="117"/>
    </row>
    <row r="153" spans="1:18" s="8" customFormat="1" ht="96.75" hidden="1" customHeight="1" outlineLevel="1" x14ac:dyDescent="0.2">
      <c r="A153" s="89">
        <v>99</v>
      </c>
      <c r="B153" s="89" t="s">
        <v>6</v>
      </c>
      <c r="C153" s="71" t="s">
        <v>121</v>
      </c>
      <c r="D153" s="91" t="s">
        <v>140</v>
      </c>
      <c r="E153" s="132">
        <v>38692398</v>
      </c>
      <c r="F153" s="103"/>
      <c r="G153" s="132">
        <v>3882114</v>
      </c>
      <c r="H153" s="132">
        <v>4900999</v>
      </c>
      <c r="I153" s="92">
        <v>0.75</v>
      </c>
      <c r="J153" s="132">
        <v>6430316.1039496521</v>
      </c>
      <c r="K153" s="73">
        <f t="shared" si="12"/>
        <v>1.65639548553949</v>
      </c>
      <c r="L153" s="132">
        <f t="shared" si="13"/>
        <v>3518730.6039496521</v>
      </c>
      <c r="M153" s="133">
        <f t="shared" si="14"/>
        <v>3906942.003949652</v>
      </c>
      <c r="N153" s="134">
        <v>6430316.1039496521</v>
      </c>
      <c r="O153" s="73">
        <f t="shared" si="15"/>
        <v>1.65639548553949</v>
      </c>
      <c r="P153" s="132">
        <f t="shared" si="16"/>
        <v>3518730.6039496521</v>
      </c>
      <c r="Q153" s="137">
        <f t="shared" si="17"/>
        <v>3906942.003949652</v>
      </c>
      <c r="R153" s="117"/>
    </row>
    <row r="154" spans="1:18" s="8" customFormat="1" ht="81" hidden="1" customHeight="1" outlineLevel="1" x14ac:dyDescent="0.2">
      <c r="A154" s="89">
        <v>105</v>
      </c>
      <c r="B154" s="89" t="s">
        <v>6</v>
      </c>
      <c r="C154" s="71" t="s">
        <v>122</v>
      </c>
      <c r="D154" s="91" t="s">
        <v>140</v>
      </c>
      <c r="E154" s="132">
        <v>9960103</v>
      </c>
      <c r="F154" s="103"/>
      <c r="G154" s="132">
        <v>1124950</v>
      </c>
      <c r="H154" s="132">
        <v>0</v>
      </c>
      <c r="I154" s="92">
        <v>0.75</v>
      </c>
      <c r="J154" s="132">
        <v>1188768.5713460846</v>
      </c>
      <c r="K154" s="73">
        <f t="shared" si="12"/>
        <v>1.0567301403138669</v>
      </c>
      <c r="L154" s="132">
        <f t="shared" si="13"/>
        <v>345056.07134608459</v>
      </c>
      <c r="M154" s="133">
        <f t="shared" si="14"/>
        <v>457551.07134608459</v>
      </c>
      <c r="N154" s="134">
        <v>1188768.5713460846</v>
      </c>
      <c r="O154" s="73">
        <f t="shared" si="15"/>
        <v>1.0567301403138669</v>
      </c>
      <c r="P154" s="132">
        <f t="shared" si="16"/>
        <v>345056.07134608459</v>
      </c>
      <c r="Q154" s="137">
        <f t="shared" si="17"/>
        <v>457551.07134608459</v>
      </c>
      <c r="R154" s="117"/>
    </row>
    <row r="155" spans="1:18" s="8" customFormat="1" ht="69.75" hidden="1" outlineLevel="1" x14ac:dyDescent="0.2">
      <c r="A155" s="96">
        <v>98</v>
      </c>
      <c r="B155" s="96" t="s">
        <v>6</v>
      </c>
      <c r="C155" s="126" t="s">
        <v>123</v>
      </c>
      <c r="D155" s="99" t="s">
        <v>140</v>
      </c>
      <c r="E155" s="132">
        <v>22765950</v>
      </c>
      <c r="F155" s="103"/>
      <c r="G155" s="132">
        <v>2124950</v>
      </c>
      <c r="H155" s="132">
        <v>0</v>
      </c>
      <c r="I155" s="138">
        <v>0.75</v>
      </c>
      <c r="J155" s="132">
        <v>1010997.0025931142</v>
      </c>
      <c r="K155" s="123">
        <f t="shared" si="12"/>
        <v>0.47577449003181915</v>
      </c>
      <c r="L155" s="132">
        <f t="shared" si="13"/>
        <v>-582715.49740688584</v>
      </c>
      <c r="M155" s="133">
        <f t="shared" si="14"/>
        <v>-370220.49740688584</v>
      </c>
      <c r="N155" s="134">
        <v>1010997.0025931142</v>
      </c>
      <c r="O155" s="139">
        <f t="shared" si="15"/>
        <v>0.47577449003181915</v>
      </c>
      <c r="P155" s="132">
        <f t="shared" si="16"/>
        <v>-582715.49740688584</v>
      </c>
      <c r="Q155" s="137">
        <f t="shared" si="17"/>
        <v>-370220.49740688584</v>
      </c>
      <c r="R155" s="140"/>
    </row>
    <row r="156" spans="1:18" s="8" customFormat="1" ht="28.5" hidden="1" outlineLevel="1" x14ac:dyDescent="0.2">
      <c r="A156" s="462" t="s">
        <v>19</v>
      </c>
      <c r="B156" s="463"/>
      <c r="C156" s="463"/>
      <c r="D156" s="463"/>
      <c r="E156" s="463"/>
      <c r="F156" s="463"/>
      <c r="G156" s="463"/>
      <c r="H156" s="463"/>
      <c r="I156" s="463"/>
      <c r="J156" s="463"/>
      <c r="K156" s="463"/>
      <c r="L156" s="463"/>
      <c r="M156" s="463"/>
      <c r="N156" s="463"/>
      <c r="O156" s="463"/>
      <c r="P156" s="463"/>
      <c r="Q156" s="463"/>
      <c r="R156" s="464"/>
    </row>
    <row r="157" spans="1:18" s="8" customFormat="1" ht="39.75" hidden="1" outlineLevel="1" thickBot="1" x14ac:dyDescent="0.25">
      <c r="A157" s="61">
        <v>115</v>
      </c>
      <c r="B157" s="61" t="s">
        <v>160</v>
      </c>
      <c r="C157" s="62" t="s">
        <v>19</v>
      </c>
      <c r="D157" s="63" t="s">
        <v>159</v>
      </c>
      <c r="E157" s="132">
        <v>119195650.58823529</v>
      </c>
      <c r="F157" s="38"/>
      <c r="G157" s="56"/>
      <c r="H157" s="56"/>
      <c r="I157" s="64"/>
      <c r="J157" s="56" t="s">
        <v>163</v>
      </c>
      <c r="K157" s="56"/>
      <c r="L157" s="58"/>
      <c r="M157" s="57"/>
      <c r="N157" s="65"/>
      <c r="O157" s="66"/>
      <c r="P157" s="66"/>
      <c r="Q157" s="67"/>
      <c r="R157" s="44"/>
    </row>
    <row r="158" spans="1:18" s="8" customFormat="1" ht="24.75" customHeight="1" x14ac:dyDescent="0.2">
      <c r="A158" s="21"/>
      <c r="B158" s="21"/>
      <c r="C158" s="22"/>
      <c r="D158" s="23"/>
      <c r="E158" s="19"/>
      <c r="F158" s="19"/>
      <c r="G158" s="19"/>
      <c r="H158" s="19"/>
      <c r="I158" s="19"/>
      <c r="J158" s="24"/>
      <c r="K158" s="24"/>
      <c r="L158" s="24"/>
      <c r="M158" s="24"/>
      <c r="N158" s="24"/>
      <c r="O158" s="24"/>
      <c r="P158" s="24"/>
      <c r="Q158" s="24"/>
      <c r="R158" s="45"/>
    </row>
    <row r="159" spans="1:18" s="8" customFormat="1" ht="44.25" customHeight="1" x14ac:dyDescent="0.2">
      <c r="A159" s="374" t="s">
        <v>15</v>
      </c>
      <c r="B159" s="374"/>
      <c r="C159" s="374"/>
      <c r="D159" s="374"/>
      <c r="E159" s="374"/>
      <c r="F159" s="374"/>
      <c r="G159" s="374"/>
      <c r="H159" s="374"/>
      <c r="I159" s="374"/>
      <c r="J159" s="374"/>
      <c r="K159" s="374"/>
      <c r="L159" s="374"/>
      <c r="M159" s="374"/>
      <c r="N159" s="374"/>
      <c r="O159" s="374"/>
      <c r="P159" s="374"/>
      <c r="Q159" s="374"/>
      <c r="R159" s="374"/>
    </row>
    <row r="160" spans="1:18" s="8" customFormat="1" ht="17.25" customHeight="1" x14ac:dyDescent="0.2">
      <c r="A160" s="16" t="s">
        <v>16</v>
      </c>
      <c r="D160" s="11"/>
      <c r="R160" s="46"/>
    </row>
    <row r="161" spans="1:18" s="8" customFormat="1" ht="32.25" customHeight="1" x14ac:dyDescent="0.2">
      <c r="A161" s="16"/>
      <c r="D161" s="11"/>
      <c r="R161" s="46"/>
    </row>
    <row r="162" spans="1:18" s="8" customFormat="1" ht="15.75" x14ac:dyDescent="0.2">
      <c r="A162" s="16"/>
      <c r="B162" s="16"/>
      <c r="D162" s="11"/>
      <c r="R162" s="46"/>
    </row>
    <row r="163" spans="1:18" s="8" customFormat="1" ht="10.5" customHeight="1" x14ac:dyDescent="0.2">
      <c r="D163" s="11"/>
      <c r="R163" s="46"/>
    </row>
    <row r="164" spans="1:18" s="8" customFormat="1" x14ac:dyDescent="0.2">
      <c r="D164" s="11"/>
      <c r="R164" s="46"/>
    </row>
    <row r="165" spans="1:18" s="8" customFormat="1" x14ac:dyDescent="0.2">
      <c r="D165" s="11"/>
      <c r="R165" s="46"/>
    </row>
    <row r="166" spans="1:18" s="8" customFormat="1" ht="16.5" x14ac:dyDescent="0.25">
      <c r="B166" s="37"/>
      <c r="D166" s="11"/>
      <c r="R166" s="46"/>
    </row>
    <row r="167" spans="1:18" s="8" customFormat="1" ht="16.5" x14ac:dyDescent="0.25">
      <c r="A167" s="17"/>
      <c r="B167" s="17"/>
      <c r="D167" s="11"/>
      <c r="R167" s="46"/>
    </row>
    <row r="168" spans="1:18" s="8" customFormat="1" ht="16.5" x14ac:dyDescent="0.25">
      <c r="A168" s="18"/>
      <c r="B168" s="18"/>
      <c r="C168" s="37"/>
      <c r="D168" s="11"/>
      <c r="R168" s="46"/>
    </row>
    <row r="169" spans="1:18" s="8" customFormat="1" x14ac:dyDescent="0.2">
      <c r="D169" s="11"/>
      <c r="R169" s="46"/>
    </row>
    <row r="170" spans="1:18" s="8" customFormat="1" x14ac:dyDescent="0.2">
      <c r="D170" s="11"/>
      <c r="R170" s="46"/>
    </row>
    <row r="171" spans="1:18" s="8" customFormat="1" x14ac:dyDescent="0.2">
      <c r="D171" s="11"/>
      <c r="R171" s="46"/>
    </row>
    <row r="172" spans="1:18" s="8" customFormat="1" x14ac:dyDescent="0.2">
      <c r="D172" s="11"/>
      <c r="R172" s="46"/>
    </row>
    <row r="173" spans="1:18" s="8" customFormat="1" x14ac:dyDescent="0.2">
      <c r="R173" s="46"/>
    </row>
    <row r="174" spans="1:18" s="8" customFormat="1" x14ac:dyDescent="0.2">
      <c r="R174" s="46"/>
    </row>
    <row r="175" spans="1:18" s="8" customFormat="1" x14ac:dyDescent="0.2">
      <c r="R175" s="46"/>
    </row>
    <row r="176" spans="1:18" s="8" customFormat="1" x14ac:dyDescent="0.2">
      <c r="R176" s="46"/>
    </row>
    <row r="177" spans="4:18" s="12" customFormat="1" ht="18.75" x14ac:dyDescent="0.3">
      <c r="D177" s="8"/>
      <c r="R177" s="47"/>
    </row>
    <row r="178" spans="4:18" s="12" customFormat="1" ht="18.75" x14ac:dyDescent="0.3">
      <c r="D178" s="8"/>
      <c r="F178" s="14"/>
      <c r="G178" s="14"/>
      <c r="H178" s="14"/>
      <c r="I178" s="14"/>
      <c r="J178" s="14"/>
      <c r="K178" s="14"/>
      <c r="L178" s="14"/>
      <c r="M178" s="14"/>
      <c r="N178" s="14"/>
      <c r="O178" s="14"/>
      <c r="P178" s="14"/>
      <c r="Q178" s="14"/>
      <c r="R178" s="48"/>
    </row>
    <row r="179" spans="4:18" s="12" customFormat="1" ht="18.75" x14ac:dyDescent="0.3">
      <c r="D179" s="8"/>
      <c r="F179" s="13"/>
      <c r="G179" s="13"/>
      <c r="H179" s="13"/>
      <c r="I179" s="13"/>
      <c r="J179" s="13"/>
      <c r="K179" s="13"/>
      <c r="L179" s="13"/>
      <c r="M179" s="13"/>
      <c r="N179" s="13"/>
      <c r="O179" s="13"/>
      <c r="P179" s="13"/>
      <c r="Q179" s="13"/>
      <c r="R179" s="49"/>
    </row>
    <row r="180" spans="4:18" s="12" customFormat="1" ht="18.75" x14ac:dyDescent="0.3">
      <c r="D180" s="8"/>
      <c r="F180" s="15"/>
      <c r="G180" s="15"/>
      <c r="H180" s="15"/>
      <c r="I180" s="15"/>
      <c r="J180" s="15"/>
      <c r="K180" s="15"/>
      <c r="L180" s="15"/>
      <c r="M180" s="15"/>
      <c r="N180" s="15"/>
      <c r="O180" s="15"/>
      <c r="P180" s="15"/>
      <c r="Q180" s="15"/>
      <c r="R180" s="50"/>
    </row>
    <row r="181" spans="4:18" s="12" customFormat="1" ht="18.75" x14ac:dyDescent="0.3">
      <c r="D181" s="8"/>
      <c r="R181" s="47"/>
    </row>
    <row r="182" spans="4:18" s="12" customFormat="1" ht="18.75" x14ac:dyDescent="0.3">
      <c r="D182" s="8"/>
      <c r="R182" s="47"/>
    </row>
    <row r="183" spans="4:18" s="12" customFormat="1" ht="18.75" x14ac:dyDescent="0.3">
      <c r="D183" s="8"/>
      <c r="R183" s="47"/>
    </row>
    <row r="184" spans="4:18" s="12" customFormat="1" ht="18.75" x14ac:dyDescent="0.3">
      <c r="D184" s="8"/>
      <c r="R184" s="47"/>
    </row>
    <row r="185" spans="4:18" s="8" customFormat="1" x14ac:dyDescent="0.2">
      <c r="R185" s="46"/>
    </row>
    <row r="186" spans="4:18" s="8" customFormat="1" x14ac:dyDescent="0.2">
      <c r="R186" s="46"/>
    </row>
    <row r="187" spans="4:18" s="8" customFormat="1" x14ac:dyDescent="0.2">
      <c r="R187" s="46"/>
    </row>
    <row r="188" spans="4:18" s="8" customFormat="1" x14ac:dyDescent="0.2">
      <c r="R188" s="46"/>
    </row>
    <row r="189" spans="4:18" s="8" customFormat="1" x14ac:dyDescent="0.2">
      <c r="R189" s="46"/>
    </row>
    <row r="190" spans="4:18" s="8" customFormat="1" x14ac:dyDescent="0.2">
      <c r="R190" s="46"/>
    </row>
    <row r="191" spans="4:18" s="8" customFormat="1" x14ac:dyDescent="0.2">
      <c r="R191" s="46"/>
    </row>
    <row r="192" spans="4:18" s="8" customFormat="1" x14ac:dyDescent="0.2">
      <c r="R192" s="46"/>
    </row>
    <row r="193" spans="18:18" s="8" customFormat="1" x14ac:dyDescent="0.2">
      <c r="R193" s="46"/>
    </row>
    <row r="194" spans="18:18" s="8" customFormat="1" x14ac:dyDescent="0.2">
      <c r="R194" s="46"/>
    </row>
    <row r="195" spans="18:18" s="8" customFormat="1" x14ac:dyDescent="0.2">
      <c r="R195" s="46"/>
    </row>
    <row r="196" spans="18:18" s="8" customFormat="1" x14ac:dyDescent="0.2">
      <c r="R196" s="46"/>
    </row>
    <row r="197" spans="18:18" s="8" customFormat="1" x14ac:dyDescent="0.2">
      <c r="R197" s="46"/>
    </row>
    <row r="198" spans="18:18" s="8" customFormat="1" x14ac:dyDescent="0.2">
      <c r="R198" s="46"/>
    </row>
    <row r="199" spans="18:18" s="8" customFormat="1" x14ac:dyDescent="0.2">
      <c r="R199" s="46"/>
    </row>
    <row r="200" spans="18:18" s="8" customFormat="1" x14ac:dyDescent="0.2">
      <c r="R200" s="46"/>
    </row>
    <row r="201" spans="18:18" s="8" customFormat="1" x14ac:dyDescent="0.2">
      <c r="R201" s="46"/>
    </row>
    <row r="202" spans="18:18" s="8" customFormat="1" x14ac:dyDescent="0.2">
      <c r="R202" s="46"/>
    </row>
    <row r="203" spans="18:18" s="8" customFormat="1" x14ac:dyDescent="0.2">
      <c r="R203" s="46"/>
    </row>
    <row r="204" spans="18:18" s="8" customFormat="1" x14ac:dyDescent="0.2">
      <c r="R204" s="46"/>
    </row>
    <row r="205" spans="18:18" s="8" customFormat="1" x14ac:dyDescent="0.2">
      <c r="R205" s="46"/>
    </row>
    <row r="206" spans="18:18" s="8" customFormat="1" x14ac:dyDescent="0.2">
      <c r="R206" s="46"/>
    </row>
    <row r="207" spans="18:18" s="8" customFormat="1" x14ac:dyDescent="0.2">
      <c r="R207" s="46"/>
    </row>
    <row r="208" spans="18:18" s="8" customFormat="1" x14ac:dyDescent="0.2">
      <c r="R208" s="46"/>
    </row>
    <row r="209" spans="18:18" s="8" customFormat="1" x14ac:dyDescent="0.2">
      <c r="R209" s="46"/>
    </row>
    <row r="210" spans="18:18" s="8" customFormat="1" x14ac:dyDescent="0.2">
      <c r="R210" s="46"/>
    </row>
    <row r="211" spans="18:18" s="8" customFormat="1" x14ac:dyDescent="0.2">
      <c r="R211" s="46"/>
    </row>
    <row r="212" spans="18:18" s="8" customFormat="1" x14ac:dyDescent="0.2">
      <c r="R212" s="46"/>
    </row>
    <row r="213" spans="18:18" s="8" customFormat="1" x14ac:dyDescent="0.2">
      <c r="R213" s="46"/>
    </row>
    <row r="214" spans="18:18" s="8" customFormat="1" x14ac:dyDescent="0.2">
      <c r="R214" s="46"/>
    </row>
    <row r="215" spans="18:18" s="8" customFormat="1" x14ac:dyDescent="0.2">
      <c r="R215" s="46"/>
    </row>
    <row r="216" spans="18:18" s="8" customFormat="1" x14ac:dyDescent="0.2">
      <c r="R216" s="46"/>
    </row>
    <row r="217" spans="18:18" s="8" customFormat="1" x14ac:dyDescent="0.2">
      <c r="R217" s="46"/>
    </row>
    <row r="218" spans="18:18" s="8" customFormat="1" x14ac:dyDescent="0.2">
      <c r="R218" s="46"/>
    </row>
    <row r="219" spans="18:18" s="8" customFormat="1" x14ac:dyDescent="0.2">
      <c r="R219" s="46"/>
    </row>
    <row r="220" spans="18:18" s="8" customFormat="1" x14ac:dyDescent="0.2">
      <c r="R220" s="46"/>
    </row>
    <row r="221" spans="18:18" s="8" customFormat="1" x14ac:dyDescent="0.2">
      <c r="R221" s="46"/>
    </row>
    <row r="222" spans="18:18" s="8" customFormat="1" x14ac:dyDescent="0.2">
      <c r="R222" s="46"/>
    </row>
    <row r="223" spans="18:18" s="8" customFormat="1" x14ac:dyDescent="0.2">
      <c r="R223" s="46"/>
    </row>
    <row r="224" spans="18:18" s="8" customFormat="1" x14ac:dyDescent="0.2">
      <c r="R224" s="46"/>
    </row>
    <row r="225" spans="18:18" s="8" customFormat="1" x14ac:dyDescent="0.2">
      <c r="R225" s="46"/>
    </row>
    <row r="226" spans="18:18" s="8" customFormat="1" x14ac:dyDescent="0.2">
      <c r="R226" s="46"/>
    </row>
    <row r="227" spans="18:18" s="8" customFormat="1" x14ac:dyDescent="0.2">
      <c r="R227" s="46"/>
    </row>
    <row r="228" spans="18:18" s="8" customFormat="1" x14ac:dyDescent="0.2">
      <c r="R228" s="46"/>
    </row>
    <row r="229" spans="18:18" s="8" customFormat="1" x14ac:dyDescent="0.2">
      <c r="R229" s="46"/>
    </row>
    <row r="230" spans="18:18" s="8" customFormat="1" x14ac:dyDescent="0.2">
      <c r="R230" s="46"/>
    </row>
    <row r="231" spans="18:18" s="8" customFormat="1" x14ac:dyDescent="0.2">
      <c r="R231" s="46"/>
    </row>
    <row r="232" spans="18:18" s="8" customFormat="1" x14ac:dyDescent="0.2">
      <c r="R232" s="46"/>
    </row>
    <row r="233" spans="18:18" s="8" customFormat="1" x14ac:dyDescent="0.2">
      <c r="R233" s="46"/>
    </row>
    <row r="234" spans="18:18" s="8" customFormat="1" x14ac:dyDescent="0.2">
      <c r="R234" s="46"/>
    </row>
    <row r="235" spans="18:18" s="8" customFormat="1" x14ac:dyDescent="0.2">
      <c r="R235" s="46"/>
    </row>
    <row r="236" spans="18:18" s="8" customFormat="1" x14ac:dyDescent="0.2">
      <c r="R236" s="46"/>
    </row>
    <row r="237" spans="18:18" s="8" customFormat="1" x14ac:dyDescent="0.2">
      <c r="R237" s="46"/>
    </row>
    <row r="238" spans="18:18" s="8" customFormat="1" x14ac:dyDescent="0.2">
      <c r="R238" s="46"/>
    </row>
    <row r="239" spans="18:18" s="8" customFormat="1" x14ac:dyDescent="0.2">
      <c r="R239" s="46"/>
    </row>
    <row r="240" spans="18:18" s="8" customFormat="1" x14ac:dyDescent="0.2">
      <c r="R240" s="46"/>
    </row>
    <row r="241" spans="18:18" s="8" customFormat="1" x14ac:dyDescent="0.2">
      <c r="R241" s="46"/>
    </row>
    <row r="242" spans="18:18" s="8" customFormat="1" x14ac:dyDescent="0.2">
      <c r="R242" s="46"/>
    </row>
    <row r="243" spans="18:18" s="8" customFormat="1" x14ac:dyDescent="0.2">
      <c r="R243" s="46"/>
    </row>
    <row r="244" spans="18:18" s="8" customFormat="1" x14ac:dyDescent="0.2">
      <c r="R244" s="46"/>
    </row>
    <row r="245" spans="18:18" s="8" customFormat="1" x14ac:dyDescent="0.2">
      <c r="R245" s="46"/>
    </row>
    <row r="246" spans="18:18" s="8" customFormat="1" x14ac:dyDescent="0.2">
      <c r="R246" s="46"/>
    </row>
    <row r="247" spans="18:18" s="8" customFormat="1" x14ac:dyDescent="0.2">
      <c r="R247" s="46"/>
    </row>
    <row r="248" spans="18:18" s="8" customFormat="1" x14ac:dyDescent="0.2">
      <c r="R248" s="46"/>
    </row>
    <row r="249" spans="18:18" s="8" customFormat="1" x14ac:dyDescent="0.2">
      <c r="R249" s="46"/>
    </row>
    <row r="250" spans="18:18" s="8" customFormat="1" x14ac:dyDescent="0.2">
      <c r="R250" s="46"/>
    </row>
    <row r="251" spans="18:18" s="8" customFormat="1" x14ac:dyDescent="0.2">
      <c r="R251" s="46"/>
    </row>
    <row r="252" spans="18:18" s="8" customFormat="1" x14ac:dyDescent="0.2">
      <c r="R252" s="46"/>
    </row>
    <row r="253" spans="18:18" s="8" customFormat="1" x14ac:dyDescent="0.2">
      <c r="R253" s="46"/>
    </row>
    <row r="254" spans="18:18" s="8" customFormat="1" x14ac:dyDescent="0.2">
      <c r="R254" s="46"/>
    </row>
    <row r="255" spans="18:18" s="8" customFormat="1" x14ac:dyDescent="0.2">
      <c r="R255" s="46"/>
    </row>
    <row r="256" spans="18:18" s="8" customFormat="1" x14ac:dyDescent="0.2">
      <c r="R256" s="46"/>
    </row>
    <row r="257" spans="18:18" s="8" customFormat="1" x14ac:dyDescent="0.2">
      <c r="R257" s="46"/>
    </row>
    <row r="258" spans="18:18" s="8" customFormat="1" x14ac:dyDescent="0.2">
      <c r="R258" s="46"/>
    </row>
    <row r="259" spans="18:18" s="8" customFormat="1" x14ac:dyDescent="0.2">
      <c r="R259" s="46"/>
    </row>
    <row r="260" spans="18:18" s="8" customFormat="1" x14ac:dyDescent="0.2">
      <c r="R260" s="46"/>
    </row>
    <row r="261" spans="18:18" s="8" customFormat="1" x14ac:dyDescent="0.2">
      <c r="R261" s="46"/>
    </row>
    <row r="262" spans="18:18" s="8" customFormat="1" x14ac:dyDescent="0.2">
      <c r="R262" s="46"/>
    </row>
    <row r="263" spans="18:18" s="8" customFormat="1" x14ac:dyDescent="0.2">
      <c r="R263" s="46"/>
    </row>
    <row r="264" spans="18:18" s="8" customFormat="1" x14ac:dyDescent="0.2">
      <c r="R264" s="46"/>
    </row>
    <row r="265" spans="18:18" s="8" customFormat="1" x14ac:dyDescent="0.2">
      <c r="R265" s="46"/>
    </row>
    <row r="266" spans="18:18" s="8" customFormat="1" x14ac:dyDescent="0.2">
      <c r="R266" s="46"/>
    </row>
    <row r="267" spans="18:18" s="8" customFormat="1" x14ac:dyDescent="0.2">
      <c r="R267" s="46"/>
    </row>
    <row r="268" spans="18:18" s="8" customFormat="1" x14ac:dyDescent="0.2">
      <c r="R268" s="46"/>
    </row>
    <row r="269" spans="18:18" s="8" customFormat="1" x14ac:dyDescent="0.2">
      <c r="R269" s="46"/>
    </row>
    <row r="270" spans="18:18" s="8" customFormat="1" x14ac:dyDescent="0.2">
      <c r="R270" s="46"/>
    </row>
    <row r="271" spans="18:18" s="8" customFormat="1" x14ac:dyDescent="0.2">
      <c r="R271" s="46"/>
    </row>
    <row r="272" spans="18:18" s="8" customFormat="1" x14ac:dyDescent="0.2">
      <c r="R272" s="46"/>
    </row>
    <row r="273" spans="18:18" s="8" customFormat="1" x14ac:dyDescent="0.2">
      <c r="R273" s="46"/>
    </row>
    <row r="274" spans="18:18" s="8" customFormat="1" x14ac:dyDescent="0.2">
      <c r="R274" s="46"/>
    </row>
    <row r="275" spans="18:18" s="8" customFormat="1" x14ac:dyDescent="0.2">
      <c r="R275" s="46"/>
    </row>
    <row r="276" spans="18:18" s="8" customFormat="1" x14ac:dyDescent="0.2">
      <c r="R276" s="46"/>
    </row>
    <row r="277" spans="18:18" s="8" customFormat="1" x14ac:dyDescent="0.2">
      <c r="R277" s="46"/>
    </row>
    <row r="278" spans="18:18" s="8" customFormat="1" x14ac:dyDescent="0.2">
      <c r="R278" s="46"/>
    </row>
    <row r="279" spans="18:18" s="8" customFormat="1" x14ac:dyDescent="0.2">
      <c r="R279" s="46"/>
    </row>
    <row r="280" spans="18:18" s="8" customFormat="1" x14ac:dyDescent="0.2">
      <c r="R280" s="46"/>
    </row>
    <row r="281" spans="18:18" s="8" customFormat="1" x14ac:dyDescent="0.2">
      <c r="R281" s="46"/>
    </row>
  </sheetData>
  <sheetProtection formatCells="0" formatColumns="0" formatRows="0" autoFilter="0"/>
  <autoFilter ref="A25:S157"/>
  <dataConsolidate/>
  <mergeCells count="58">
    <mergeCell ref="A132:R132"/>
    <mergeCell ref="A136:R136"/>
    <mergeCell ref="A156:R156"/>
    <mergeCell ref="A159:R159"/>
    <mergeCell ref="A85:R85"/>
    <mergeCell ref="A87:R87"/>
    <mergeCell ref="A97:R97"/>
    <mergeCell ref="A106:R106"/>
    <mergeCell ref="A109:R109"/>
    <mergeCell ref="A114:R114"/>
    <mergeCell ref="K49:K50"/>
    <mergeCell ref="A77:R77"/>
    <mergeCell ref="L49:L50"/>
    <mergeCell ref="M49:M50"/>
    <mergeCell ref="N49:N50"/>
    <mergeCell ref="O49:O50"/>
    <mergeCell ref="P49:P50"/>
    <mergeCell ref="Q49:Q50"/>
    <mergeCell ref="R49:R50"/>
    <mergeCell ref="A54:R54"/>
    <mergeCell ref="A59:R59"/>
    <mergeCell ref="A64:R64"/>
    <mergeCell ref="A69:R69"/>
    <mergeCell ref="F49:F50"/>
    <mergeCell ref="G49:G50"/>
    <mergeCell ref="H49:H50"/>
    <mergeCell ref="I49:I50"/>
    <mergeCell ref="J49:J50"/>
    <mergeCell ref="A42:R42"/>
    <mergeCell ref="F43:F46"/>
    <mergeCell ref="G43:G46"/>
    <mergeCell ref="H43:H46"/>
    <mergeCell ref="I43:I46"/>
    <mergeCell ref="J43:J46"/>
    <mergeCell ref="K43:K46"/>
    <mergeCell ref="L43:L46"/>
    <mergeCell ref="M43:M46"/>
    <mergeCell ref="N43:N46"/>
    <mergeCell ref="O43:O46"/>
    <mergeCell ref="P43:P46"/>
    <mergeCell ref="Q43:Q46"/>
    <mergeCell ref="R43:R46"/>
    <mergeCell ref="A38:R38"/>
    <mergeCell ref="A4:R4"/>
    <mergeCell ref="A6:A24"/>
    <mergeCell ref="B6:B24"/>
    <mergeCell ref="C6:C24"/>
    <mergeCell ref="D6:D24"/>
    <mergeCell ref="E6:E8"/>
    <mergeCell ref="F6:F8"/>
    <mergeCell ref="G6:G8"/>
    <mergeCell ref="H6:H8"/>
    <mergeCell ref="I6:I8"/>
    <mergeCell ref="J6:Q6"/>
    <mergeCell ref="R6:R24"/>
    <mergeCell ref="J7:M7"/>
    <mergeCell ref="N7:Q7"/>
    <mergeCell ref="A26:R26"/>
  </mergeCells>
  <dataValidations count="1">
    <dataValidation type="list" errorStyle="warning" allowBlank="1" showInputMessage="1" showErrorMessage="1" errorTitle="Izvēle tikai no saraksta!" error="Lūdzu izvēlēties vienu no vērtībām sarakstā." sqref="F167:I1048576 J160:R1048576">
      <formula1>#REF!</formula1>
    </dataValidation>
  </dataValidations>
  <pageMargins left="0.23622047244094488" right="3.937007874015748E-2" top="0.74803149606299213" bottom="0.74803149606299213" header="0.31496062992125984" footer="0.31496062992125984"/>
  <pageSetup paperSize="9" scale="40" fitToHeight="0" orientation="landscape" r:id="rId1"/>
  <headerFooter>
    <oddFooter>&amp;L&amp;16&amp;F&amp;C&amp;16&amp;P no &amp;N</oddFooter>
  </headerFooter>
  <rowBreaks count="1" manualBreakCount="1">
    <brk id="113"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V281"/>
  <sheetViews>
    <sheetView view="pageBreakPreview" topLeftCell="C2" zoomScale="55" zoomScaleNormal="70" zoomScaleSheetLayoutView="55" zoomScalePageLayoutView="50" workbookViewId="0">
      <selection activeCell="R74" sqref="R74"/>
    </sheetView>
  </sheetViews>
  <sheetFormatPr defaultColWidth="9" defaultRowHeight="12.75" outlineLevelRow="1" outlineLevelCol="1" x14ac:dyDescent="0.2"/>
  <cols>
    <col min="1" max="1" width="12.25" style="1" hidden="1" customWidth="1"/>
    <col min="2" max="2" width="12" style="1" hidden="1" customWidth="1" outlineLevel="1"/>
    <col min="3" max="3" width="25.75" style="1" customWidth="1"/>
    <col min="4" max="4" width="10.375" style="1" customWidth="1"/>
    <col min="5" max="5" width="15.25" style="1" customWidth="1" collapsed="1"/>
    <col min="6" max="6" width="13.75" style="1" hidden="1" customWidth="1" outlineLevel="1"/>
    <col min="7" max="7" width="13" style="1" customWidth="1"/>
    <col min="8" max="8" width="13" style="1" customWidth="1" collapsed="1"/>
    <col min="9" max="9" width="11.125" style="1" hidden="1" customWidth="1" outlineLevel="1"/>
    <col min="10" max="10" width="11.75" style="1" customWidth="1"/>
    <col min="11" max="11" width="11.125" style="1" customWidth="1"/>
    <col min="12" max="12" width="14" style="1" customWidth="1"/>
    <col min="13" max="13" width="15.875" style="1" customWidth="1"/>
    <col min="14" max="14" width="11.75" style="1" customWidth="1"/>
    <col min="15" max="15" width="10.625" style="1" customWidth="1"/>
    <col min="16" max="16" width="13.75" style="1" customWidth="1"/>
    <col min="17" max="17" width="15.25" style="1" customWidth="1"/>
    <col min="18" max="18" width="150.375" style="42" customWidth="1"/>
    <col min="19" max="19" width="19.625" style="1" bestFit="1" customWidth="1"/>
    <col min="20" max="20" width="29" style="1" customWidth="1"/>
    <col min="21" max="21" width="9" style="1"/>
    <col min="22" max="22" width="10.625" style="1" bestFit="1" customWidth="1"/>
    <col min="23" max="16384" width="9" style="1"/>
  </cols>
  <sheetData>
    <row r="1" spans="1:20" ht="26.25" hidden="1" customHeight="1" x14ac:dyDescent="0.2"/>
    <row r="2" spans="1:20" ht="24.75" customHeight="1" x14ac:dyDescent="0.2"/>
    <row r="3" spans="1:20" ht="26.25" hidden="1" customHeight="1" x14ac:dyDescent="0.2"/>
    <row r="4" spans="1:20" ht="57" customHeight="1" x14ac:dyDescent="0.2">
      <c r="A4" s="395" t="s">
        <v>230</v>
      </c>
      <c r="B4" s="395"/>
      <c r="C4" s="395"/>
      <c r="D4" s="395"/>
      <c r="E4" s="395"/>
      <c r="F4" s="395"/>
      <c r="G4" s="395"/>
      <c r="H4" s="395"/>
      <c r="I4" s="395"/>
      <c r="J4" s="395"/>
      <c r="K4" s="395"/>
      <c r="L4" s="395"/>
      <c r="M4" s="395"/>
      <c r="N4" s="395"/>
      <c r="O4" s="395"/>
      <c r="P4" s="395"/>
      <c r="Q4" s="395"/>
      <c r="R4" s="395"/>
      <c r="S4" s="32"/>
    </row>
    <row r="5" spans="1:20" s="3" customFormat="1" ht="36" customHeight="1" x14ac:dyDescent="0.3">
      <c r="A5" s="25"/>
      <c r="B5" s="25"/>
      <c r="C5" s="28" t="s">
        <v>190</v>
      </c>
      <c r="D5" s="2"/>
      <c r="E5" s="20"/>
      <c r="F5" s="29"/>
      <c r="G5" s="29"/>
      <c r="H5" s="29"/>
      <c r="I5" s="29"/>
      <c r="J5" s="31"/>
      <c r="K5" s="31"/>
      <c r="L5" s="31"/>
      <c r="M5" s="31"/>
      <c r="N5" s="31"/>
      <c r="O5" s="31"/>
      <c r="P5" s="31"/>
      <c r="Q5" s="31"/>
      <c r="R5" s="43"/>
    </row>
    <row r="6" spans="1:20" s="4" customFormat="1" ht="72.75" customHeight="1" thickBot="1" x14ac:dyDescent="0.25">
      <c r="A6" s="375" t="s">
        <v>18</v>
      </c>
      <c r="B6" s="375" t="s">
        <v>0</v>
      </c>
      <c r="C6" s="375" t="s">
        <v>17</v>
      </c>
      <c r="D6" s="385" t="s">
        <v>169</v>
      </c>
      <c r="E6" s="375" t="s">
        <v>194</v>
      </c>
      <c r="F6" s="375" t="s">
        <v>161</v>
      </c>
      <c r="G6" s="375" t="s">
        <v>187</v>
      </c>
      <c r="H6" s="375" t="s">
        <v>188</v>
      </c>
      <c r="I6" s="378" t="s">
        <v>172</v>
      </c>
      <c r="J6" s="381" t="s">
        <v>189</v>
      </c>
      <c r="K6" s="381"/>
      <c r="L6" s="381"/>
      <c r="M6" s="381"/>
      <c r="N6" s="383"/>
      <c r="O6" s="383"/>
      <c r="P6" s="383"/>
      <c r="Q6" s="383"/>
      <c r="R6" s="465" t="s">
        <v>225</v>
      </c>
    </row>
    <row r="7" spans="1:20" s="4" customFormat="1" ht="70.5" customHeight="1" x14ac:dyDescent="0.2">
      <c r="A7" s="376"/>
      <c r="B7" s="376"/>
      <c r="C7" s="376"/>
      <c r="D7" s="386"/>
      <c r="E7" s="376"/>
      <c r="F7" s="376"/>
      <c r="G7" s="376"/>
      <c r="H7" s="376"/>
      <c r="I7" s="379"/>
      <c r="J7" s="381" t="s">
        <v>170</v>
      </c>
      <c r="K7" s="381"/>
      <c r="L7" s="381"/>
      <c r="M7" s="382"/>
      <c r="N7" s="388" t="s">
        <v>183</v>
      </c>
      <c r="O7" s="389"/>
      <c r="P7" s="389"/>
      <c r="Q7" s="390"/>
      <c r="R7" s="466"/>
    </row>
    <row r="8" spans="1:20" s="4" customFormat="1" ht="139.5" customHeight="1" collapsed="1" x14ac:dyDescent="0.2">
      <c r="A8" s="376"/>
      <c r="B8" s="376"/>
      <c r="C8" s="376"/>
      <c r="D8" s="386"/>
      <c r="E8" s="376"/>
      <c r="F8" s="377"/>
      <c r="G8" s="377"/>
      <c r="H8" s="377"/>
      <c r="I8" s="380"/>
      <c r="J8" s="40" t="s">
        <v>186</v>
      </c>
      <c r="K8" s="156" t="s">
        <v>171</v>
      </c>
      <c r="L8" s="41" t="s">
        <v>185</v>
      </c>
      <c r="M8" s="51" t="s">
        <v>184</v>
      </c>
      <c r="N8" s="52" t="s">
        <v>186</v>
      </c>
      <c r="O8" s="156" t="s">
        <v>171</v>
      </c>
      <c r="P8" s="41" t="s">
        <v>185</v>
      </c>
      <c r="Q8" s="53" t="s">
        <v>184</v>
      </c>
      <c r="R8" s="466"/>
    </row>
    <row r="9" spans="1:20" s="4" customFormat="1" ht="18.75" hidden="1" customHeight="1" outlineLevel="1" x14ac:dyDescent="0.45">
      <c r="A9" s="376"/>
      <c r="B9" s="376"/>
      <c r="C9" s="376"/>
      <c r="D9" s="386"/>
      <c r="E9" s="78" t="s">
        <v>143</v>
      </c>
      <c r="F9" s="71" t="s">
        <v>143</v>
      </c>
      <c r="G9" s="153">
        <f>G27+G28+G30+G29+G31+G32+G33+G34+G35+G36+G37</f>
        <v>83094259</v>
      </c>
      <c r="H9" s="153">
        <f>H27+H28+H30+H29+H31+H32+H33+H34+H35+H36+H37</f>
        <v>34255265.871961921</v>
      </c>
      <c r="I9" s="73">
        <v>0.75</v>
      </c>
      <c r="J9" s="153">
        <f>J27+J28+J30+J29+J31+J32+J33+J34+J35+J36+J37</f>
        <v>93753197.836180657</v>
      </c>
      <c r="K9" s="73">
        <f>J9/G9</f>
        <v>1.1282752739413762</v>
      </c>
      <c r="L9" s="153">
        <f>J9-(G9*I9)</f>
        <v>31432503.586180657</v>
      </c>
      <c r="M9" s="155">
        <f>J9-(G9*0.65)</f>
        <v>39741929.486180656</v>
      </c>
      <c r="N9" s="75">
        <f>N27+N28+N30+N29+N31+N32+N33+N34+N35+N36+N37</f>
        <v>114405845.87145244</v>
      </c>
      <c r="O9" s="73">
        <f>N9/G9</f>
        <v>1.3768200986238104</v>
      </c>
      <c r="P9" s="76">
        <f>N9-(G9*I9)</f>
        <v>52085151.621452436</v>
      </c>
      <c r="Q9" s="77">
        <f>N9-(G9*0.65)</f>
        <v>60394577.521452434</v>
      </c>
      <c r="R9" s="466"/>
      <c r="S9" s="35"/>
      <c r="T9" s="39"/>
    </row>
    <row r="10" spans="1:20" s="4" customFormat="1" ht="18.75" customHeight="1" x14ac:dyDescent="0.45">
      <c r="A10" s="376"/>
      <c r="B10" s="376"/>
      <c r="C10" s="376"/>
      <c r="D10" s="386"/>
      <c r="E10" s="78" t="s">
        <v>144</v>
      </c>
      <c r="F10" s="78" t="s">
        <v>144</v>
      </c>
      <c r="G10" s="153">
        <f>G39+G40+G41</f>
        <v>23975988</v>
      </c>
      <c r="H10" s="153">
        <f>H39+H40+H41</f>
        <v>10538992.077308552</v>
      </c>
      <c r="I10" s="73">
        <v>0.75</v>
      </c>
      <c r="J10" s="153">
        <f>J39+J40+J41</f>
        <v>24185311.906327732</v>
      </c>
      <c r="K10" s="73">
        <f t="shared" ref="K10:K24" si="0">J10/G10</f>
        <v>1.0087305643599642</v>
      </c>
      <c r="L10" s="153">
        <f t="shared" ref="L10:L24" si="1">J10-(G10*I10)</f>
        <v>6203320.9063277319</v>
      </c>
      <c r="M10" s="155">
        <f t="shared" ref="M10:M24" si="2">J10-(G10*0.65)</f>
        <v>8600919.7063277308</v>
      </c>
      <c r="N10" s="75">
        <f>N39+N40+N41</f>
        <v>24186961.579857141</v>
      </c>
      <c r="O10" s="73">
        <f t="shared" ref="O10:O24" si="3">N10/G10</f>
        <v>1.0087993695966624</v>
      </c>
      <c r="P10" s="76">
        <f t="shared" ref="P10:P24" si="4">N10-(G10*I10)</f>
        <v>6204970.5798571408</v>
      </c>
      <c r="Q10" s="77">
        <f t="shared" ref="Q10:Q24" si="5">N10-(G10*0.65)</f>
        <v>8602569.3798571397</v>
      </c>
      <c r="R10" s="466"/>
      <c r="S10" s="35"/>
      <c r="T10" s="39"/>
    </row>
    <row r="11" spans="1:20" s="4" customFormat="1" ht="19.5" customHeight="1" collapsed="1" x14ac:dyDescent="0.45">
      <c r="A11" s="376"/>
      <c r="B11" s="376"/>
      <c r="C11" s="376"/>
      <c r="D11" s="386"/>
      <c r="E11" s="78" t="s">
        <v>145</v>
      </c>
      <c r="F11" s="71" t="s">
        <v>145</v>
      </c>
      <c r="G11" s="153">
        <f>G43+G44+G45+G46+G47+G48+G49+G50+G51+G52+G53</f>
        <v>79669032</v>
      </c>
      <c r="H11" s="153">
        <f>H43+H44+H45+H46+H47+H48+H49+H50+H51+H52+H53</f>
        <v>18066349.449242234</v>
      </c>
      <c r="I11" s="73">
        <v>0.85</v>
      </c>
      <c r="J11" s="153">
        <f>J43+J44+J45+J46+J47+J48+J49+J50+J51+J52+J53</f>
        <v>117640456.7457357</v>
      </c>
      <c r="K11" s="73">
        <f t="shared" si="0"/>
        <v>1.4766146116314769</v>
      </c>
      <c r="L11" s="153">
        <f t="shared" si="1"/>
        <v>49921779.545735702</v>
      </c>
      <c r="M11" s="155">
        <f t="shared" si="2"/>
        <v>65855585.9457357</v>
      </c>
      <c r="N11" s="75">
        <f>N43+N44+N45+N46+N47+N48+N49+N50+N51+N52+N53</f>
        <v>127789529.43456942</v>
      </c>
      <c r="O11" s="73">
        <f t="shared" si="3"/>
        <v>1.6040050472129423</v>
      </c>
      <c r="P11" s="76">
        <f t="shared" si="4"/>
        <v>60070852.234569415</v>
      </c>
      <c r="Q11" s="77">
        <f t="shared" si="5"/>
        <v>76004658.634569407</v>
      </c>
      <c r="R11" s="466"/>
      <c r="S11" s="35"/>
      <c r="T11" s="39"/>
    </row>
    <row r="12" spans="1:20" s="4" customFormat="1" ht="19.5" hidden="1" customHeight="1" outlineLevel="1" x14ac:dyDescent="0.45">
      <c r="A12" s="376"/>
      <c r="B12" s="376"/>
      <c r="C12" s="376"/>
      <c r="D12" s="386"/>
      <c r="E12" s="78" t="s">
        <v>146</v>
      </c>
      <c r="F12" s="78" t="s">
        <v>146</v>
      </c>
      <c r="G12" s="153">
        <f>G55+G56+G57+G58</f>
        <v>7012838</v>
      </c>
      <c r="H12" s="153">
        <f>H55+H56+H57+H58</f>
        <v>1123274.1675711775</v>
      </c>
      <c r="I12" s="73">
        <v>0.85</v>
      </c>
      <c r="J12" s="153">
        <f>J55+J56+J57+J58</f>
        <v>7255831.6283764224</v>
      </c>
      <c r="K12" s="73">
        <f t="shared" si="0"/>
        <v>1.0346498276983473</v>
      </c>
      <c r="L12" s="153">
        <f t="shared" si="1"/>
        <v>1294919.3283764226</v>
      </c>
      <c r="M12" s="155">
        <f t="shared" si="2"/>
        <v>2697486.9283764223</v>
      </c>
      <c r="N12" s="75">
        <f>N55+N56+N57+N58</f>
        <v>7255831.6283764224</v>
      </c>
      <c r="O12" s="73">
        <f t="shared" si="3"/>
        <v>1.0346498276983473</v>
      </c>
      <c r="P12" s="76">
        <f t="shared" si="4"/>
        <v>1294919.3283764226</v>
      </c>
      <c r="Q12" s="77">
        <f t="shared" si="5"/>
        <v>2697486.9283764223</v>
      </c>
      <c r="R12" s="466"/>
      <c r="S12" s="35"/>
      <c r="T12" s="39"/>
    </row>
    <row r="13" spans="1:20" s="4" customFormat="1" ht="20.25" customHeight="1" collapsed="1" x14ac:dyDescent="0.45">
      <c r="A13" s="376"/>
      <c r="B13" s="376"/>
      <c r="C13" s="376"/>
      <c r="D13" s="386"/>
      <c r="E13" s="120" t="s">
        <v>147</v>
      </c>
      <c r="F13" s="71" t="s">
        <v>147</v>
      </c>
      <c r="G13" s="153">
        <f>G60+G61+G62+G63</f>
        <v>74174925</v>
      </c>
      <c r="H13" s="153">
        <f>H60+H61+H62+H63</f>
        <v>17465636.620791227</v>
      </c>
      <c r="I13" s="73">
        <v>0.75</v>
      </c>
      <c r="J13" s="153">
        <f>J60+J61+J62+J63</f>
        <v>46812514.283291258</v>
      </c>
      <c r="K13" s="79">
        <f t="shared" si="0"/>
        <v>0.63110969486374613</v>
      </c>
      <c r="L13" s="153">
        <f t="shared" si="1"/>
        <v>-8818679.4667087421</v>
      </c>
      <c r="M13" s="155">
        <f t="shared" si="2"/>
        <v>-1401186.9667087421</v>
      </c>
      <c r="N13" s="75">
        <f>N60+N61+N62+N63</f>
        <v>55986282.549278125</v>
      </c>
      <c r="O13" s="73">
        <f t="shared" si="3"/>
        <v>0.75478718110302268</v>
      </c>
      <c r="P13" s="76">
        <f t="shared" si="4"/>
        <v>355088.79927812517</v>
      </c>
      <c r="Q13" s="77">
        <f t="shared" si="5"/>
        <v>7772581.2992781252</v>
      </c>
      <c r="R13" s="466"/>
      <c r="S13" s="35"/>
      <c r="T13" s="39"/>
    </row>
    <row r="14" spans="1:20" s="4" customFormat="1" ht="20.25" hidden="1" customHeight="1" outlineLevel="1" x14ac:dyDescent="0.45">
      <c r="A14" s="376"/>
      <c r="B14" s="376"/>
      <c r="C14" s="376"/>
      <c r="D14" s="386"/>
      <c r="E14" s="78" t="s">
        <v>148</v>
      </c>
      <c r="F14" s="78" t="s">
        <v>148</v>
      </c>
      <c r="G14" s="153">
        <f>G65+G66+G67+G68</f>
        <v>31678051</v>
      </c>
      <c r="H14" s="153">
        <f>H65+H66+H67+H68</f>
        <v>12019298.103321806</v>
      </c>
      <c r="I14" s="73">
        <v>0.75</v>
      </c>
      <c r="J14" s="153">
        <f>J65+J66+J67+J68</f>
        <v>36346282.316279314</v>
      </c>
      <c r="K14" s="73">
        <f t="shared" si="0"/>
        <v>1.1473648526002851</v>
      </c>
      <c r="L14" s="153">
        <f t="shared" si="1"/>
        <v>12587744.066279314</v>
      </c>
      <c r="M14" s="155">
        <f t="shared" si="2"/>
        <v>15755549.166279312</v>
      </c>
      <c r="N14" s="75">
        <f>N65+N66+N67+N68</f>
        <v>36384688.170881458</v>
      </c>
      <c r="O14" s="73">
        <f t="shared" si="3"/>
        <v>1.1485772332041975</v>
      </c>
      <c r="P14" s="76">
        <f t="shared" si="4"/>
        <v>12626149.920881458</v>
      </c>
      <c r="Q14" s="77">
        <f t="shared" si="5"/>
        <v>15793955.020881455</v>
      </c>
      <c r="R14" s="466"/>
      <c r="S14" s="35"/>
      <c r="T14" s="39"/>
    </row>
    <row r="15" spans="1:20" s="4" customFormat="1" ht="22.5" customHeight="1" x14ac:dyDescent="0.45">
      <c r="A15" s="376"/>
      <c r="B15" s="376"/>
      <c r="C15" s="376"/>
      <c r="D15" s="386"/>
      <c r="E15" s="121" t="s">
        <v>149</v>
      </c>
      <c r="F15" s="71" t="s">
        <v>149</v>
      </c>
      <c r="G15" s="153">
        <f>G70+G71+G72+G73+G74+G75+G76</f>
        <v>109957466</v>
      </c>
      <c r="H15" s="153">
        <f>H70+H71+H72+H73+H74+H75+H76</f>
        <v>26405878.707944859</v>
      </c>
      <c r="I15" s="73">
        <v>0.75</v>
      </c>
      <c r="J15" s="153">
        <f>J70+J71+J72+J73+J74+J75+J76</f>
        <v>82815906.822229594</v>
      </c>
      <c r="K15" s="80">
        <f t="shared" si="0"/>
        <v>0.75316310783507501</v>
      </c>
      <c r="L15" s="153">
        <f t="shared" si="1"/>
        <v>347807.32222959399</v>
      </c>
      <c r="M15" s="155">
        <f t="shared" si="2"/>
        <v>11343553.922229588</v>
      </c>
      <c r="N15" s="75">
        <f>N70+N71+N72+N73+N74+N75+N76</f>
        <v>97586954.485464066</v>
      </c>
      <c r="O15" s="73">
        <f t="shared" si="3"/>
        <v>0.88749730268851468</v>
      </c>
      <c r="P15" s="76">
        <f t="shared" si="4"/>
        <v>15118854.985464066</v>
      </c>
      <c r="Q15" s="77">
        <f t="shared" si="5"/>
        <v>26114601.58546406</v>
      </c>
      <c r="R15" s="466"/>
      <c r="S15" s="35"/>
      <c r="T15" s="39"/>
    </row>
    <row r="16" spans="1:20" s="4" customFormat="1" ht="22.5" customHeight="1" collapsed="1" x14ac:dyDescent="0.45">
      <c r="A16" s="376"/>
      <c r="B16" s="376"/>
      <c r="C16" s="376"/>
      <c r="D16" s="386"/>
      <c r="E16" s="120" t="s">
        <v>150</v>
      </c>
      <c r="F16" s="78" t="s">
        <v>150</v>
      </c>
      <c r="G16" s="153">
        <f>G78+G79+G80+G81+G82+G83+G84</f>
        <v>46013028</v>
      </c>
      <c r="H16" s="153">
        <f>H78+H79+H80+H81+H82+H83+H84</f>
        <v>12102145.191502687</v>
      </c>
      <c r="I16" s="73">
        <v>0.85</v>
      </c>
      <c r="J16" s="153">
        <f>J78+J79+J80+J81+J82+J83+J84</f>
        <v>28321248.010474801</v>
      </c>
      <c r="K16" s="79">
        <f t="shared" si="0"/>
        <v>0.61550498285995869</v>
      </c>
      <c r="L16" s="153">
        <f t="shared" si="1"/>
        <v>-10789825.789525196</v>
      </c>
      <c r="M16" s="155">
        <f t="shared" si="2"/>
        <v>-1587220.1895251982</v>
      </c>
      <c r="N16" s="75">
        <f>N78+N79+N80+N81+N82+N83+N84</f>
        <v>46086084.727796137</v>
      </c>
      <c r="O16" s="73">
        <f t="shared" si="3"/>
        <v>1.0015877400591011</v>
      </c>
      <c r="P16" s="76">
        <f t="shared" si="4"/>
        <v>6975010.9277961403</v>
      </c>
      <c r="Q16" s="77">
        <f t="shared" si="5"/>
        <v>16177616.527796138</v>
      </c>
      <c r="R16" s="466"/>
      <c r="S16" s="35"/>
      <c r="T16" s="39"/>
    </row>
    <row r="17" spans="1:20" s="4" customFormat="1" ht="24" hidden="1" customHeight="1" outlineLevel="1" x14ac:dyDescent="0.45">
      <c r="A17" s="376"/>
      <c r="B17" s="376"/>
      <c r="C17" s="376"/>
      <c r="D17" s="386"/>
      <c r="E17" s="78" t="s">
        <v>151</v>
      </c>
      <c r="F17" s="78" t="s">
        <v>151</v>
      </c>
      <c r="G17" s="153">
        <f>G86</f>
        <v>72852630</v>
      </c>
      <c r="H17" s="153">
        <f>H86</f>
        <v>14363011</v>
      </c>
      <c r="I17" s="73">
        <v>0.75</v>
      </c>
      <c r="J17" s="153">
        <f>J86</f>
        <v>178628249.03039232</v>
      </c>
      <c r="K17" s="73">
        <f t="shared" si="0"/>
        <v>2.4519121551327978</v>
      </c>
      <c r="L17" s="153">
        <f t="shared" si="1"/>
        <v>123988776.53039232</v>
      </c>
      <c r="M17" s="155">
        <f t="shared" si="2"/>
        <v>131274039.53039232</v>
      </c>
      <c r="N17" s="75">
        <f>N86</f>
        <v>178628249.03039232</v>
      </c>
      <c r="O17" s="73">
        <f t="shared" si="3"/>
        <v>2.4519121551327978</v>
      </c>
      <c r="P17" s="76">
        <f t="shared" si="4"/>
        <v>123988776.53039232</v>
      </c>
      <c r="Q17" s="77">
        <f t="shared" si="5"/>
        <v>131274039.53039232</v>
      </c>
      <c r="R17" s="466"/>
      <c r="S17" s="35"/>
      <c r="T17" s="39"/>
    </row>
    <row r="18" spans="1:20" s="4" customFormat="1" ht="24" hidden="1" customHeight="1" outlineLevel="1" x14ac:dyDescent="0.45">
      <c r="A18" s="376"/>
      <c r="B18" s="376"/>
      <c r="C18" s="376"/>
      <c r="D18" s="386"/>
      <c r="E18" s="78" t="s">
        <v>152</v>
      </c>
      <c r="F18" s="78" t="s">
        <v>152</v>
      </c>
      <c r="G18" s="153">
        <f>G88+G89+G90+G91+G92+G93+G94+G95+G96</f>
        <v>306148623</v>
      </c>
      <c r="H18" s="153">
        <f>H88+H89+H90+H91+H92+H93+H94+H95+H96</f>
        <v>57183035.877791017</v>
      </c>
      <c r="I18" s="73">
        <v>0.75</v>
      </c>
      <c r="J18" s="153">
        <f>J88+J89+J90+J91+J92+J93+J94+J95+J96</f>
        <v>272356963.84772599</v>
      </c>
      <c r="K18" s="73">
        <f t="shared" si="0"/>
        <v>0.88962335083808619</v>
      </c>
      <c r="L18" s="153">
        <f t="shared" si="1"/>
        <v>42745496.597725987</v>
      </c>
      <c r="M18" s="155">
        <f t="shared" si="2"/>
        <v>73360358.89772597</v>
      </c>
      <c r="N18" s="75">
        <f>N88+N89+N90+N91+N92+N93+N94+N95+N96</f>
        <v>272356963.84772599</v>
      </c>
      <c r="O18" s="73">
        <f t="shared" si="3"/>
        <v>0.88962335083808619</v>
      </c>
      <c r="P18" s="76">
        <f t="shared" si="4"/>
        <v>42745496.597725987</v>
      </c>
      <c r="Q18" s="77">
        <f t="shared" si="5"/>
        <v>73360358.89772597</v>
      </c>
      <c r="R18" s="466"/>
      <c r="S18" s="35"/>
      <c r="T18" s="39"/>
    </row>
    <row r="19" spans="1:20" s="4" customFormat="1" ht="24" hidden="1" customHeight="1" outlineLevel="1" x14ac:dyDescent="0.45">
      <c r="A19" s="376"/>
      <c r="B19" s="376"/>
      <c r="C19" s="376"/>
      <c r="D19" s="386"/>
      <c r="E19" s="78" t="s">
        <v>153</v>
      </c>
      <c r="F19" s="78" t="s">
        <v>153</v>
      </c>
      <c r="G19" s="153">
        <f>G98+G99+G100+G101+G102+G103+G104+G105</f>
        <v>49376694</v>
      </c>
      <c r="H19" s="153">
        <f>H98+H99+H100+H101+H102+H103+H104+H105</f>
        <v>6973974</v>
      </c>
      <c r="I19" s="73">
        <v>0.85</v>
      </c>
      <c r="J19" s="153">
        <f>J98+J99+J100+J101+J102+J103+J104+J105</f>
        <v>57831931.112864926</v>
      </c>
      <c r="K19" s="73">
        <f t="shared" si="0"/>
        <v>1.1712394335851024</v>
      </c>
      <c r="L19" s="153">
        <f t="shared" si="1"/>
        <v>15861741.212864928</v>
      </c>
      <c r="M19" s="155">
        <f t="shared" si="2"/>
        <v>25737080.012864925</v>
      </c>
      <c r="N19" s="75">
        <f>N98+N99+N100+N101+N102+N103+N104+N105</f>
        <v>57831931.112864926</v>
      </c>
      <c r="O19" s="73">
        <f t="shared" si="3"/>
        <v>1.1712394335851024</v>
      </c>
      <c r="P19" s="76">
        <f t="shared" si="4"/>
        <v>15861741.212864928</v>
      </c>
      <c r="Q19" s="77">
        <f t="shared" si="5"/>
        <v>25737080.012864925</v>
      </c>
      <c r="R19" s="466"/>
      <c r="S19" s="35"/>
      <c r="T19" s="39"/>
    </row>
    <row r="20" spans="1:20" s="4" customFormat="1" ht="24" hidden="1" customHeight="1" outlineLevel="1" x14ac:dyDescent="0.45">
      <c r="A20" s="376"/>
      <c r="B20" s="376"/>
      <c r="C20" s="376"/>
      <c r="D20" s="386"/>
      <c r="E20" s="78" t="s">
        <v>154</v>
      </c>
      <c r="F20" s="78" t="s">
        <v>154</v>
      </c>
      <c r="G20" s="153">
        <f>G107+G108</f>
        <v>48708012</v>
      </c>
      <c r="H20" s="153">
        <f>H107+H108</f>
        <v>0</v>
      </c>
      <c r="I20" s="73">
        <v>0.85</v>
      </c>
      <c r="J20" s="153">
        <f>J107+J108</f>
        <v>55075034.132632583</v>
      </c>
      <c r="K20" s="73">
        <f t="shared" si="0"/>
        <v>1.1307181687610774</v>
      </c>
      <c r="L20" s="153">
        <f t="shared" si="1"/>
        <v>13673223.932632588</v>
      </c>
      <c r="M20" s="155">
        <f t="shared" si="2"/>
        <v>23414826.332632583</v>
      </c>
      <c r="N20" s="75">
        <f>N107+N108</f>
        <v>55075034.132632583</v>
      </c>
      <c r="O20" s="73">
        <f t="shared" si="3"/>
        <v>1.1307181687610774</v>
      </c>
      <c r="P20" s="76">
        <f t="shared" si="4"/>
        <v>13673223.932632588</v>
      </c>
      <c r="Q20" s="77">
        <f t="shared" si="5"/>
        <v>23414826.332632583</v>
      </c>
      <c r="R20" s="466"/>
      <c r="S20" s="35"/>
      <c r="T20" s="39"/>
    </row>
    <row r="21" spans="1:20" s="4" customFormat="1" ht="24" hidden="1" customHeight="1" outlineLevel="1" x14ac:dyDescent="0.45">
      <c r="A21" s="376"/>
      <c r="B21" s="376"/>
      <c r="C21" s="376"/>
      <c r="D21" s="386"/>
      <c r="E21" s="120" t="s">
        <v>155</v>
      </c>
      <c r="F21" s="78" t="s">
        <v>155</v>
      </c>
      <c r="G21" s="153">
        <f>G110+G111+G112+G113</f>
        <v>80534872</v>
      </c>
      <c r="H21" s="153">
        <f>H110+H111+H112+H113</f>
        <v>16924211.699999999</v>
      </c>
      <c r="I21" s="73">
        <v>0.85</v>
      </c>
      <c r="J21" s="153">
        <f>J110+J111+J112+J113</f>
        <v>52712614.384429358</v>
      </c>
      <c r="K21" s="79">
        <f t="shared" si="0"/>
        <v>0.65453154733305297</v>
      </c>
      <c r="L21" s="153">
        <f t="shared" si="1"/>
        <v>-15742026.815570645</v>
      </c>
      <c r="M21" s="155">
        <f t="shared" si="2"/>
        <v>364947.58442935348</v>
      </c>
      <c r="N21" s="75">
        <f>N110+N111+N112+N113</f>
        <v>74624030.223760501</v>
      </c>
      <c r="O21" s="73">
        <f t="shared" si="3"/>
        <v>0.92660518816942428</v>
      </c>
      <c r="P21" s="76">
        <f t="shared" si="4"/>
        <v>6169389.0237604976</v>
      </c>
      <c r="Q21" s="77">
        <f t="shared" si="5"/>
        <v>22276363.423760496</v>
      </c>
      <c r="R21" s="466"/>
      <c r="S21" s="35"/>
      <c r="T21" s="39"/>
    </row>
    <row r="22" spans="1:20" s="4" customFormat="1" ht="24" hidden="1" customHeight="1" outlineLevel="1" x14ac:dyDescent="0.45">
      <c r="A22" s="376"/>
      <c r="B22" s="376"/>
      <c r="C22" s="376"/>
      <c r="D22" s="386"/>
      <c r="E22" s="78" t="s">
        <v>156</v>
      </c>
      <c r="F22" s="78" t="s">
        <v>156</v>
      </c>
      <c r="G22" s="153">
        <f>G115+G116+G117+G118+G119+G120+G121+G122+G123+G124+G125+G126+G127+G128+G129+G130+G131</f>
        <v>36865959</v>
      </c>
      <c r="H22" s="153">
        <f>H115+H116+H117+H118+H119+H120+H121+H122+H123+H124+H125+H126+H127+H128+H129+H130+H131</f>
        <v>14473760.993476558</v>
      </c>
      <c r="I22" s="73">
        <v>0.75</v>
      </c>
      <c r="J22" s="153">
        <f>J115+J116+J117+J118+J119+J120+J121+J122+J123+J124+J125+J126+J127+J128+J129+J130+J131</f>
        <v>31783514.061879277</v>
      </c>
      <c r="K22" s="73">
        <f t="shared" si="0"/>
        <v>0.86213718357033053</v>
      </c>
      <c r="L22" s="153">
        <f t="shared" si="1"/>
        <v>4134044.8118792772</v>
      </c>
      <c r="M22" s="155">
        <f t="shared" si="2"/>
        <v>7820640.7118792757</v>
      </c>
      <c r="N22" s="75">
        <f>N115+N116+N117+N118+N119+N120+N121+N122+N123+N124+N125+N126+N127+N128+N129+N130+N131</f>
        <v>39555905.851552948</v>
      </c>
      <c r="O22" s="73">
        <f t="shared" si="3"/>
        <v>1.0729656009098516</v>
      </c>
      <c r="P22" s="76">
        <f t="shared" si="4"/>
        <v>11906436.601552948</v>
      </c>
      <c r="Q22" s="77">
        <f t="shared" si="5"/>
        <v>15593032.501552947</v>
      </c>
      <c r="R22" s="466"/>
      <c r="S22" s="35"/>
      <c r="T22" s="39"/>
    </row>
    <row r="23" spans="1:20" s="4" customFormat="1" ht="24" hidden="1" customHeight="1" outlineLevel="1" x14ac:dyDescent="0.45">
      <c r="A23" s="376"/>
      <c r="B23" s="376"/>
      <c r="C23" s="376"/>
      <c r="D23" s="386"/>
      <c r="E23" s="78" t="s">
        <v>157</v>
      </c>
      <c r="F23" s="78" t="s">
        <v>157</v>
      </c>
      <c r="G23" s="153">
        <f>G133+G134+G135</f>
        <v>7796118</v>
      </c>
      <c r="H23" s="153">
        <f>H133+H134+H135</f>
        <v>11795105</v>
      </c>
      <c r="I23" s="73">
        <v>0.75</v>
      </c>
      <c r="J23" s="153">
        <f>J133+J134+J135</f>
        <v>15333300.493595434</v>
      </c>
      <c r="K23" s="73">
        <f t="shared" si="0"/>
        <v>1.9667866101559051</v>
      </c>
      <c r="L23" s="153">
        <f t="shared" si="1"/>
        <v>9486211.9935954344</v>
      </c>
      <c r="M23" s="155">
        <f t="shared" si="2"/>
        <v>10265823.793595433</v>
      </c>
      <c r="N23" s="75">
        <f>N133+N134+N135</f>
        <v>15333300.493595434</v>
      </c>
      <c r="O23" s="73">
        <f t="shared" si="3"/>
        <v>1.9667866101559051</v>
      </c>
      <c r="P23" s="76">
        <f t="shared" si="4"/>
        <v>9486211.9935954344</v>
      </c>
      <c r="Q23" s="77">
        <f t="shared" si="5"/>
        <v>10265823.793595433</v>
      </c>
      <c r="R23" s="466"/>
      <c r="S23" s="35"/>
      <c r="T23" s="39"/>
    </row>
    <row r="24" spans="1:20" s="4" customFormat="1" ht="24" hidden="1" customHeight="1" outlineLevel="1" x14ac:dyDescent="0.45">
      <c r="A24" s="377"/>
      <c r="B24" s="377"/>
      <c r="C24" s="377"/>
      <c r="D24" s="387"/>
      <c r="E24" s="78" t="s">
        <v>158</v>
      </c>
      <c r="F24" s="78" t="s">
        <v>158</v>
      </c>
      <c r="G24" s="153">
        <f>G137+G138+G139+G140+G141+G142+G143+G144+G145+G146+G147+G148+G149+G150+G151+G152+G153+G154+G155</f>
        <v>47915277</v>
      </c>
      <c r="H24" s="153">
        <f>H137+H138+H139+H140+H141+H142+H143+H144+H145+H146+H147+H148+H149+H150+H151+H152+H153+H154+H155</f>
        <v>14001679.090627547</v>
      </c>
      <c r="I24" s="73">
        <v>0.75</v>
      </c>
      <c r="J24" s="153">
        <f>J137+J138+J139+J140+J141+J142+J143+J144+J145+J146+J147+J148+J149+J150+J151+J152+J153+J154+J155</f>
        <v>47158841.799894206</v>
      </c>
      <c r="K24" s="73">
        <f t="shared" si="0"/>
        <v>0.98421306841019007</v>
      </c>
      <c r="L24" s="153">
        <f t="shared" si="1"/>
        <v>11222384.049894206</v>
      </c>
      <c r="M24" s="155">
        <f t="shared" si="2"/>
        <v>16013911.749894205</v>
      </c>
      <c r="N24" s="75">
        <f>N137+N138+N139+N140+N141+N142+N143+N144+N145+N146+N147+N148+N149+N150+N151+N152+N153+N154+N155</f>
        <v>47158841.799894206</v>
      </c>
      <c r="O24" s="73">
        <f t="shared" si="3"/>
        <v>0.98421306841019007</v>
      </c>
      <c r="P24" s="76">
        <f t="shared" si="4"/>
        <v>11222384.049894206</v>
      </c>
      <c r="Q24" s="77">
        <f t="shared" si="5"/>
        <v>16013911.749894205</v>
      </c>
      <c r="R24" s="466"/>
      <c r="S24" s="35"/>
      <c r="T24" s="39"/>
    </row>
    <row r="25" spans="1:20" s="6" customFormat="1" ht="15" customHeight="1" collapsed="1" x14ac:dyDescent="0.2">
      <c r="A25" s="54" t="s">
        <v>1</v>
      </c>
      <c r="B25" s="54" t="s">
        <v>1</v>
      </c>
      <c r="C25" s="54" t="s">
        <v>1</v>
      </c>
      <c r="D25" s="54" t="s">
        <v>2</v>
      </c>
      <c r="E25" s="54" t="s">
        <v>3</v>
      </c>
      <c r="F25" s="5" t="s">
        <v>4</v>
      </c>
      <c r="G25" s="54" t="s">
        <v>4</v>
      </c>
      <c r="H25" s="54" t="s">
        <v>5</v>
      </c>
      <c r="I25" s="54" t="s">
        <v>8</v>
      </c>
      <c r="J25" s="54" t="s">
        <v>7</v>
      </c>
      <c r="K25" s="54" t="s">
        <v>8</v>
      </c>
      <c r="L25" s="54" t="s">
        <v>9</v>
      </c>
      <c r="M25" s="59" t="s">
        <v>6</v>
      </c>
      <c r="N25" s="68" t="s">
        <v>10</v>
      </c>
      <c r="O25" s="69" t="s">
        <v>11</v>
      </c>
      <c r="P25" s="69" t="s">
        <v>12</v>
      </c>
      <c r="Q25" s="70" t="s">
        <v>13</v>
      </c>
      <c r="R25" s="60" t="s">
        <v>14</v>
      </c>
    </row>
    <row r="26" spans="1:20" s="6" customFormat="1" ht="40.5" hidden="1" customHeight="1" outlineLevel="1" x14ac:dyDescent="0.2">
      <c r="A26" s="462" t="s">
        <v>203</v>
      </c>
      <c r="B26" s="463"/>
      <c r="C26" s="463"/>
      <c r="D26" s="463"/>
      <c r="E26" s="463"/>
      <c r="F26" s="463"/>
      <c r="G26" s="463"/>
      <c r="H26" s="463"/>
      <c r="I26" s="463"/>
      <c r="J26" s="463"/>
      <c r="K26" s="463"/>
      <c r="L26" s="463"/>
      <c r="M26" s="463"/>
      <c r="N26" s="463"/>
      <c r="O26" s="463"/>
      <c r="P26" s="463"/>
      <c r="Q26" s="463"/>
      <c r="R26" s="464"/>
    </row>
    <row r="27" spans="1:20" s="8" customFormat="1" ht="46.5" hidden="1" outlineLevel="1" x14ac:dyDescent="0.2">
      <c r="A27" s="81">
        <v>9</v>
      </c>
      <c r="B27" s="82" t="s">
        <v>1</v>
      </c>
      <c r="C27" s="83" t="s">
        <v>20</v>
      </c>
      <c r="D27" s="84" t="s">
        <v>126</v>
      </c>
      <c r="E27" s="153">
        <v>76512873</v>
      </c>
      <c r="F27" s="153"/>
      <c r="G27" s="153">
        <v>11617160</v>
      </c>
      <c r="H27" s="153">
        <v>0</v>
      </c>
      <c r="I27" s="147">
        <v>0.75</v>
      </c>
      <c r="J27" s="153">
        <v>20544561.689794779</v>
      </c>
      <c r="K27" s="149">
        <f>IFERROR(J27/G27,"n/a")</f>
        <v>1.768466793071179</v>
      </c>
      <c r="L27" s="153">
        <f>IFERROR(J27-(G27*I27),"n/a")</f>
        <v>11831691.689794779</v>
      </c>
      <c r="M27" s="155">
        <f>IFERROR(J27-(G27*0.65),"n/a")</f>
        <v>12993407.689794779</v>
      </c>
      <c r="N27" s="150">
        <v>21492043.621493112</v>
      </c>
      <c r="O27" s="87">
        <f>IFERROR(N27/G27,"n/a")</f>
        <v>1.8500256191266293</v>
      </c>
      <c r="P27" s="153">
        <f>N27-(G27*I27)</f>
        <v>12779173.621493112</v>
      </c>
      <c r="Q27" s="154">
        <f>N27-(G27*0.65)</f>
        <v>13940889.621493112</v>
      </c>
      <c r="R27" s="144"/>
      <c r="S27" s="7"/>
    </row>
    <row r="28" spans="1:20" s="8" customFormat="1" ht="101.25" hidden="1" customHeight="1" outlineLevel="1" x14ac:dyDescent="0.2">
      <c r="A28" s="89">
        <v>1</v>
      </c>
      <c r="B28" s="90" t="s">
        <v>1</v>
      </c>
      <c r="C28" s="124" t="s">
        <v>21</v>
      </c>
      <c r="D28" s="91" t="s">
        <v>126</v>
      </c>
      <c r="E28" s="153">
        <v>64029231</v>
      </c>
      <c r="F28" s="153"/>
      <c r="G28" s="153">
        <v>9721734</v>
      </c>
      <c r="H28" s="153">
        <v>0</v>
      </c>
      <c r="I28" s="92">
        <v>0.75</v>
      </c>
      <c r="J28" s="153">
        <v>2913964.3246217263</v>
      </c>
      <c r="K28" s="93">
        <f t="shared" ref="K28:K91" si="6">IFERROR(J28/G28,"n/a")</f>
        <v>0.29973709675884225</v>
      </c>
      <c r="L28" s="153">
        <f t="shared" ref="L28:L91" si="7">IFERROR(J28-(G28*I28),"n/a")</f>
        <v>-4377336.1753782742</v>
      </c>
      <c r="M28" s="155">
        <f t="shared" ref="M28:M91" si="8">IFERROR(J28-(G28*0.65),"n/a")</f>
        <v>-3405162.7753782743</v>
      </c>
      <c r="N28" s="150">
        <v>3167315.1882352945</v>
      </c>
      <c r="O28" s="94">
        <f t="shared" ref="O28:O91" si="9">IFERROR(N28/G28,"n/a")</f>
        <v>0.32579735140205385</v>
      </c>
      <c r="P28" s="153">
        <f t="shared" ref="P28:P91" si="10">N28-(G28*I28)</f>
        <v>-4123985.3117647055</v>
      </c>
      <c r="Q28" s="154">
        <f t="shared" ref="Q28:Q91" si="11">N28-(G28*0.65)</f>
        <v>-3151811.911764706</v>
      </c>
      <c r="R28" s="117" t="s">
        <v>173</v>
      </c>
    </row>
    <row r="29" spans="1:20" s="8" customFormat="1" ht="158.25" hidden="1" customHeight="1" outlineLevel="1" x14ac:dyDescent="0.2">
      <c r="A29" s="89">
        <v>2</v>
      </c>
      <c r="B29" s="90" t="s">
        <v>1</v>
      </c>
      <c r="C29" s="124" t="s">
        <v>22</v>
      </c>
      <c r="D29" s="91" t="s">
        <v>126</v>
      </c>
      <c r="E29" s="153">
        <v>34000000</v>
      </c>
      <c r="F29" s="153"/>
      <c r="G29" s="153">
        <v>5116765</v>
      </c>
      <c r="H29" s="153">
        <v>9049303</v>
      </c>
      <c r="I29" s="92">
        <v>0.75</v>
      </c>
      <c r="J29" s="153">
        <v>0</v>
      </c>
      <c r="K29" s="93">
        <f t="shared" si="6"/>
        <v>0</v>
      </c>
      <c r="L29" s="153">
        <f t="shared" si="7"/>
        <v>-3837573.75</v>
      </c>
      <c r="M29" s="155">
        <f t="shared" si="8"/>
        <v>-3325897.25</v>
      </c>
      <c r="N29" s="150">
        <v>0</v>
      </c>
      <c r="O29" s="94">
        <f t="shared" si="9"/>
        <v>0</v>
      </c>
      <c r="P29" s="153">
        <f t="shared" si="10"/>
        <v>-3837573.75</v>
      </c>
      <c r="Q29" s="154">
        <f t="shared" si="11"/>
        <v>-3325897.25</v>
      </c>
      <c r="R29" s="117" t="s">
        <v>174</v>
      </c>
      <c r="S29" s="10"/>
    </row>
    <row r="30" spans="1:20" s="8" customFormat="1" ht="69.75" hidden="1" outlineLevel="1" x14ac:dyDescent="0.2">
      <c r="A30" s="89">
        <v>8</v>
      </c>
      <c r="B30" s="90" t="s">
        <v>1</v>
      </c>
      <c r="C30" s="71" t="s">
        <v>23</v>
      </c>
      <c r="D30" s="91" t="s">
        <v>126</v>
      </c>
      <c r="E30" s="153">
        <v>122252616</v>
      </c>
      <c r="F30" s="153"/>
      <c r="G30" s="153">
        <v>17499122</v>
      </c>
      <c r="H30" s="153">
        <v>0</v>
      </c>
      <c r="I30" s="92">
        <v>0.75</v>
      </c>
      <c r="J30" s="153">
        <v>30569773.266993258</v>
      </c>
      <c r="K30" s="73">
        <f t="shared" si="6"/>
        <v>1.7469318327509951</v>
      </c>
      <c r="L30" s="153">
        <f t="shared" si="7"/>
        <v>17445431.766993258</v>
      </c>
      <c r="M30" s="155">
        <f t="shared" si="8"/>
        <v>19195343.966993257</v>
      </c>
      <c r="N30" s="150">
        <v>35149476.474999994</v>
      </c>
      <c r="O30" s="94">
        <f t="shared" si="9"/>
        <v>2.008642289310286</v>
      </c>
      <c r="P30" s="153">
        <f t="shared" si="10"/>
        <v>22025134.974999994</v>
      </c>
      <c r="Q30" s="154">
        <f t="shared" si="11"/>
        <v>23775047.174999993</v>
      </c>
      <c r="R30" s="117"/>
    </row>
    <row r="31" spans="1:20" s="8" customFormat="1" ht="127.5" hidden="1" customHeight="1" outlineLevel="1" x14ac:dyDescent="0.2">
      <c r="A31" s="89">
        <v>4</v>
      </c>
      <c r="B31" s="90" t="s">
        <v>1</v>
      </c>
      <c r="C31" s="124" t="s">
        <v>24</v>
      </c>
      <c r="D31" s="91" t="s">
        <v>126</v>
      </c>
      <c r="E31" s="153">
        <v>32552786</v>
      </c>
      <c r="F31" s="153"/>
      <c r="G31" s="153">
        <v>4809228</v>
      </c>
      <c r="H31" s="153">
        <v>7663112</v>
      </c>
      <c r="I31" s="92">
        <v>0.75</v>
      </c>
      <c r="J31" s="153">
        <v>715807.04288302397</v>
      </c>
      <c r="K31" s="93">
        <f t="shared" si="6"/>
        <v>0.14884032174873471</v>
      </c>
      <c r="L31" s="153">
        <f t="shared" si="7"/>
        <v>-2891113.9571169759</v>
      </c>
      <c r="M31" s="155">
        <f t="shared" si="8"/>
        <v>-2410191.1571169761</v>
      </c>
      <c r="N31" s="150">
        <v>754807.04</v>
      </c>
      <c r="O31" s="94">
        <f t="shared" si="9"/>
        <v>0.15694973080918601</v>
      </c>
      <c r="P31" s="153">
        <f t="shared" si="10"/>
        <v>-2852113.96</v>
      </c>
      <c r="Q31" s="154">
        <f t="shared" si="11"/>
        <v>-2371191.16</v>
      </c>
      <c r="R31" s="117" t="s">
        <v>180</v>
      </c>
    </row>
    <row r="32" spans="1:20" s="8" customFormat="1" ht="69.75" hidden="1" outlineLevel="1" x14ac:dyDescent="0.2">
      <c r="A32" s="89">
        <v>10</v>
      </c>
      <c r="B32" s="95" t="s">
        <v>1</v>
      </c>
      <c r="C32" s="71" t="s">
        <v>25</v>
      </c>
      <c r="D32" s="91" t="s">
        <v>127</v>
      </c>
      <c r="E32" s="153">
        <v>81614203</v>
      </c>
      <c r="F32" s="153"/>
      <c r="G32" s="153">
        <v>13643805</v>
      </c>
      <c r="H32" s="153">
        <v>0</v>
      </c>
      <c r="I32" s="92">
        <v>0.75</v>
      </c>
      <c r="J32" s="153">
        <v>21893636.62875</v>
      </c>
      <c r="K32" s="73">
        <f t="shared" si="6"/>
        <v>1.6046576910729815</v>
      </c>
      <c r="L32" s="153">
        <f t="shared" si="7"/>
        <v>11660782.87875</v>
      </c>
      <c r="M32" s="155">
        <f t="shared" si="8"/>
        <v>13025163.37875</v>
      </c>
      <c r="N32" s="150">
        <v>34182275.523636363</v>
      </c>
      <c r="O32" s="94">
        <f t="shared" si="9"/>
        <v>2.505333044824106</v>
      </c>
      <c r="P32" s="153">
        <f t="shared" si="10"/>
        <v>23949421.773636363</v>
      </c>
      <c r="Q32" s="154">
        <f t="shared" si="11"/>
        <v>25313802.273636363</v>
      </c>
      <c r="R32" s="117"/>
    </row>
    <row r="33" spans="1:22" s="8" customFormat="1" ht="302.25" hidden="1" outlineLevel="1" x14ac:dyDescent="0.2">
      <c r="A33" s="89">
        <v>3</v>
      </c>
      <c r="B33" s="95" t="s">
        <v>1</v>
      </c>
      <c r="C33" s="124" t="s">
        <v>26</v>
      </c>
      <c r="D33" s="91" t="s">
        <v>127</v>
      </c>
      <c r="E33" s="153">
        <v>42352941</v>
      </c>
      <c r="F33" s="153"/>
      <c r="G33" s="153">
        <v>6352941</v>
      </c>
      <c r="H33" s="153">
        <v>17250001</v>
      </c>
      <c r="I33" s="92">
        <v>0.75</v>
      </c>
      <c r="J33" s="153">
        <v>3007534.9294117647</v>
      </c>
      <c r="K33" s="93">
        <f t="shared" si="6"/>
        <v>0.47340828907615617</v>
      </c>
      <c r="L33" s="153">
        <f t="shared" si="7"/>
        <v>-1757170.8205882353</v>
      </c>
      <c r="M33" s="155">
        <f t="shared" si="8"/>
        <v>-1121876.7205882357</v>
      </c>
      <c r="N33" s="150">
        <v>3007534.9294117647</v>
      </c>
      <c r="O33" s="94">
        <f t="shared" si="9"/>
        <v>0.47340828907615617</v>
      </c>
      <c r="P33" s="153">
        <f t="shared" si="10"/>
        <v>-1757170.8205882353</v>
      </c>
      <c r="Q33" s="154">
        <f t="shared" si="11"/>
        <v>-1121876.7205882357</v>
      </c>
      <c r="R33" s="117" t="s">
        <v>222</v>
      </c>
    </row>
    <row r="34" spans="1:22" s="8" customFormat="1" ht="46.5" hidden="1" outlineLevel="1" x14ac:dyDescent="0.2">
      <c r="A34" s="89">
        <v>11</v>
      </c>
      <c r="B34" s="95" t="s">
        <v>1</v>
      </c>
      <c r="C34" s="71" t="s">
        <v>27</v>
      </c>
      <c r="D34" s="91" t="s">
        <v>127</v>
      </c>
      <c r="E34" s="153">
        <v>142117362</v>
      </c>
      <c r="F34" s="153"/>
      <c r="G34" s="153">
        <v>9000000</v>
      </c>
      <c r="H34" s="153">
        <v>0</v>
      </c>
      <c r="I34" s="92">
        <v>0.75</v>
      </c>
      <c r="J34" s="153">
        <v>7706018</v>
      </c>
      <c r="K34" s="73">
        <f t="shared" si="6"/>
        <v>0.85622422222222228</v>
      </c>
      <c r="L34" s="153">
        <f t="shared" si="7"/>
        <v>956018</v>
      </c>
      <c r="M34" s="155">
        <f t="shared" si="8"/>
        <v>1856018</v>
      </c>
      <c r="N34" s="150">
        <v>7706018</v>
      </c>
      <c r="O34" s="94">
        <f t="shared" si="9"/>
        <v>0.85622422222222228</v>
      </c>
      <c r="P34" s="153">
        <f t="shared" si="10"/>
        <v>956018</v>
      </c>
      <c r="Q34" s="154">
        <f t="shared" si="11"/>
        <v>1856018</v>
      </c>
      <c r="R34" s="117"/>
    </row>
    <row r="35" spans="1:22" s="8" customFormat="1" ht="69.75" hidden="1" outlineLevel="1" x14ac:dyDescent="0.2">
      <c r="A35" s="89">
        <v>7</v>
      </c>
      <c r="B35" s="95" t="s">
        <v>1</v>
      </c>
      <c r="C35" s="71" t="s">
        <v>28</v>
      </c>
      <c r="D35" s="91" t="s">
        <v>127</v>
      </c>
      <c r="E35" s="153">
        <v>21176470</v>
      </c>
      <c r="F35" s="153"/>
      <c r="G35" s="153">
        <v>3736236</v>
      </c>
      <c r="H35" s="153">
        <v>0</v>
      </c>
      <c r="I35" s="92">
        <v>0.75</v>
      </c>
      <c r="J35" s="153">
        <v>4720511.1535805687</v>
      </c>
      <c r="K35" s="73">
        <f t="shared" si="6"/>
        <v>1.2634403055857737</v>
      </c>
      <c r="L35" s="153">
        <f t="shared" si="7"/>
        <v>1918334.1535805687</v>
      </c>
      <c r="M35" s="155">
        <f t="shared" si="8"/>
        <v>2291957.7535805688</v>
      </c>
      <c r="N35" s="150">
        <v>6798841.6545454543</v>
      </c>
      <c r="O35" s="94">
        <f t="shared" si="9"/>
        <v>1.8197034808683001</v>
      </c>
      <c r="P35" s="153">
        <f t="shared" si="10"/>
        <v>3996664.6545454543</v>
      </c>
      <c r="Q35" s="154">
        <f t="shared" si="11"/>
        <v>4370288.2545454539</v>
      </c>
      <c r="R35" s="117"/>
    </row>
    <row r="36" spans="1:22" s="8" customFormat="1" ht="69.75" hidden="1" outlineLevel="1" x14ac:dyDescent="0.2">
      <c r="A36" s="89">
        <v>5</v>
      </c>
      <c r="B36" s="95" t="s">
        <v>1</v>
      </c>
      <c r="C36" s="71" t="s">
        <v>29</v>
      </c>
      <c r="D36" s="91" t="s">
        <v>127</v>
      </c>
      <c r="E36" s="153">
        <v>5648462</v>
      </c>
      <c r="F36" s="153"/>
      <c r="G36" s="153">
        <v>847269</v>
      </c>
      <c r="H36" s="153">
        <v>292849.87196192326</v>
      </c>
      <c r="I36" s="92">
        <v>0.75</v>
      </c>
      <c r="J36" s="153">
        <v>1077658.3571194694</v>
      </c>
      <c r="K36" s="73">
        <f t="shared" si="6"/>
        <v>1.2719199653468609</v>
      </c>
      <c r="L36" s="153">
        <f t="shared" si="7"/>
        <v>442206.60711946944</v>
      </c>
      <c r="M36" s="155">
        <f t="shared" si="8"/>
        <v>526933.50711946946</v>
      </c>
      <c r="N36" s="150">
        <v>1077658.2</v>
      </c>
      <c r="O36" s="94">
        <f t="shared" si="9"/>
        <v>1.2719197799046111</v>
      </c>
      <c r="P36" s="153">
        <f t="shared" si="10"/>
        <v>442206.44999999995</v>
      </c>
      <c r="Q36" s="154">
        <f t="shared" si="11"/>
        <v>526933.35</v>
      </c>
      <c r="R36" s="117"/>
    </row>
    <row r="37" spans="1:22" s="8" customFormat="1" ht="69.75" hidden="1" outlineLevel="1" x14ac:dyDescent="0.2">
      <c r="A37" s="96">
        <v>6</v>
      </c>
      <c r="B37" s="97" t="s">
        <v>1</v>
      </c>
      <c r="C37" s="98" t="s">
        <v>30</v>
      </c>
      <c r="D37" s="99" t="s">
        <v>127</v>
      </c>
      <c r="E37" s="153">
        <v>8127343</v>
      </c>
      <c r="F37" s="153"/>
      <c r="G37" s="153">
        <v>749999</v>
      </c>
      <c r="H37" s="153">
        <v>0</v>
      </c>
      <c r="I37" s="146">
        <v>0.75</v>
      </c>
      <c r="J37" s="153">
        <v>603732.44302605942</v>
      </c>
      <c r="K37" s="148">
        <f t="shared" si="6"/>
        <v>0.80497766400496462</v>
      </c>
      <c r="L37" s="153">
        <f t="shared" si="7"/>
        <v>41233.193026059424</v>
      </c>
      <c r="M37" s="155">
        <f t="shared" si="8"/>
        <v>116233.09302605939</v>
      </c>
      <c r="N37" s="150">
        <v>1069875.2391304348</v>
      </c>
      <c r="O37" s="102">
        <f t="shared" si="9"/>
        <v>1.4265022208435409</v>
      </c>
      <c r="P37" s="153">
        <f t="shared" si="10"/>
        <v>507375.98913043481</v>
      </c>
      <c r="Q37" s="154">
        <f t="shared" si="11"/>
        <v>582375.88913043472</v>
      </c>
      <c r="R37" s="143"/>
    </row>
    <row r="38" spans="1:22" s="8" customFormat="1" ht="28.5" hidden="1" outlineLevel="1" x14ac:dyDescent="0.2">
      <c r="A38" s="462" t="s">
        <v>217</v>
      </c>
      <c r="B38" s="463"/>
      <c r="C38" s="463"/>
      <c r="D38" s="463"/>
      <c r="E38" s="463"/>
      <c r="F38" s="463"/>
      <c r="G38" s="463"/>
      <c r="H38" s="463"/>
      <c r="I38" s="463"/>
      <c r="J38" s="463"/>
      <c r="K38" s="463"/>
      <c r="L38" s="463"/>
      <c r="M38" s="463"/>
      <c r="N38" s="463"/>
      <c r="O38" s="463"/>
      <c r="P38" s="463"/>
      <c r="Q38" s="463"/>
      <c r="R38" s="464"/>
    </row>
    <row r="39" spans="1:22" s="8" customFormat="1" ht="69.75" hidden="1" outlineLevel="1" x14ac:dyDescent="0.2">
      <c r="A39" s="81">
        <v>12</v>
      </c>
      <c r="B39" s="81" t="s">
        <v>2</v>
      </c>
      <c r="C39" s="125" t="s">
        <v>31</v>
      </c>
      <c r="D39" s="84" t="s">
        <v>128</v>
      </c>
      <c r="E39" s="153">
        <v>51734253</v>
      </c>
      <c r="F39" s="153"/>
      <c r="G39" s="153">
        <v>8821904</v>
      </c>
      <c r="H39" s="153">
        <v>2682212</v>
      </c>
      <c r="I39" s="147">
        <v>0.75</v>
      </c>
      <c r="J39" s="153">
        <v>5027268.7357394937</v>
      </c>
      <c r="K39" s="113">
        <f t="shared" si="6"/>
        <v>0.56986209958071343</v>
      </c>
      <c r="L39" s="153">
        <f t="shared" si="7"/>
        <v>-1589159.2642605063</v>
      </c>
      <c r="M39" s="155">
        <f t="shared" si="8"/>
        <v>-706968.86426050682</v>
      </c>
      <c r="N39" s="150">
        <v>5027268.7357394937</v>
      </c>
      <c r="O39" s="149">
        <f t="shared" si="9"/>
        <v>0.56986209958071343</v>
      </c>
      <c r="P39" s="153">
        <f t="shared" si="10"/>
        <v>-1589159.2642605063</v>
      </c>
      <c r="Q39" s="154">
        <f t="shared" si="11"/>
        <v>-706968.86426050682</v>
      </c>
      <c r="R39" s="144"/>
    </row>
    <row r="40" spans="1:22" s="8" customFormat="1" ht="69.75" hidden="1" outlineLevel="1" x14ac:dyDescent="0.2">
      <c r="A40" s="89">
        <v>14</v>
      </c>
      <c r="B40" s="89" t="s">
        <v>2</v>
      </c>
      <c r="C40" s="71" t="s">
        <v>162</v>
      </c>
      <c r="D40" s="91" t="s">
        <v>129</v>
      </c>
      <c r="E40" s="153">
        <v>139640840</v>
      </c>
      <c r="F40" s="153"/>
      <c r="G40" s="153">
        <v>13754084</v>
      </c>
      <c r="H40" s="153">
        <v>7130936.6605614899</v>
      </c>
      <c r="I40" s="92">
        <v>0.75</v>
      </c>
      <c r="J40" s="153">
        <v>16728035.170588238</v>
      </c>
      <c r="K40" s="73">
        <f t="shared" si="6"/>
        <v>1.2162231356583426</v>
      </c>
      <c r="L40" s="153">
        <f t="shared" si="7"/>
        <v>6412472.1705882382</v>
      </c>
      <c r="M40" s="155">
        <f t="shared" si="8"/>
        <v>7787880.5705882385</v>
      </c>
      <c r="N40" s="150">
        <v>16729684.844117649</v>
      </c>
      <c r="O40" s="73">
        <f t="shared" si="9"/>
        <v>1.2163430762904786</v>
      </c>
      <c r="P40" s="153">
        <f t="shared" si="10"/>
        <v>6414121.8441176489</v>
      </c>
      <c r="Q40" s="154">
        <f t="shared" si="11"/>
        <v>7789530.2441176493</v>
      </c>
      <c r="R40" s="117"/>
    </row>
    <row r="41" spans="1:22" s="27" customFormat="1" ht="69.75" hidden="1" outlineLevel="1" x14ac:dyDescent="0.2">
      <c r="A41" s="96">
        <v>13</v>
      </c>
      <c r="B41" s="96" t="s">
        <v>2</v>
      </c>
      <c r="C41" s="98" t="s">
        <v>32</v>
      </c>
      <c r="D41" s="99" t="s">
        <v>129</v>
      </c>
      <c r="E41" s="153">
        <v>11900000</v>
      </c>
      <c r="F41" s="153"/>
      <c r="G41" s="153">
        <v>1400000</v>
      </c>
      <c r="H41" s="153">
        <v>725843.41674706095</v>
      </c>
      <c r="I41" s="146">
        <v>0.75</v>
      </c>
      <c r="J41" s="153">
        <v>2430008</v>
      </c>
      <c r="K41" s="148">
        <f t="shared" si="6"/>
        <v>1.7357199999999999</v>
      </c>
      <c r="L41" s="153">
        <f t="shared" si="7"/>
        <v>1380008</v>
      </c>
      <c r="M41" s="155">
        <f t="shared" si="8"/>
        <v>1520008</v>
      </c>
      <c r="N41" s="150">
        <v>2430008</v>
      </c>
      <c r="O41" s="148">
        <f t="shared" si="9"/>
        <v>1.7357199999999999</v>
      </c>
      <c r="P41" s="153">
        <f t="shared" si="10"/>
        <v>1380008</v>
      </c>
      <c r="Q41" s="154">
        <f t="shared" si="11"/>
        <v>1520008</v>
      </c>
      <c r="R41" s="143"/>
    </row>
    <row r="42" spans="1:22" s="27" customFormat="1" ht="28.5" hidden="1" outlineLevel="1" x14ac:dyDescent="0.2">
      <c r="A42" s="462" t="s">
        <v>218</v>
      </c>
      <c r="B42" s="463"/>
      <c r="C42" s="463"/>
      <c r="D42" s="463"/>
      <c r="E42" s="463"/>
      <c r="F42" s="463"/>
      <c r="G42" s="463"/>
      <c r="H42" s="463"/>
      <c r="I42" s="463"/>
      <c r="J42" s="463"/>
      <c r="K42" s="463"/>
      <c r="L42" s="463"/>
      <c r="M42" s="463"/>
      <c r="N42" s="463"/>
      <c r="O42" s="463"/>
      <c r="P42" s="463"/>
      <c r="Q42" s="463"/>
      <c r="R42" s="464"/>
    </row>
    <row r="43" spans="1:22" s="8" customFormat="1" ht="46.5" hidden="1" outlineLevel="1" x14ac:dyDescent="0.2">
      <c r="A43" s="81">
        <v>18</v>
      </c>
      <c r="B43" s="81" t="s">
        <v>3</v>
      </c>
      <c r="C43" s="83" t="s">
        <v>33</v>
      </c>
      <c r="D43" s="84" t="s">
        <v>127</v>
      </c>
      <c r="E43" s="153">
        <v>25882353</v>
      </c>
      <c r="F43" s="365"/>
      <c r="G43" s="373">
        <v>15955365.4</v>
      </c>
      <c r="H43" s="373">
        <v>3136162.7714382587</v>
      </c>
      <c r="I43" s="372">
        <v>0.85</v>
      </c>
      <c r="J43" s="373">
        <f>46631226.28*0.406723084186751</f>
        <v>18965996.172011878</v>
      </c>
      <c r="K43" s="371">
        <f t="shared" si="6"/>
        <v>1.1886908069188988</v>
      </c>
      <c r="L43" s="369">
        <f>IFERROR(J43-(G43*I43),"n/a")</f>
        <v>5403935.5820118785</v>
      </c>
      <c r="M43" s="398">
        <f t="shared" si="8"/>
        <v>8595008.6620118786</v>
      </c>
      <c r="N43" s="467">
        <v>18965996.172011878</v>
      </c>
      <c r="O43" s="371">
        <f t="shared" si="9"/>
        <v>1.1886908069188988</v>
      </c>
      <c r="P43" s="369">
        <f t="shared" si="10"/>
        <v>5403935.5820118785</v>
      </c>
      <c r="Q43" s="396">
        <f t="shared" si="11"/>
        <v>8595008.6620118786</v>
      </c>
      <c r="R43" s="404"/>
    </row>
    <row r="44" spans="1:22" s="8" customFormat="1" ht="46.5" hidden="1" outlineLevel="1" x14ac:dyDescent="0.2">
      <c r="A44" s="89">
        <v>19</v>
      </c>
      <c r="B44" s="89" t="s">
        <v>3</v>
      </c>
      <c r="C44" s="71" t="s">
        <v>34</v>
      </c>
      <c r="D44" s="91" t="s">
        <v>127</v>
      </c>
      <c r="E44" s="153">
        <v>8235294</v>
      </c>
      <c r="F44" s="366"/>
      <c r="G44" s="373"/>
      <c r="H44" s="373"/>
      <c r="I44" s="372"/>
      <c r="J44" s="373"/>
      <c r="K44" s="371"/>
      <c r="L44" s="369"/>
      <c r="M44" s="398"/>
      <c r="N44" s="468"/>
      <c r="O44" s="371"/>
      <c r="P44" s="369"/>
      <c r="Q44" s="396"/>
      <c r="R44" s="404"/>
    </row>
    <row r="45" spans="1:22" s="8" customFormat="1" ht="46.5" hidden="1" outlineLevel="1" x14ac:dyDescent="0.2">
      <c r="A45" s="89">
        <v>20</v>
      </c>
      <c r="B45" s="89" t="s">
        <v>3</v>
      </c>
      <c r="C45" s="71" t="s">
        <v>35</v>
      </c>
      <c r="D45" s="91" t="s">
        <v>127</v>
      </c>
      <c r="E45" s="153">
        <v>12254724</v>
      </c>
      <c r="F45" s="366"/>
      <c r="G45" s="373"/>
      <c r="H45" s="373"/>
      <c r="I45" s="372"/>
      <c r="J45" s="373"/>
      <c r="K45" s="371"/>
      <c r="L45" s="369"/>
      <c r="M45" s="398"/>
      <c r="N45" s="468"/>
      <c r="O45" s="371"/>
      <c r="P45" s="369"/>
      <c r="Q45" s="396"/>
      <c r="R45" s="404"/>
      <c r="V45" s="128"/>
    </row>
    <row r="46" spans="1:22" s="9" customFormat="1" ht="69.75" hidden="1" outlineLevel="1" x14ac:dyDescent="0.2">
      <c r="A46" s="89">
        <v>21</v>
      </c>
      <c r="B46" s="89" t="s">
        <v>3</v>
      </c>
      <c r="C46" s="71" t="s">
        <v>36</v>
      </c>
      <c r="D46" s="91" t="s">
        <v>127</v>
      </c>
      <c r="E46" s="153">
        <v>14117647</v>
      </c>
      <c r="F46" s="367"/>
      <c r="G46" s="360"/>
      <c r="H46" s="360"/>
      <c r="I46" s="362"/>
      <c r="J46" s="360"/>
      <c r="K46" s="364"/>
      <c r="L46" s="370"/>
      <c r="M46" s="399"/>
      <c r="N46" s="469"/>
      <c r="O46" s="364"/>
      <c r="P46" s="370"/>
      <c r="Q46" s="397"/>
      <c r="R46" s="403"/>
    </row>
    <row r="47" spans="1:22" s="8" customFormat="1" ht="46.5" hidden="1" outlineLevel="1" x14ac:dyDescent="0.2">
      <c r="A47" s="89">
        <v>17</v>
      </c>
      <c r="B47" s="89" t="s">
        <v>3</v>
      </c>
      <c r="C47" s="71" t="s">
        <v>37</v>
      </c>
      <c r="D47" s="91" t="s">
        <v>127</v>
      </c>
      <c r="E47" s="153">
        <v>29565515</v>
      </c>
      <c r="F47" s="103"/>
      <c r="G47" s="153">
        <v>7712947</v>
      </c>
      <c r="H47" s="153">
        <v>1532852.3333420665</v>
      </c>
      <c r="I47" s="92">
        <v>0.85</v>
      </c>
      <c r="J47" s="153">
        <v>9311063.9649381246</v>
      </c>
      <c r="K47" s="73">
        <f t="shared" si="6"/>
        <v>1.2071992670166312</v>
      </c>
      <c r="L47" s="153">
        <f t="shared" si="7"/>
        <v>2755059.0149381245</v>
      </c>
      <c r="M47" s="155">
        <f t="shared" si="8"/>
        <v>4297648.4149381248</v>
      </c>
      <c r="N47" s="150">
        <v>18377756.831111107</v>
      </c>
      <c r="O47" s="73">
        <f t="shared" si="9"/>
        <v>2.3827153007937314</v>
      </c>
      <c r="P47" s="153">
        <f t="shared" si="10"/>
        <v>11821751.881111108</v>
      </c>
      <c r="Q47" s="154">
        <f t="shared" si="11"/>
        <v>13364341.281111106</v>
      </c>
      <c r="R47" s="117"/>
    </row>
    <row r="48" spans="1:22" s="8" customFormat="1" ht="69.75" hidden="1" outlineLevel="1" x14ac:dyDescent="0.2">
      <c r="A48" s="89">
        <v>15</v>
      </c>
      <c r="B48" s="89" t="s">
        <v>3</v>
      </c>
      <c r="C48" s="124" t="s">
        <v>38</v>
      </c>
      <c r="D48" s="91" t="s">
        <v>127</v>
      </c>
      <c r="E48" s="153">
        <v>32823529</v>
      </c>
      <c r="F48" s="103"/>
      <c r="G48" s="153">
        <v>8657815</v>
      </c>
      <c r="H48" s="153">
        <v>1701767.2497470386</v>
      </c>
      <c r="I48" s="92">
        <v>0.85</v>
      </c>
      <c r="J48" s="153">
        <v>3286941.7705306686</v>
      </c>
      <c r="K48" s="93">
        <f t="shared" si="6"/>
        <v>0.3796502663236242</v>
      </c>
      <c r="L48" s="153">
        <f t="shared" si="7"/>
        <v>-4072200.9794693314</v>
      </c>
      <c r="M48" s="155">
        <f t="shared" si="8"/>
        <v>-2340637.9794693314</v>
      </c>
      <c r="N48" s="150">
        <v>3286941.8117647059</v>
      </c>
      <c r="O48" s="73">
        <f t="shared" si="9"/>
        <v>0.37965027108626204</v>
      </c>
      <c r="P48" s="153">
        <f t="shared" si="10"/>
        <v>-4072200.9382352941</v>
      </c>
      <c r="Q48" s="154">
        <f t="shared" si="11"/>
        <v>-2340637.9382352941</v>
      </c>
      <c r="R48" s="117" t="s">
        <v>223</v>
      </c>
    </row>
    <row r="49" spans="1:19" s="8" customFormat="1" ht="46.5" hidden="1" outlineLevel="1" x14ac:dyDescent="0.2">
      <c r="A49" s="89">
        <v>22</v>
      </c>
      <c r="B49" s="89" t="s">
        <v>3</v>
      </c>
      <c r="C49" s="71" t="s">
        <v>39</v>
      </c>
      <c r="D49" s="91" t="s">
        <v>127</v>
      </c>
      <c r="E49" s="153">
        <v>70588236</v>
      </c>
      <c r="F49" s="365"/>
      <c r="G49" s="359">
        <v>22220807.399999999</v>
      </c>
      <c r="H49" s="359">
        <v>4574643.1444812873</v>
      </c>
      <c r="I49" s="361">
        <v>0.85</v>
      </c>
      <c r="J49" s="359">
        <f>46631226.28*(1-0.406723084186751)</f>
        <v>27665230.107988123</v>
      </c>
      <c r="K49" s="363">
        <f t="shared" si="6"/>
        <v>1.2450146212053539</v>
      </c>
      <c r="L49" s="359">
        <f t="shared" si="7"/>
        <v>8777543.8179881237</v>
      </c>
      <c r="M49" s="391">
        <f t="shared" si="8"/>
        <v>13221705.297988124</v>
      </c>
      <c r="N49" s="467">
        <v>27665230.107988123</v>
      </c>
      <c r="O49" s="363">
        <f t="shared" si="9"/>
        <v>1.2450146212053539</v>
      </c>
      <c r="P49" s="359">
        <f t="shared" si="10"/>
        <v>8777543.8179881237</v>
      </c>
      <c r="Q49" s="405">
        <f t="shared" si="11"/>
        <v>13221705.297988124</v>
      </c>
      <c r="R49" s="402"/>
    </row>
    <row r="50" spans="1:19" s="8" customFormat="1" ht="69.75" hidden="1" outlineLevel="1" x14ac:dyDescent="0.2">
      <c r="A50" s="89">
        <v>23</v>
      </c>
      <c r="B50" s="89" t="s">
        <v>3</v>
      </c>
      <c r="C50" s="71" t="s">
        <v>40</v>
      </c>
      <c r="D50" s="91" t="s">
        <v>127</v>
      </c>
      <c r="E50" s="153">
        <v>17647059</v>
      </c>
      <c r="F50" s="367"/>
      <c r="G50" s="360"/>
      <c r="H50" s="360"/>
      <c r="I50" s="362"/>
      <c r="J50" s="360"/>
      <c r="K50" s="364"/>
      <c r="L50" s="360">
        <f t="shared" si="7"/>
        <v>0</v>
      </c>
      <c r="M50" s="392">
        <f t="shared" si="8"/>
        <v>0</v>
      </c>
      <c r="N50" s="469"/>
      <c r="O50" s="364"/>
      <c r="P50" s="360">
        <f t="shared" si="10"/>
        <v>0</v>
      </c>
      <c r="Q50" s="406">
        <f t="shared" si="11"/>
        <v>0</v>
      </c>
      <c r="R50" s="403"/>
    </row>
    <row r="51" spans="1:19" s="8" customFormat="1" ht="46.5" hidden="1" outlineLevel="1" x14ac:dyDescent="0.2">
      <c r="A51" s="89">
        <v>16</v>
      </c>
      <c r="B51" s="89" t="s">
        <v>3</v>
      </c>
      <c r="C51" s="71" t="s">
        <v>41</v>
      </c>
      <c r="D51" s="91" t="s">
        <v>127</v>
      </c>
      <c r="E51" s="153">
        <v>7294119</v>
      </c>
      <c r="F51" s="104"/>
      <c r="G51" s="153">
        <v>1201009</v>
      </c>
      <c r="H51" s="153">
        <v>378170.56093902828</v>
      </c>
      <c r="I51" s="92">
        <v>0.85</v>
      </c>
      <c r="J51" s="153">
        <v>2270395.6313995048</v>
      </c>
      <c r="K51" s="73">
        <f t="shared" si="6"/>
        <v>1.8904068424129252</v>
      </c>
      <c r="L51" s="153">
        <f t="shared" si="7"/>
        <v>1249537.9813995049</v>
      </c>
      <c r="M51" s="155">
        <f t="shared" si="8"/>
        <v>1489739.7813995047</v>
      </c>
      <c r="N51" s="150">
        <v>2323273.1325301207</v>
      </c>
      <c r="O51" s="73">
        <f t="shared" si="9"/>
        <v>1.9344344068446786</v>
      </c>
      <c r="P51" s="153">
        <f t="shared" si="10"/>
        <v>1302415.4825301208</v>
      </c>
      <c r="Q51" s="154">
        <f t="shared" si="11"/>
        <v>1542617.2825301206</v>
      </c>
      <c r="R51" s="117"/>
    </row>
    <row r="52" spans="1:19" s="8" customFormat="1" ht="69.75" hidden="1" outlineLevel="1" x14ac:dyDescent="0.2">
      <c r="A52" s="89">
        <v>25</v>
      </c>
      <c r="B52" s="89" t="s">
        <v>3</v>
      </c>
      <c r="C52" s="71" t="s">
        <v>42</v>
      </c>
      <c r="D52" s="91" t="s">
        <v>127</v>
      </c>
      <c r="E52" s="153">
        <v>60620418</v>
      </c>
      <c r="F52" s="104"/>
      <c r="G52" s="153">
        <v>10034796</v>
      </c>
      <c r="H52" s="153">
        <v>3143014</v>
      </c>
      <c r="I52" s="92">
        <v>0.85</v>
      </c>
      <c r="J52" s="153">
        <v>30181731.558139537</v>
      </c>
      <c r="K52" s="73">
        <f t="shared" si="6"/>
        <v>3.0077075366693591</v>
      </c>
      <c r="L52" s="153">
        <f t="shared" si="7"/>
        <v>21652154.958139539</v>
      </c>
      <c r="M52" s="155">
        <f t="shared" si="8"/>
        <v>23659114.158139534</v>
      </c>
      <c r="N52" s="150">
        <v>30181731.558139537</v>
      </c>
      <c r="O52" s="73">
        <f t="shared" si="9"/>
        <v>3.0077075366693591</v>
      </c>
      <c r="P52" s="153">
        <f t="shared" si="10"/>
        <v>21652154.958139539</v>
      </c>
      <c r="Q52" s="154">
        <f t="shared" si="11"/>
        <v>23659114.158139534</v>
      </c>
      <c r="R52" s="117"/>
    </row>
    <row r="53" spans="1:19" s="8" customFormat="1" ht="69.75" hidden="1" outlineLevel="1" x14ac:dyDescent="0.2">
      <c r="A53" s="96">
        <v>24</v>
      </c>
      <c r="B53" s="96" t="s">
        <v>3</v>
      </c>
      <c r="C53" s="98" t="s">
        <v>43</v>
      </c>
      <c r="D53" s="99" t="s">
        <v>129</v>
      </c>
      <c r="E53" s="153">
        <v>75552110.395380691</v>
      </c>
      <c r="F53" s="104"/>
      <c r="G53" s="153">
        <v>13886292.199999999</v>
      </c>
      <c r="H53" s="153">
        <v>3599739.3892945535</v>
      </c>
      <c r="I53" s="146">
        <v>0.85</v>
      </c>
      <c r="J53" s="153">
        <v>25959097.540727876</v>
      </c>
      <c r="K53" s="148">
        <f t="shared" si="6"/>
        <v>1.8694045297943447</v>
      </c>
      <c r="L53" s="153">
        <f t="shared" si="7"/>
        <v>14155749.170727877</v>
      </c>
      <c r="M53" s="155">
        <f t="shared" si="8"/>
        <v>16933007.610727876</v>
      </c>
      <c r="N53" s="150">
        <v>26988599.821023963</v>
      </c>
      <c r="O53" s="148">
        <f t="shared" si="9"/>
        <v>1.9435425549394649</v>
      </c>
      <c r="P53" s="153">
        <f t="shared" si="10"/>
        <v>15185251.451023964</v>
      </c>
      <c r="Q53" s="154">
        <f t="shared" si="11"/>
        <v>17962509.891023964</v>
      </c>
      <c r="R53" s="143"/>
    </row>
    <row r="54" spans="1:19" s="8" customFormat="1" ht="28.5" hidden="1" outlineLevel="1" x14ac:dyDescent="0.2">
      <c r="A54" s="462" t="s">
        <v>219</v>
      </c>
      <c r="B54" s="463"/>
      <c r="C54" s="463"/>
      <c r="D54" s="463"/>
      <c r="E54" s="463"/>
      <c r="F54" s="463"/>
      <c r="G54" s="463"/>
      <c r="H54" s="463"/>
      <c r="I54" s="463"/>
      <c r="J54" s="463"/>
      <c r="K54" s="463"/>
      <c r="L54" s="463"/>
      <c r="M54" s="463"/>
      <c r="N54" s="463"/>
      <c r="O54" s="463"/>
      <c r="P54" s="463"/>
      <c r="Q54" s="463"/>
      <c r="R54" s="464"/>
    </row>
    <row r="55" spans="1:19" s="8" customFormat="1" ht="116.25" hidden="1" outlineLevel="1" x14ac:dyDescent="0.2">
      <c r="A55" s="81">
        <v>26</v>
      </c>
      <c r="B55" s="81" t="s">
        <v>3</v>
      </c>
      <c r="C55" s="83" t="s">
        <v>44</v>
      </c>
      <c r="D55" s="84" t="s">
        <v>130</v>
      </c>
      <c r="E55" s="153">
        <v>11169393</v>
      </c>
      <c r="F55" s="153"/>
      <c r="G55" s="153">
        <v>3672987</v>
      </c>
      <c r="H55" s="153">
        <v>590386</v>
      </c>
      <c r="I55" s="147">
        <v>0.85</v>
      </c>
      <c r="J55" s="153">
        <v>3515603.7243972546</v>
      </c>
      <c r="K55" s="149">
        <f t="shared" si="6"/>
        <v>0.95715114820642022</v>
      </c>
      <c r="L55" s="153">
        <f t="shared" si="7"/>
        <v>393564.77439725492</v>
      </c>
      <c r="M55" s="155">
        <f t="shared" si="8"/>
        <v>1128162.1743972544</v>
      </c>
      <c r="N55" s="150">
        <v>3515603.7243972546</v>
      </c>
      <c r="O55" s="149">
        <f t="shared" si="9"/>
        <v>0.95715114820642022</v>
      </c>
      <c r="P55" s="153">
        <f t="shared" si="10"/>
        <v>393564.77439725492</v>
      </c>
      <c r="Q55" s="154">
        <f t="shared" si="11"/>
        <v>1128162.1743972544</v>
      </c>
      <c r="R55" s="144"/>
      <c r="S55" s="10"/>
    </row>
    <row r="56" spans="1:19" s="8" customFormat="1" ht="93" hidden="1" outlineLevel="1" x14ac:dyDescent="0.2">
      <c r="A56" s="89">
        <v>27</v>
      </c>
      <c r="B56" s="89" t="s">
        <v>3</v>
      </c>
      <c r="C56" s="71" t="s">
        <v>45</v>
      </c>
      <c r="D56" s="91" t="s">
        <v>131</v>
      </c>
      <c r="E56" s="153">
        <v>8181615</v>
      </c>
      <c r="F56" s="153"/>
      <c r="G56" s="153">
        <v>3132164</v>
      </c>
      <c r="H56" s="153">
        <v>453602</v>
      </c>
      <c r="I56" s="92">
        <v>0.85</v>
      </c>
      <c r="J56" s="153">
        <v>3481280.3863321091</v>
      </c>
      <c r="K56" s="73">
        <f t="shared" si="6"/>
        <v>1.1114617198627239</v>
      </c>
      <c r="L56" s="153">
        <f t="shared" si="7"/>
        <v>818940.9863321092</v>
      </c>
      <c r="M56" s="155">
        <f t="shared" si="8"/>
        <v>1445373.786332109</v>
      </c>
      <c r="N56" s="150">
        <v>3481280.3863321091</v>
      </c>
      <c r="O56" s="73">
        <f t="shared" si="9"/>
        <v>1.1114617198627239</v>
      </c>
      <c r="P56" s="153">
        <f t="shared" si="10"/>
        <v>818940.9863321092</v>
      </c>
      <c r="Q56" s="154">
        <f t="shared" si="11"/>
        <v>1445373.786332109</v>
      </c>
      <c r="R56" s="117"/>
    </row>
    <row r="57" spans="1:19" s="8" customFormat="1" ht="46.5" hidden="1" outlineLevel="1" x14ac:dyDescent="0.5">
      <c r="A57" s="89">
        <v>29</v>
      </c>
      <c r="B57" s="89" t="s">
        <v>3</v>
      </c>
      <c r="C57" s="71" t="s">
        <v>46</v>
      </c>
      <c r="D57" s="91" t="s">
        <v>131</v>
      </c>
      <c r="E57" s="153">
        <v>1500000</v>
      </c>
      <c r="F57" s="153"/>
      <c r="G57" s="153">
        <v>207687</v>
      </c>
      <c r="H57" s="153">
        <v>79286.167571177386</v>
      </c>
      <c r="I57" s="92">
        <v>0.85</v>
      </c>
      <c r="J57" s="153">
        <v>258947.51764705885</v>
      </c>
      <c r="K57" s="73">
        <f t="shared" si="6"/>
        <v>1.2468162073074331</v>
      </c>
      <c r="L57" s="153">
        <f t="shared" si="7"/>
        <v>82413.567647058866</v>
      </c>
      <c r="M57" s="155">
        <f t="shared" si="8"/>
        <v>123950.96764705883</v>
      </c>
      <c r="N57" s="150">
        <v>258947.51764705885</v>
      </c>
      <c r="O57" s="73">
        <f t="shared" si="9"/>
        <v>1.2468162073074331</v>
      </c>
      <c r="P57" s="153">
        <f t="shared" si="10"/>
        <v>82413.567647058866</v>
      </c>
      <c r="Q57" s="154">
        <f t="shared" si="11"/>
        <v>123950.96764705883</v>
      </c>
      <c r="R57" s="117"/>
      <c r="S57" s="30"/>
    </row>
    <row r="58" spans="1:19" s="8" customFormat="1" ht="139.5" hidden="1" outlineLevel="1" x14ac:dyDescent="0.2">
      <c r="A58" s="96">
        <v>28</v>
      </c>
      <c r="B58" s="96" t="s">
        <v>3</v>
      </c>
      <c r="C58" s="98" t="s">
        <v>47</v>
      </c>
      <c r="D58" s="99" t="s">
        <v>131</v>
      </c>
      <c r="E58" s="153">
        <v>400000</v>
      </c>
      <c r="F58" s="153"/>
      <c r="G58" s="153">
        <v>0</v>
      </c>
      <c r="H58" s="153">
        <v>0</v>
      </c>
      <c r="I58" s="146">
        <v>0.85</v>
      </c>
      <c r="J58" s="153">
        <v>0</v>
      </c>
      <c r="K58" s="148" t="str">
        <f t="shared" si="6"/>
        <v>n/a</v>
      </c>
      <c r="L58" s="153">
        <f t="shared" si="7"/>
        <v>0</v>
      </c>
      <c r="M58" s="155">
        <f t="shared" si="8"/>
        <v>0</v>
      </c>
      <c r="N58" s="150">
        <v>0</v>
      </c>
      <c r="O58" s="148" t="str">
        <f t="shared" si="9"/>
        <v>n/a</v>
      </c>
      <c r="P58" s="153">
        <f t="shared" si="10"/>
        <v>0</v>
      </c>
      <c r="Q58" s="154">
        <f t="shared" si="11"/>
        <v>0</v>
      </c>
      <c r="R58" s="143"/>
    </row>
    <row r="59" spans="1:19" s="8" customFormat="1" ht="28.5" hidden="1" outlineLevel="1" x14ac:dyDescent="0.2">
      <c r="A59" s="462" t="s">
        <v>220</v>
      </c>
      <c r="B59" s="463"/>
      <c r="C59" s="463"/>
      <c r="D59" s="463"/>
      <c r="E59" s="463"/>
      <c r="F59" s="463"/>
      <c r="G59" s="463"/>
      <c r="H59" s="463"/>
      <c r="I59" s="463"/>
      <c r="J59" s="463"/>
      <c r="K59" s="463"/>
      <c r="L59" s="463"/>
      <c r="M59" s="463"/>
      <c r="N59" s="463"/>
      <c r="O59" s="463"/>
      <c r="P59" s="463"/>
      <c r="Q59" s="463"/>
      <c r="R59" s="464"/>
    </row>
    <row r="60" spans="1:19" s="9" customFormat="1" ht="186" hidden="1" outlineLevel="1" x14ac:dyDescent="0.2">
      <c r="A60" s="81">
        <v>31</v>
      </c>
      <c r="B60" s="81" t="s">
        <v>4</v>
      </c>
      <c r="C60" s="127" t="s">
        <v>49</v>
      </c>
      <c r="D60" s="84" t="s">
        <v>127</v>
      </c>
      <c r="E60" s="153">
        <v>176471763</v>
      </c>
      <c r="F60" s="153"/>
      <c r="G60" s="153">
        <v>30007856</v>
      </c>
      <c r="H60" s="153">
        <v>11926141.999999985</v>
      </c>
      <c r="I60" s="147">
        <v>0.75</v>
      </c>
      <c r="J60" s="153">
        <v>23822768.326140631</v>
      </c>
      <c r="K60" s="122">
        <f t="shared" si="6"/>
        <v>0.79388438568022424</v>
      </c>
      <c r="L60" s="153">
        <f t="shared" si="7"/>
        <v>1316876.326140631</v>
      </c>
      <c r="M60" s="155">
        <f t="shared" si="8"/>
        <v>4317661.9261406288</v>
      </c>
      <c r="N60" s="150">
        <v>25997180.548235297</v>
      </c>
      <c r="O60" s="149">
        <f t="shared" si="9"/>
        <v>0.86634581784967568</v>
      </c>
      <c r="P60" s="153">
        <f t="shared" si="10"/>
        <v>3491288.5482352972</v>
      </c>
      <c r="Q60" s="154">
        <f t="shared" si="11"/>
        <v>6492074.148235295</v>
      </c>
      <c r="R60" s="144" t="s">
        <v>215</v>
      </c>
    </row>
    <row r="61" spans="1:19" s="9" customFormat="1" ht="232.5" hidden="1" outlineLevel="1" x14ac:dyDescent="0.2">
      <c r="A61" s="89">
        <v>30</v>
      </c>
      <c r="B61" s="89" t="s">
        <v>4</v>
      </c>
      <c r="C61" s="124" t="s">
        <v>50</v>
      </c>
      <c r="D61" s="91" t="s">
        <v>127</v>
      </c>
      <c r="E61" s="153">
        <v>115127027</v>
      </c>
      <c r="F61" s="153"/>
      <c r="G61" s="153">
        <v>25903583</v>
      </c>
      <c r="H61" s="153">
        <v>3192016</v>
      </c>
      <c r="I61" s="92">
        <v>0.75</v>
      </c>
      <c r="J61" s="153">
        <v>6527212.6521794489</v>
      </c>
      <c r="K61" s="93">
        <f t="shared" si="6"/>
        <v>0.25198107351324522</v>
      </c>
      <c r="L61" s="153">
        <f t="shared" si="7"/>
        <v>-12900474.59782055</v>
      </c>
      <c r="M61" s="155">
        <f t="shared" si="8"/>
        <v>-10310116.297820549</v>
      </c>
      <c r="N61" s="150">
        <v>9232241.7605813965</v>
      </c>
      <c r="O61" s="73">
        <f t="shared" si="9"/>
        <v>0.35640790544618467</v>
      </c>
      <c r="P61" s="153">
        <f t="shared" si="10"/>
        <v>-10195445.489418603</v>
      </c>
      <c r="Q61" s="154">
        <f t="shared" si="11"/>
        <v>-7605087.1894186027</v>
      </c>
      <c r="R61" s="117" t="s">
        <v>216</v>
      </c>
    </row>
    <row r="62" spans="1:19" s="8" customFormat="1" ht="116.25" hidden="1" outlineLevel="1" x14ac:dyDescent="0.2">
      <c r="A62" s="89">
        <v>33</v>
      </c>
      <c r="B62" s="89" t="s">
        <v>4</v>
      </c>
      <c r="C62" s="71" t="s">
        <v>51</v>
      </c>
      <c r="D62" s="91" t="s">
        <v>129</v>
      </c>
      <c r="E62" s="153">
        <v>55289876.350825503</v>
      </c>
      <c r="F62" s="153"/>
      <c r="G62" s="153">
        <v>14773486</v>
      </c>
      <c r="H62" s="153">
        <v>1914863.8170615549</v>
      </c>
      <c r="I62" s="92">
        <v>0.75</v>
      </c>
      <c r="J62" s="153">
        <v>13266638.755259741</v>
      </c>
      <c r="K62" s="73">
        <f t="shared" si="6"/>
        <v>0.89800327121572665</v>
      </c>
      <c r="L62" s="153">
        <f t="shared" si="7"/>
        <v>2186524.2552597411</v>
      </c>
      <c r="M62" s="155">
        <f t="shared" si="8"/>
        <v>3663872.8552597407</v>
      </c>
      <c r="N62" s="150">
        <v>17560965.690749999</v>
      </c>
      <c r="O62" s="73">
        <f t="shared" si="9"/>
        <v>1.1886812422437061</v>
      </c>
      <c r="P62" s="153">
        <f t="shared" si="10"/>
        <v>6480851.1907499991</v>
      </c>
      <c r="Q62" s="154">
        <f t="shared" si="11"/>
        <v>7958199.7907499988</v>
      </c>
      <c r="R62" s="117" t="s">
        <v>198</v>
      </c>
    </row>
    <row r="63" spans="1:19" s="8" customFormat="1" ht="93" hidden="1" outlineLevel="1" x14ac:dyDescent="0.2">
      <c r="A63" s="96">
        <v>32</v>
      </c>
      <c r="B63" s="96" t="s">
        <v>4</v>
      </c>
      <c r="C63" s="98" t="s">
        <v>195</v>
      </c>
      <c r="D63" s="99" t="s">
        <v>128</v>
      </c>
      <c r="E63" s="153">
        <v>8344235</v>
      </c>
      <c r="F63" s="153"/>
      <c r="G63" s="153">
        <v>3490000</v>
      </c>
      <c r="H63" s="153">
        <v>432614.80372968857</v>
      </c>
      <c r="I63" s="146">
        <v>0.75</v>
      </c>
      <c r="J63" s="153">
        <v>3195894.5497114393</v>
      </c>
      <c r="K63" s="148">
        <f t="shared" si="6"/>
        <v>0.91572909733852126</v>
      </c>
      <c r="L63" s="153">
        <f t="shared" si="7"/>
        <v>578394.54971143929</v>
      </c>
      <c r="M63" s="155">
        <f t="shared" si="8"/>
        <v>927394.54971143929</v>
      </c>
      <c r="N63" s="150">
        <v>3195894.5497114393</v>
      </c>
      <c r="O63" s="148">
        <f t="shared" si="9"/>
        <v>0.91572909733852126</v>
      </c>
      <c r="P63" s="153">
        <f t="shared" si="10"/>
        <v>578394.54971143929</v>
      </c>
      <c r="Q63" s="154">
        <f t="shared" si="11"/>
        <v>927394.54971143929</v>
      </c>
      <c r="R63" s="143"/>
    </row>
    <row r="64" spans="1:19" s="8" customFormat="1" ht="28.5" hidden="1" outlineLevel="1" x14ac:dyDescent="0.2">
      <c r="A64" s="462" t="s">
        <v>204</v>
      </c>
      <c r="B64" s="463"/>
      <c r="C64" s="463"/>
      <c r="D64" s="463"/>
      <c r="E64" s="463"/>
      <c r="F64" s="463"/>
      <c r="G64" s="463"/>
      <c r="H64" s="463"/>
      <c r="I64" s="463"/>
      <c r="J64" s="463"/>
      <c r="K64" s="463"/>
      <c r="L64" s="463"/>
      <c r="M64" s="463"/>
      <c r="N64" s="463"/>
      <c r="O64" s="463"/>
      <c r="P64" s="463"/>
      <c r="Q64" s="463"/>
      <c r="R64" s="464"/>
    </row>
    <row r="65" spans="1:19" s="8" customFormat="1" ht="93" hidden="1" outlineLevel="1" x14ac:dyDescent="0.2">
      <c r="A65" s="81">
        <v>37</v>
      </c>
      <c r="B65" s="81" t="s">
        <v>4</v>
      </c>
      <c r="C65" s="83" t="s">
        <v>48</v>
      </c>
      <c r="D65" s="84" t="s">
        <v>132</v>
      </c>
      <c r="E65" s="153">
        <v>85830850</v>
      </c>
      <c r="F65" s="153"/>
      <c r="G65" s="153">
        <v>5745006</v>
      </c>
      <c r="H65" s="153">
        <v>2015156</v>
      </c>
      <c r="I65" s="147">
        <v>0.75</v>
      </c>
      <c r="J65" s="153">
        <v>16356255.518666668</v>
      </c>
      <c r="K65" s="149">
        <f t="shared" si="6"/>
        <v>2.8470388923295586</v>
      </c>
      <c r="L65" s="153">
        <f t="shared" si="7"/>
        <v>12047501.018666668</v>
      </c>
      <c r="M65" s="155">
        <f t="shared" si="8"/>
        <v>12622001.618666667</v>
      </c>
      <c r="N65" s="150">
        <v>16400568.464666668</v>
      </c>
      <c r="O65" s="149">
        <f t="shared" si="9"/>
        <v>2.8547521908013094</v>
      </c>
      <c r="P65" s="153">
        <f t="shared" si="10"/>
        <v>12091813.964666668</v>
      </c>
      <c r="Q65" s="154">
        <f t="shared" si="11"/>
        <v>12666314.564666668</v>
      </c>
      <c r="R65" s="144"/>
    </row>
    <row r="66" spans="1:19" s="8" customFormat="1" ht="162.75" hidden="1" outlineLevel="1" x14ac:dyDescent="0.2">
      <c r="A66" s="89">
        <v>34</v>
      </c>
      <c r="B66" s="89" t="s">
        <v>4</v>
      </c>
      <c r="C66" s="124" t="s">
        <v>52</v>
      </c>
      <c r="D66" s="91" t="s">
        <v>132</v>
      </c>
      <c r="E66" s="153">
        <v>150000673</v>
      </c>
      <c r="F66" s="153"/>
      <c r="G66" s="153">
        <v>9387264</v>
      </c>
      <c r="H66" s="153">
        <v>3290568</v>
      </c>
      <c r="I66" s="92">
        <v>0.75</v>
      </c>
      <c r="J66" s="153">
        <v>4786313.7377728578</v>
      </c>
      <c r="K66" s="93">
        <f t="shared" si="6"/>
        <v>0.50987313638700882</v>
      </c>
      <c r="L66" s="153">
        <f t="shared" si="7"/>
        <v>-2254134.2622271422</v>
      </c>
      <c r="M66" s="155">
        <f t="shared" si="8"/>
        <v>-1315407.8622271428</v>
      </c>
      <c r="N66" s="150">
        <v>4780406.6463749995</v>
      </c>
      <c r="O66" s="73">
        <f t="shared" si="9"/>
        <v>0.50924386981925718</v>
      </c>
      <c r="P66" s="153">
        <f t="shared" si="10"/>
        <v>-2260041.3536250005</v>
      </c>
      <c r="Q66" s="154">
        <f t="shared" si="11"/>
        <v>-1321314.953625001</v>
      </c>
      <c r="R66" s="117" t="s">
        <v>224</v>
      </c>
    </row>
    <row r="67" spans="1:19" s="8" customFormat="1" ht="46.5" hidden="1" outlineLevel="1" x14ac:dyDescent="0.2">
      <c r="A67" s="89">
        <v>35</v>
      </c>
      <c r="B67" s="89" t="s">
        <v>4</v>
      </c>
      <c r="C67" s="127" t="s">
        <v>53</v>
      </c>
      <c r="D67" s="91" t="s">
        <v>133</v>
      </c>
      <c r="E67" s="153">
        <v>112941177</v>
      </c>
      <c r="F67" s="153"/>
      <c r="G67" s="153">
        <v>16545781</v>
      </c>
      <c r="H67" s="153">
        <v>5939202.9987374237</v>
      </c>
      <c r="I67" s="92">
        <v>0.75</v>
      </c>
      <c r="J67" s="153">
        <v>12524823.517533641</v>
      </c>
      <c r="K67" s="114">
        <f t="shared" si="6"/>
        <v>0.75697989218723738</v>
      </c>
      <c r="L67" s="153">
        <f t="shared" si="7"/>
        <v>115487.76753364131</v>
      </c>
      <c r="M67" s="155">
        <f t="shared" si="8"/>
        <v>1770065.8675336409</v>
      </c>
      <c r="N67" s="150">
        <v>12524823.517533641</v>
      </c>
      <c r="O67" s="73">
        <f t="shared" si="9"/>
        <v>0.75697989218723738</v>
      </c>
      <c r="P67" s="153">
        <f t="shared" si="10"/>
        <v>115487.76753364131</v>
      </c>
      <c r="Q67" s="154">
        <f t="shared" si="11"/>
        <v>1770065.8675336409</v>
      </c>
      <c r="R67" s="117"/>
    </row>
    <row r="68" spans="1:19" s="8" customFormat="1" ht="46.5" hidden="1" outlineLevel="1" x14ac:dyDescent="0.2">
      <c r="A68" s="96">
        <v>36</v>
      </c>
      <c r="B68" s="96" t="s">
        <v>4</v>
      </c>
      <c r="C68" s="98" t="s">
        <v>54</v>
      </c>
      <c r="D68" s="99" t="s">
        <v>133</v>
      </c>
      <c r="E68" s="153">
        <v>14725610</v>
      </c>
      <c r="F68" s="153"/>
      <c r="G68" s="153">
        <v>0</v>
      </c>
      <c r="H68" s="153">
        <v>774371.10458438157</v>
      </c>
      <c r="I68" s="146">
        <v>0.75</v>
      </c>
      <c r="J68" s="153">
        <v>2678889.5423061452</v>
      </c>
      <c r="K68" s="148" t="str">
        <f t="shared" si="6"/>
        <v>n/a</v>
      </c>
      <c r="L68" s="153">
        <f t="shared" si="7"/>
        <v>2678889.5423061452</v>
      </c>
      <c r="M68" s="155">
        <f t="shared" si="8"/>
        <v>2678889.5423061452</v>
      </c>
      <c r="N68" s="150">
        <v>2678889.5423061452</v>
      </c>
      <c r="O68" s="148" t="str">
        <f t="shared" si="9"/>
        <v>n/a</v>
      </c>
      <c r="P68" s="153">
        <f t="shared" si="10"/>
        <v>2678889.5423061452</v>
      </c>
      <c r="Q68" s="154">
        <f t="shared" si="11"/>
        <v>2678889.5423061452</v>
      </c>
      <c r="R68" s="143"/>
    </row>
    <row r="69" spans="1:19" s="8" customFormat="1" ht="28.5" x14ac:dyDescent="0.2">
      <c r="A69" s="462" t="s">
        <v>205</v>
      </c>
      <c r="B69" s="463"/>
      <c r="C69" s="463"/>
      <c r="D69" s="463"/>
      <c r="E69" s="463"/>
      <c r="F69" s="463"/>
      <c r="G69" s="463"/>
      <c r="H69" s="463"/>
      <c r="I69" s="463"/>
      <c r="J69" s="463"/>
      <c r="K69" s="463"/>
      <c r="L69" s="463"/>
      <c r="M69" s="463"/>
      <c r="N69" s="463"/>
      <c r="O69" s="463"/>
      <c r="P69" s="463"/>
      <c r="Q69" s="463"/>
      <c r="R69" s="464"/>
    </row>
    <row r="70" spans="1:19" s="8" customFormat="1" ht="93" x14ac:dyDescent="0.2">
      <c r="A70" s="81">
        <v>40</v>
      </c>
      <c r="B70" s="81" t="s">
        <v>5</v>
      </c>
      <c r="C70" s="125" t="s">
        <v>55</v>
      </c>
      <c r="D70" s="84" t="s">
        <v>129</v>
      </c>
      <c r="E70" s="153">
        <v>34044477</v>
      </c>
      <c r="F70" s="153"/>
      <c r="G70" s="153">
        <v>6056264</v>
      </c>
      <c r="H70" s="153">
        <v>2679997</v>
      </c>
      <c r="I70" s="147">
        <v>0.75</v>
      </c>
      <c r="J70" s="153">
        <v>3843786.4666241561</v>
      </c>
      <c r="K70" s="113">
        <f t="shared" si="6"/>
        <v>0.63467947675731373</v>
      </c>
      <c r="L70" s="153">
        <f t="shared" si="7"/>
        <v>-698411.53337584389</v>
      </c>
      <c r="M70" s="155">
        <f t="shared" si="8"/>
        <v>-92785.133375843987</v>
      </c>
      <c r="N70" s="150">
        <v>5199394.7899999991</v>
      </c>
      <c r="O70" s="149">
        <f t="shared" si="9"/>
        <v>0.85851521499062777</v>
      </c>
      <c r="P70" s="153">
        <f t="shared" si="10"/>
        <v>657196.78999999911</v>
      </c>
      <c r="Q70" s="154">
        <f t="shared" si="11"/>
        <v>1262823.189999999</v>
      </c>
      <c r="R70" s="144" t="s">
        <v>199</v>
      </c>
    </row>
    <row r="71" spans="1:19" s="8" customFormat="1" ht="69.75" x14ac:dyDescent="0.2">
      <c r="A71" s="89">
        <v>39</v>
      </c>
      <c r="B71" s="89" t="s">
        <v>5</v>
      </c>
      <c r="C71" s="157" t="s">
        <v>56</v>
      </c>
      <c r="D71" s="158" t="s">
        <v>134</v>
      </c>
      <c r="E71" s="159">
        <v>43390019</v>
      </c>
      <c r="F71" s="159"/>
      <c r="G71" s="159">
        <v>15186507</v>
      </c>
      <c r="H71" s="159">
        <v>2249596.9460619083</v>
      </c>
      <c r="I71" s="160">
        <v>0.75</v>
      </c>
      <c r="J71" s="159">
        <v>12753471.115398772</v>
      </c>
      <c r="K71" s="160">
        <f t="shared" si="6"/>
        <v>0.83978963137466511</v>
      </c>
      <c r="L71" s="159">
        <f t="shared" si="7"/>
        <v>1363590.8653987721</v>
      </c>
      <c r="M71" s="161">
        <f t="shared" si="8"/>
        <v>2882241.5653987713</v>
      </c>
      <c r="N71" s="162">
        <v>12753471.115398772</v>
      </c>
      <c r="O71" s="160">
        <f t="shared" si="9"/>
        <v>0.83978963137466511</v>
      </c>
      <c r="P71" s="159">
        <f t="shared" si="10"/>
        <v>1363590.8653987721</v>
      </c>
      <c r="Q71" s="163">
        <f t="shared" si="11"/>
        <v>2882241.5653987713</v>
      </c>
      <c r="R71" s="164" t="s">
        <v>229</v>
      </c>
    </row>
    <row r="72" spans="1:19" s="8" customFormat="1" ht="93" x14ac:dyDescent="0.2">
      <c r="A72" s="89">
        <v>42</v>
      </c>
      <c r="B72" s="89" t="s">
        <v>5</v>
      </c>
      <c r="C72" s="71" t="s">
        <v>61</v>
      </c>
      <c r="D72" s="91" t="s">
        <v>129</v>
      </c>
      <c r="E72" s="153">
        <v>4000000</v>
      </c>
      <c r="F72" s="153"/>
      <c r="G72" s="153">
        <v>1964706</v>
      </c>
      <c r="H72" s="153">
        <v>0</v>
      </c>
      <c r="I72" s="92">
        <v>0.75</v>
      </c>
      <c r="J72" s="153">
        <v>3038341.7759999996</v>
      </c>
      <c r="K72" s="73">
        <f t="shared" si="6"/>
        <v>1.5464612903915393</v>
      </c>
      <c r="L72" s="153">
        <f t="shared" si="7"/>
        <v>1564812.2759999996</v>
      </c>
      <c r="M72" s="155">
        <f t="shared" si="8"/>
        <v>1761282.8759999995</v>
      </c>
      <c r="N72" s="150">
        <v>3455579.3201176468</v>
      </c>
      <c r="O72" s="73">
        <f t="shared" si="9"/>
        <v>1.758827692345647</v>
      </c>
      <c r="P72" s="153">
        <f t="shared" si="10"/>
        <v>1982049.8201176468</v>
      </c>
      <c r="Q72" s="154">
        <f t="shared" si="11"/>
        <v>2178520.4201176465</v>
      </c>
      <c r="R72" s="117"/>
    </row>
    <row r="73" spans="1:19" s="8" customFormat="1" ht="69.75" x14ac:dyDescent="0.2">
      <c r="A73" s="89">
        <v>43</v>
      </c>
      <c r="B73" s="89" t="s">
        <v>5</v>
      </c>
      <c r="C73" s="157" t="s">
        <v>65</v>
      </c>
      <c r="D73" s="158" t="s">
        <v>136</v>
      </c>
      <c r="E73" s="159">
        <v>70717732.736073375</v>
      </c>
      <c r="F73" s="159"/>
      <c r="G73" s="159">
        <v>8041664.4461944811</v>
      </c>
      <c r="H73" s="159">
        <v>2146457</v>
      </c>
      <c r="I73" s="160">
        <v>0.75</v>
      </c>
      <c r="J73" s="159">
        <v>6472157.2951087113</v>
      </c>
      <c r="K73" s="160">
        <f t="shared" si="6"/>
        <v>0.80482807239880538</v>
      </c>
      <c r="L73" s="159">
        <f t="shared" si="7"/>
        <v>440908.96046285052</v>
      </c>
      <c r="M73" s="161">
        <f t="shared" si="8"/>
        <v>1245075.4050822984</v>
      </c>
      <c r="N73" s="162">
        <v>6472157.2951087113</v>
      </c>
      <c r="O73" s="160">
        <f t="shared" si="9"/>
        <v>0.80482807239880538</v>
      </c>
      <c r="P73" s="159">
        <f t="shared" si="10"/>
        <v>440908.96046285052</v>
      </c>
      <c r="Q73" s="163">
        <f t="shared" si="11"/>
        <v>1245075.4050822984</v>
      </c>
      <c r="R73" s="164" t="s">
        <v>229</v>
      </c>
      <c r="S73" s="10"/>
    </row>
    <row r="74" spans="1:19" s="8" customFormat="1" ht="46.5" x14ac:dyDescent="0.2">
      <c r="A74" s="89">
        <v>38</v>
      </c>
      <c r="B74" s="89" t="s">
        <v>5</v>
      </c>
      <c r="C74" s="157" t="s">
        <v>66</v>
      </c>
      <c r="D74" s="158" t="s">
        <v>136</v>
      </c>
      <c r="E74" s="159">
        <v>94567990</v>
      </c>
      <c r="F74" s="159"/>
      <c r="G74" s="159">
        <v>18913598</v>
      </c>
      <c r="H74" s="159">
        <v>4902967.6857516551</v>
      </c>
      <c r="I74" s="160">
        <v>0.75</v>
      </c>
      <c r="J74" s="159">
        <v>15533479.261327803</v>
      </c>
      <c r="K74" s="160">
        <f t="shared" si="6"/>
        <v>0.82128631798813756</v>
      </c>
      <c r="L74" s="159">
        <f t="shared" si="7"/>
        <v>1348280.7613278031</v>
      </c>
      <c r="M74" s="161">
        <f t="shared" si="8"/>
        <v>3239640.561327802</v>
      </c>
      <c r="N74" s="162">
        <v>15533479.261327803</v>
      </c>
      <c r="O74" s="160">
        <f t="shared" si="9"/>
        <v>0.82128631798813756</v>
      </c>
      <c r="P74" s="159">
        <f t="shared" si="10"/>
        <v>1348280.7613278031</v>
      </c>
      <c r="Q74" s="163">
        <f t="shared" si="11"/>
        <v>3239640.561327802</v>
      </c>
      <c r="R74" s="164" t="s">
        <v>229</v>
      </c>
    </row>
    <row r="75" spans="1:19" s="8" customFormat="1" ht="84.75" customHeight="1" x14ac:dyDescent="0.2">
      <c r="A75" s="89">
        <v>44</v>
      </c>
      <c r="B75" s="89" t="s">
        <v>5</v>
      </c>
      <c r="C75" s="124" t="s">
        <v>67</v>
      </c>
      <c r="D75" s="91" t="s">
        <v>129</v>
      </c>
      <c r="E75" s="153">
        <v>282004866.82961953</v>
      </c>
      <c r="F75" s="153"/>
      <c r="G75" s="153">
        <v>56868726.553805523</v>
      </c>
      <c r="H75" s="153">
        <v>14426860.076131295</v>
      </c>
      <c r="I75" s="92">
        <v>0.75</v>
      </c>
      <c r="J75" s="153">
        <v>33113230.378358386</v>
      </c>
      <c r="K75" s="93">
        <f t="shared" si="6"/>
        <v>0.58227487030202418</v>
      </c>
      <c r="L75" s="153">
        <f t="shared" si="7"/>
        <v>-9538314.5369957536</v>
      </c>
      <c r="M75" s="155">
        <f t="shared" si="8"/>
        <v>-3851441.8816152066</v>
      </c>
      <c r="N75" s="150">
        <v>46111432.174099363</v>
      </c>
      <c r="O75" s="73">
        <f t="shared" si="9"/>
        <v>0.81083989335459616</v>
      </c>
      <c r="P75" s="153">
        <f t="shared" si="10"/>
        <v>3459887.2587452233</v>
      </c>
      <c r="Q75" s="154">
        <f t="shared" si="11"/>
        <v>9146759.9141257703</v>
      </c>
      <c r="R75" s="117" t="s">
        <v>202</v>
      </c>
      <c r="S75" s="10"/>
    </row>
    <row r="76" spans="1:19" s="8" customFormat="1" ht="69.75" collapsed="1" x14ac:dyDescent="0.2">
      <c r="A76" s="96">
        <v>41</v>
      </c>
      <c r="B76" s="96" t="s">
        <v>5</v>
      </c>
      <c r="C76" s="98" t="s">
        <v>68</v>
      </c>
      <c r="D76" s="99" t="s">
        <v>129</v>
      </c>
      <c r="E76" s="153">
        <v>29257750</v>
      </c>
      <c r="F76" s="153"/>
      <c r="G76" s="153">
        <v>2926000</v>
      </c>
      <c r="H76" s="153">
        <v>0</v>
      </c>
      <c r="I76" s="146">
        <v>0.75</v>
      </c>
      <c r="J76" s="153">
        <v>8061440.5294117648</v>
      </c>
      <c r="K76" s="148">
        <f t="shared" si="6"/>
        <v>2.7551061276185114</v>
      </c>
      <c r="L76" s="153">
        <f t="shared" si="7"/>
        <v>5866940.5294117648</v>
      </c>
      <c r="M76" s="155">
        <f t="shared" si="8"/>
        <v>6159540.5294117648</v>
      </c>
      <c r="N76" s="150">
        <v>8061440.5294117648</v>
      </c>
      <c r="O76" s="148">
        <f t="shared" si="9"/>
        <v>2.7551061276185114</v>
      </c>
      <c r="P76" s="153">
        <f t="shared" si="10"/>
        <v>5866940.5294117648</v>
      </c>
      <c r="Q76" s="154">
        <f t="shared" si="11"/>
        <v>6159540.5294117648</v>
      </c>
      <c r="R76" s="143"/>
    </row>
    <row r="77" spans="1:19" s="8" customFormat="1" ht="28.5" hidden="1" outlineLevel="1" x14ac:dyDescent="0.2">
      <c r="A77" s="462" t="s">
        <v>206</v>
      </c>
      <c r="B77" s="463"/>
      <c r="C77" s="463"/>
      <c r="D77" s="463"/>
      <c r="E77" s="463"/>
      <c r="F77" s="463"/>
      <c r="G77" s="463"/>
      <c r="H77" s="463"/>
      <c r="I77" s="463"/>
      <c r="J77" s="463"/>
      <c r="K77" s="463"/>
      <c r="L77" s="463"/>
      <c r="M77" s="463"/>
      <c r="N77" s="463"/>
      <c r="O77" s="463"/>
      <c r="P77" s="463"/>
      <c r="Q77" s="463"/>
      <c r="R77" s="464"/>
    </row>
    <row r="78" spans="1:19" s="8" customFormat="1" ht="69.75" hidden="1" outlineLevel="1" x14ac:dyDescent="0.2">
      <c r="A78" s="81">
        <v>49</v>
      </c>
      <c r="B78" s="81" t="s">
        <v>5</v>
      </c>
      <c r="C78" s="83" t="s">
        <v>57</v>
      </c>
      <c r="D78" s="84" t="s">
        <v>135</v>
      </c>
      <c r="E78" s="153">
        <v>423470</v>
      </c>
      <c r="F78" s="153"/>
      <c r="G78" s="153">
        <v>0</v>
      </c>
      <c r="H78" s="153">
        <v>338911.19150268601</v>
      </c>
      <c r="I78" s="147">
        <v>0.85</v>
      </c>
      <c r="J78" s="153">
        <v>329019.75609756092</v>
      </c>
      <c r="K78" s="149" t="str">
        <f t="shared" si="6"/>
        <v>n/a</v>
      </c>
      <c r="L78" s="153">
        <f t="shared" si="7"/>
        <v>329019.75609756092</v>
      </c>
      <c r="M78" s="155">
        <f t="shared" si="8"/>
        <v>329019.75609756092</v>
      </c>
      <c r="N78" s="150">
        <v>329019.75609756092</v>
      </c>
      <c r="O78" s="149" t="str">
        <f t="shared" si="9"/>
        <v>n/a</v>
      </c>
      <c r="P78" s="153">
        <f t="shared" si="10"/>
        <v>329019.75609756092</v>
      </c>
      <c r="Q78" s="154">
        <f t="shared" si="11"/>
        <v>329019.75609756092</v>
      </c>
      <c r="R78" s="144"/>
    </row>
    <row r="79" spans="1:19" s="27" customFormat="1" ht="69.75" hidden="1" outlineLevel="1" x14ac:dyDescent="0.2">
      <c r="A79" s="89">
        <v>46</v>
      </c>
      <c r="B79" s="89" t="s">
        <v>5</v>
      </c>
      <c r="C79" s="124" t="s">
        <v>58</v>
      </c>
      <c r="D79" s="91" t="s">
        <v>135</v>
      </c>
      <c r="E79" s="153">
        <v>54484011</v>
      </c>
      <c r="F79" s="153"/>
      <c r="G79" s="153">
        <v>4863794</v>
      </c>
      <c r="H79" s="153">
        <v>1642779</v>
      </c>
      <c r="I79" s="92">
        <v>0.85</v>
      </c>
      <c r="J79" s="153">
        <v>694431.70245207334</v>
      </c>
      <c r="K79" s="93">
        <f t="shared" si="6"/>
        <v>0.14277572250224277</v>
      </c>
      <c r="L79" s="153">
        <f t="shared" si="7"/>
        <v>-3439793.1975479266</v>
      </c>
      <c r="M79" s="155">
        <f t="shared" si="8"/>
        <v>-2467034.3975479268</v>
      </c>
      <c r="N79" s="150">
        <v>2704822.6897758869</v>
      </c>
      <c r="O79" s="73">
        <f t="shared" si="9"/>
        <v>0.55611374366921928</v>
      </c>
      <c r="P79" s="153">
        <f t="shared" si="10"/>
        <v>-1429402.210224113</v>
      </c>
      <c r="Q79" s="154">
        <f t="shared" si="11"/>
        <v>-456643.41022411315</v>
      </c>
      <c r="R79" s="117" t="s">
        <v>200</v>
      </c>
      <c r="S79" s="33"/>
    </row>
    <row r="80" spans="1:19" s="8" customFormat="1" ht="69.75" hidden="1" outlineLevel="1" x14ac:dyDescent="0.2">
      <c r="A80" s="89">
        <v>47</v>
      </c>
      <c r="B80" s="89" t="s">
        <v>5</v>
      </c>
      <c r="C80" s="71" t="s">
        <v>59</v>
      </c>
      <c r="D80" s="91" t="s">
        <v>135</v>
      </c>
      <c r="E80" s="153">
        <v>10804999</v>
      </c>
      <c r="F80" s="153"/>
      <c r="G80" s="153">
        <v>0</v>
      </c>
      <c r="H80" s="153">
        <v>0</v>
      </c>
      <c r="I80" s="92">
        <v>0.85</v>
      </c>
      <c r="J80" s="153">
        <v>0</v>
      </c>
      <c r="K80" s="73" t="str">
        <f t="shared" si="6"/>
        <v>n/a</v>
      </c>
      <c r="L80" s="153">
        <f t="shared" si="7"/>
        <v>0</v>
      </c>
      <c r="M80" s="155">
        <f t="shared" si="8"/>
        <v>0</v>
      </c>
      <c r="N80" s="150">
        <v>0</v>
      </c>
      <c r="O80" s="73" t="str">
        <f t="shared" si="9"/>
        <v>n/a</v>
      </c>
      <c r="P80" s="153">
        <f t="shared" si="10"/>
        <v>0</v>
      </c>
      <c r="Q80" s="154">
        <f t="shared" si="11"/>
        <v>0</v>
      </c>
      <c r="R80" s="117"/>
    </row>
    <row r="81" spans="1:18" s="8" customFormat="1" ht="69.75" hidden="1" outlineLevel="1" x14ac:dyDescent="0.2">
      <c r="A81" s="89">
        <v>45</v>
      </c>
      <c r="B81" s="89" t="s">
        <v>5</v>
      </c>
      <c r="C81" s="124" t="s">
        <v>60</v>
      </c>
      <c r="D81" s="91" t="s">
        <v>135</v>
      </c>
      <c r="E81" s="153">
        <v>139698189</v>
      </c>
      <c r="F81" s="153"/>
      <c r="G81" s="153">
        <v>37227701</v>
      </c>
      <c r="H81" s="153">
        <v>0</v>
      </c>
      <c r="I81" s="92">
        <v>0.85</v>
      </c>
      <c r="J81" s="153">
        <v>20194348.517350201</v>
      </c>
      <c r="K81" s="93">
        <f t="shared" si="6"/>
        <v>0.54245489178475459</v>
      </c>
      <c r="L81" s="153">
        <f t="shared" si="7"/>
        <v>-11449197.332649797</v>
      </c>
      <c r="M81" s="155">
        <f t="shared" si="8"/>
        <v>-4003657.1326498017</v>
      </c>
      <c r="N81" s="150">
        <v>33735045.214275628</v>
      </c>
      <c r="O81" s="73">
        <f t="shared" si="9"/>
        <v>0.90618126578043667</v>
      </c>
      <c r="P81" s="153">
        <f t="shared" si="10"/>
        <v>2091499.3642756306</v>
      </c>
      <c r="Q81" s="154">
        <f t="shared" si="11"/>
        <v>9537039.5642756261</v>
      </c>
      <c r="R81" s="117" t="s">
        <v>201</v>
      </c>
    </row>
    <row r="82" spans="1:18" s="8" customFormat="1" ht="69.75" hidden="1" outlineLevel="1" x14ac:dyDescent="0.2">
      <c r="A82" s="89">
        <v>50</v>
      </c>
      <c r="B82" s="89" t="s">
        <v>5</v>
      </c>
      <c r="C82" s="71" t="s">
        <v>62</v>
      </c>
      <c r="D82" s="91" t="s">
        <v>135</v>
      </c>
      <c r="E82" s="153">
        <v>9500000</v>
      </c>
      <c r="F82" s="153"/>
      <c r="G82" s="153">
        <v>2422500</v>
      </c>
      <c r="H82" s="153">
        <v>0</v>
      </c>
      <c r="I82" s="92">
        <v>0.85</v>
      </c>
      <c r="J82" s="153">
        <v>3641944.8588235294</v>
      </c>
      <c r="K82" s="73">
        <f t="shared" si="6"/>
        <v>1.5033828106598677</v>
      </c>
      <c r="L82" s="153">
        <f t="shared" si="7"/>
        <v>1582819.8588235294</v>
      </c>
      <c r="M82" s="155">
        <f t="shared" si="8"/>
        <v>2067319.8588235294</v>
      </c>
      <c r="N82" s="150">
        <v>4131688.5294117648</v>
      </c>
      <c r="O82" s="73">
        <f t="shared" si="9"/>
        <v>1.705547380562132</v>
      </c>
      <c r="P82" s="153">
        <f t="shared" si="10"/>
        <v>2072563.5294117648</v>
      </c>
      <c r="Q82" s="154">
        <f t="shared" si="11"/>
        <v>2557063.5294117648</v>
      </c>
      <c r="R82" s="117"/>
    </row>
    <row r="83" spans="1:18" s="8" customFormat="1" ht="69.75" hidden="1" outlineLevel="1" x14ac:dyDescent="0.2">
      <c r="A83" s="89">
        <v>51</v>
      </c>
      <c r="B83" s="89" t="s">
        <v>5</v>
      </c>
      <c r="C83" s="71" t="s">
        <v>63</v>
      </c>
      <c r="D83" s="91" t="s">
        <v>135</v>
      </c>
      <c r="E83" s="153">
        <v>16643483</v>
      </c>
      <c r="F83" s="153"/>
      <c r="G83" s="153">
        <v>1499033</v>
      </c>
      <c r="H83" s="153">
        <v>2289729</v>
      </c>
      <c r="I83" s="92">
        <v>0.85</v>
      </c>
      <c r="J83" s="153">
        <v>3461503.1757514379</v>
      </c>
      <c r="K83" s="73">
        <f t="shared" si="6"/>
        <v>2.3091574206514718</v>
      </c>
      <c r="L83" s="153">
        <f t="shared" si="7"/>
        <v>2187325.1257514376</v>
      </c>
      <c r="M83" s="155">
        <f t="shared" si="8"/>
        <v>2487131.7257514377</v>
      </c>
      <c r="N83" s="150">
        <v>5185508.5382352956</v>
      </c>
      <c r="O83" s="73">
        <f t="shared" si="9"/>
        <v>3.4592357461345387</v>
      </c>
      <c r="P83" s="153">
        <f t="shared" si="10"/>
        <v>3911330.4882352958</v>
      </c>
      <c r="Q83" s="154">
        <f t="shared" si="11"/>
        <v>4211137.0882352954</v>
      </c>
      <c r="R83" s="117"/>
    </row>
    <row r="84" spans="1:18" s="8" customFormat="1" ht="69.75" hidden="1" outlineLevel="1" collapsed="1" x14ac:dyDescent="0.2">
      <c r="A84" s="96">
        <v>48</v>
      </c>
      <c r="B84" s="96" t="s">
        <v>5</v>
      </c>
      <c r="C84" s="98" t="s">
        <v>64</v>
      </c>
      <c r="D84" s="99" t="s">
        <v>135</v>
      </c>
      <c r="E84" s="153">
        <v>9212619</v>
      </c>
      <c r="F84" s="153"/>
      <c r="G84" s="153">
        <v>0</v>
      </c>
      <c r="H84" s="153">
        <v>7830726</v>
      </c>
      <c r="I84" s="146">
        <v>0.85</v>
      </c>
      <c r="J84" s="153">
        <v>0</v>
      </c>
      <c r="K84" s="148" t="str">
        <f t="shared" si="6"/>
        <v>n/a</v>
      </c>
      <c r="L84" s="153">
        <f t="shared" si="7"/>
        <v>0</v>
      </c>
      <c r="M84" s="155">
        <f t="shared" si="8"/>
        <v>0</v>
      </c>
      <c r="N84" s="150">
        <v>0</v>
      </c>
      <c r="O84" s="148" t="str">
        <f t="shared" si="9"/>
        <v>n/a</v>
      </c>
      <c r="P84" s="153">
        <f t="shared" si="10"/>
        <v>0</v>
      </c>
      <c r="Q84" s="154">
        <f t="shared" si="11"/>
        <v>0</v>
      </c>
      <c r="R84" s="143"/>
    </row>
    <row r="85" spans="1:18" s="8" customFormat="1" ht="28.5" hidden="1" outlineLevel="1" x14ac:dyDescent="0.2">
      <c r="A85" s="462" t="s">
        <v>207</v>
      </c>
      <c r="B85" s="463"/>
      <c r="C85" s="463"/>
      <c r="D85" s="463"/>
      <c r="E85" s="463"/>
      <c r="F85" s="463"/>
      <c r="G85" s="463"/>
      <c r="H85" s="463"/>
      <c r="I85" s="463"/>
      <c r="J85" s="463"/>
      <c r="K85" s="463"/>
      <c r="L85" s="463"/>
      <c r="M85" s="463"/>
      <c r="N85" s="463"/>
      <c r="O85" s="463"/>
      <c r="P85" s="463"/>
      <c r="Q85" s="463"/>
      <c r="R85" s="464"/>
    </row>
    <row r="86" spans="1:18" s="8" customFormat="1" ht="46.5" hidden="1" outlineLevel="1" x14ac:dyDescent="0.2">
      <c r="A86" s="105">
        <v>52</v>
      </c>
      <c r="B86" s="105" t="s">
        <v>7</v>
      </c>
      <c r="C86" s="106" t="s">
        <v>78</v>
      </c>
      <c r="D86" s="107" t="s">
        <v>128</v>
      </c>
      <c r="E86" s="153">
        <v>277032428</v>
      </c>
      <c r="F86" s="108"/>
      <c r="G86" s="153">
        <v>72852630</v>
      </c>
      <c r="H86" s="153">
        <v>14363011</v>
      </c>
      <c r="I86" s="151">
        <v>0.75</v>
      </c>
      <c r="J86" s="153">
        <v>178628249.03039232</v>
      </c>
      <c r="K86" s="152">
        <f t="shared" si="6"/>
        <v>2.4519121551327978</v>
      </c>
      <c r="L86" s="153">
        <f t="shared" si="7"/>
        <v>123988776.53039232</v>
      </c>
      <c r="M86" s="155">
        <f t="shared" si="8"/>
        <v>131274039.53039232</v>
      </c>
      <c r="N86" s="150">
        <v>178628249.03039232</v>
      </c>
      <c r="O86" s="152">
        <f t="shared" si="9"/>
        <v>2.4519121551327978</v>
      </c>
      <c r="P86" s="153">
        <f t="shared" si="10"/>
        <v>123988776.53039232</v>
      </c>
      <c r="Q86" s="154">
        <f t="shared" si="11"/>
        <v>131274039.53039232</v>
      </c>
      <c r="R86" s="145"/>
    </row>
    <row r="87" spans="1:18" s="8" customFormat="1" ht="28.5" hidden="1" outlineLevel="1" x14ac:dyDescent="0.2">
      <c r="A87" s="462" t="s">
        <v>208</v>
      </c>
      <c r="B87" s="463"/>
      <c r="C87" s="463"/>
      <c r="D87" s="463"/>
      <c r="E87" s="463"/>
      <c r="F87" s="463"/>
      <c r="G87" s="463"/>
      <c r="H87" s="463"/>
      <c r="I87" s="463"/>
      <c r="J87" s="463"/>
      <c r="K87" s="463"/>
      <c r="L87" s="463"/>
      <c r="M87" s="463"/>
      <c r="N87" s="463"/>
      <c r="O87" s="463"/>
      <c r="P87" s="463"/>
      <c r="Q87" s="463"/>
      <c r="R87" s="464"/>
    </row>
    <row r="88" spans="1:18" s="8" customFormat="1" ht="46.5" hidden="1" outlineLevel="1" x14ac:dyDescent="0.2">
      <c r="A88" s="81">
        <v>55</v>
      </c>
      <c r="B88" s="81" t="s">
        <v>7</v>
      </c>
      <c r="C88" s="83" t="s">
        <v>69</v>
      </c>
      <c r="D88" s="84" t="s">
        <v>133</v>
      </c>
      <c r="E88" s="153">
        <v>105073678</v>
      </c>
      <c r="F88" s="108"/>
      <c r="G88" s="153">
        <v>33802200</v>
      </c>
      <c r="H88" s="153">
        <v>5525477.0040577287</v>
      </c>
      <c r="I88" s="147">
        <v>0.75</v>
      </c>
      <c r="J88" s="153">
        <v>36110052.568545118</v>
      </c>
      <c r="K88" s="149">
        <f t="shared" si="6"/>
        <v>1.0682752178421853</v>
      </c>
      <c r="L88" s="153">
        <f t="shared" si="7"/>
        <v>10758402.568545118</v>
      </c>
      <c r="M88" s="155">
        <f t="shared" si="8"/>
        <v>14138622.568545118</v>
      </c>
      <c r="N88" s="150">
        <v>36110052.568545118</v>
      </c>
      <c r="O88" s="149">
        <f t="shared" si="9"/>
        <v>1.0682752178421853</v>
      </c>
      <c r="P88" s="153">
        <f t="shared" si="10"/>
        <v>10758402.568545118</v>
      </c>
      <c r="Q88" s="154">
        <f t="shared" si="11"/>
        <v>14138622.568545118</v>
      </c>
      <c r="R88" s="144"/>
    </row>
    <row r="89" spans="1:18" s="8" customFormat="1" ht="69.75" hidden="1" outlineLevel="1" x14ac:dyDescent="0.2">
      <c r="A89" s="89">
        <v>58</v>
      </c>
      <c r="B89" s="89" t="s">
        <v>7</v>
      </c>
      <c r="C89" s="124" t="s">
        <v>70</v>
      </c>
      <c r="D89" s="91" t="s">
        <v>133</v>
      </c>
      <c r="E89" s="153">
        <v>23049010</v>
      </c>
      <c r="F89" s="108"/>
      <c r="G89" s="153">
        <v>2000000</v>
      </c>
      <c r="H89" s="153">
        <v>710524.46285737387</v>
      </c>
      <c r="I89" s="92">
        <v>0.75</v>
      </c>
      <c r="J89" s="153">
        <v>783218.71645782038</v>
      </c>
      <c r="K89" s="93">
        <f t="shared" si="6"/>
        <v>0.39160935822891019</v>
      </c>
      <c r="L89" s="153">
        <f t="shared" si="7"/>
        <v>-716781.28354217962</v>
      </c>
      <c r="M89" s="155">
        <f t="shared" si="8"/>
        <v>-516781.28354217962</v>
      </c>
      <c r="N89" s="150">
        <v>783218.71645782038</v>
      </c>
      <c r="O89" s="73">
        <f t="shared" si="9"/>
        <v>0.39160935822891019</v>
      </c>
      <c r="P89" s="153">
        <f t="shared" si="10"/>
        <v>-716781.28354217962</v>
      </c>
      <c r="Q89" s="154">
        <f t="shared" si="11"/>
        <v>-516781.28354217962</v>
      </c>
      <c r="R89" s="117"/>
    </row>
    <row r="90" spans="1:18" s="8" customFormat="1" ht="69.75" hidden="1" outlineLevel="1" x14ac:dyDescent="0.2">
      <c r="A90" s="89">
        <v>56</v>
      </c>
      <c r="B90" s="89" t="s">
        <v>7</v>
      </c>
      <c r="C90" s="124" t="s">
        <v>71</v>
      </c>
      <c r="D90" s="91" t="s">
        <v>133</v>
      </c>
      <c r="E90" s="153">
        <v>88364076</v>
      </c>
      <c r="F90" s="108"/>
      <c r="G90" s="153">
        <v>24085192</v>
      </c>
      <c r="H90" s="153">
        <v>4646774.3627410103</v>
      </c>
      <c r="I90" s="92">
        <v>0.75</v>
      </c>
      <c r="J90" s="153">
        <v>13091305.648107221</v>
      </c>
      <c r="K90" s="93">
        <f t="shared" si="6"/>
        <v>0.54354167689870281</v>
      </c>
      <c r="L90" s="153">
        <f t="shared" si="7"/>
        <v>-4972588.3518927786</v>
      </c>
      <c r="M90" s="155">
        <f t="shared" si="8"/>
        <v>-2564069.1518927794</v>
      </c>
      <c r="N90" s="150">
        <v>13091305.648107221</v>
      </c>
      <c r="O90" s="73">
        <f t="shared" si="9"/>
        <v>0.54354167689870281</v>
      </c>
      <c r="P90" s="153">
        <f t="shared" si="10"/>
        <v>-4972588.3518927786</v>
      </c>
      <c r="Q90" s="154">
        <f t="shared" si="11"/>
        <v>-2564069.1518927794</v>
      </c>
      <c r="R90" s="117"/>
    </row>
    <row r="91" spans="1:18" s="8" customFormat="1" ht="69.75" hidden="1" outlineLevel="1" x14ac:dyDescent="0.2">
      <c r="A91" s="89">
        <v>59</v>
      </c>
      <c r="B91" s="89" t="s">
        <v>7</v>
      </c>
      <c r="C91" s="71" t="s">
        <v>72</v>
      </c>
      <c r="D91" s="91" t="s">
        <v>133</v>
      </c>
      <c r="E91" s="153">
        <v>8345106</v>
      </c>
      <c r="F91" s="108"/>
      <c r="G91" s="153">
        <v>0</v>
      </c>
      <c r="H91" s="153">
        <v>438842</v>
      </c>
      <c r="I91" s="92">
        <v>0.75</v>
      </c>
      <c r="J91" s="153">
        <v>0</v>
      </c>
      <c r="K91" s="73" t="str">
        <f t="shared" si="6"/>
        <v>n/a</v>
      </c>
      <c r="L91" s="153">
        <f t="shared" si="7"/>
        <v>0</v>
      </c>
      <c r="M91" s="155">
        <f t="shared" si="8"/>
        <v>0</v>
      </c>
      <c r="N91" s="150">
        <v>0</v>
      </c>
      <c r="O91" s="73" t="str">
        <f t="shared" si="9"/>
        <v>n/a</v>
      </c>
      <c r="P91" s="153">
        <f t="shared" si="10"/>
        <v>0</v>
      </c>
      <c r="Q91" s="154">
        <f t="shared" si="11"/>
        <v>0</v>
      </c>
      <c r="R91" s="117"/>
    </row>
    <row r="92" spans="1:18" s="8" customFormat="1" ht="93" hidden="1" outlineLevel="1" x14ac:dyDescent="0.2">
      <c r="A92" s="89">
        <v>57</v>
      </c>
      <c r="B92" s="89" t="s">
        <v>7</v>
      </c>
      <c r="C92" s="124" t="s">
        <v>73</v>
      </c>
      <c r="D92" s="91" t="s">
        <v>133</v>
      </c>
      <c r="E92" s="153">
        <v>28235294</v>
      </c>
      <c r="F92" s="108"/>
      <c r="G92" s="153">
        <v>5170932</v>
      </c>
      <c r="H92" s="153">
        <v>1484802.3639075528</v>
      </c>
      <c r="I92" s="92">
        <v>0.75</v>
      </c>
      <c r="J92" s="153">
        <v>0</v>
      </c>
      <c r="K92" s="93">
        <f t="shared" ref="K92:K155" si="12">IFERROR(J92/G92,"n/a")</f>
        <v>0</v>
      </c>
      <c r="L92" s="153">
        <f t="shared" ref="L92:L155" si="13">IFERROR(J92-(G92*I92),"n/a")</f>
        <v>-3878199</v>
      </c>
      <c r="M92" s="155">
        <f t="shared" ref="M92:M155" si="14">IFERROR(J92-(G92*0.65),"n/a")</f>
        <v>-3361105.8000000003</v>
      </c>
      <c r="N92" s="150">
        <v>0</v>
      </c>
      <c r="O92" s="73">
        <f t="shared" ref="O92:O155" si="15">IFERROR(N92/G92,"n/a")</f>
        <v>0</v>
      </c>
      <c r="P92" s="153">
        <f t="shared" ref="P92:P155" si="16">N92-(G92*I92)</f>
        <v>-3878199</v>
      </c>
      <c r="Q92" s="154">
        <f t="shared" ref="Q92:Q155" si="17">N92-(G92*0.65)</f>
        <v>-3361105.8000000003</v>
      </c>
      <c r="R92" s="117"/>
    </row>
    <row r="93" spans="1:18" s="8" customFormat="1" ht="69.75" hidden="1" outlineLevel="1" x14ac:dyDescent="0.2">
      <c r="A93" s="89">
        <v>60</v>
      </c>
      <c r="B93" s="89" t="s">
        <v>7</v>
      </c>
      <c r="C93" s="71" t="s">
        <v>74</v>
      </c>
      <c r="D93" s="91" t="s">
        <v>133</v>
      </c>
      <c r="E93" s="153">
        <v>51570514</v>
      </c>
      <c r="F93" s="108"/>
      <c r="G93" s="153">
        <v>6554146</v>
      </c>
      <c r="H93" s="153">
        <v>2778862.1693609911</v>
      </c>
      <c r="I93" s="92">
        <v>0.75</v>
      </c>
      <c r="J93" s="153">
        <v>11022281.462211628</v>
      </c>
      <c r="K93" s="73">
        <f t="shared" si="12"/>
        <v>1.6817265685280169</v>
      </c>
      <c r="L93" s="153">
        <f t="shared" si="13"/>
        <v>6106671.9622116275</v>
      </c>
      <c r="M93" s="155">
        <f t="shared" si="14"/>
        <v>6762086.5622116271</v>
      </c>
      <c r="N93" s="150">
        <v>11022281.462211628</v>
      </c>
      <c r="O93" s="73">
        <f t="shared" si="15"/>
        <v>1.6817265685280169</v>
      </c>
      <c r="P93" s="153">
        <f t="shared" si="16"/>
        <v>6106671.9622116275</v>
      </c>
      <c r="Q93" s="154">
        <f t="shared" si="17"/>
        <v>6762086.5622116271</v>
      </c>
      <c r="R93" s="117"/>
    </row>
    <row r="94" spans="1:18" s="8" customFormat="1" ht="46.5" hidden="1" outlineLevel="1" x14ac:dyDescent="0.2">
      <c r="A94" s="89">
        <v>61</v>
      </c>
      <c r="B94" s="89" t="s">
        <v>7</v>
      </c>
      <c r="C94" s="71" t="s">
        <v>75</v>
      </c>
      <c r="D94" s="91" t="s">
        <v>133</v>
      </c>
      <c r="E94" s="153">
        <v>256999769</v>
      </c>
      <c r="F94" s="108"/>
      <c r="G94" s="153">
        <v>197688520</v>
      </c>
      <c r="H94" s="153">
        <v>13514767.514866358</v>
      </c>
      <c r="I94" s="92">
        <v>0.75</v>
      </c>
      <c r="J94" s="153">
        <v>211350105.4524042</v>
      </c>
      <c r="K94" s="73">
        <f t="shared" si="12"/>
        <v>1.0691066201133186</v>
      </c>
      <c r="L94" s="153">
        <f t="shared" si="13"/>
        <v>63083715.452404201</v>
      </c>
      <c r="M94" s="155">
        <f t="shared" si="14"/>
        <v>82852567.452404201</v>
      </c>
      <c r="N94" s="150">
        <v>211350105.4524042</v>
      </c>
      <c r="O94" s="73">
        <f t="shared" si="15"/>
        <v>1.0691066201133186</v>
      </c>
      <c r="P94" s="153">
        <f t="shared" si="16"/>
        <v>63083715.452404201</v>
      </c>
      <c r="Q94" s="154">
        <f t="shared" si="17"/>
        <v>82852567.452404201</v>
      </c>
      <c r="R94" s="117"/>
    </row>
    <row r="95" spans="1:18" s="8" customFormat="1" ht="46.5" hidden="1" outlineLevel="1" x14ac:dyDescent="0.2">
      <c r="A95" s="89">
        <v>53</v>
      </c>
      <c r="B95" s="89" t="s">
        <v>7</v>
      </c>
      <c r="C95" s="71" t="s">
        <v>76</v>
      </c>
      <c r="D95" s="91" t="s">
        <v>133</v>
      </c>
      <c r="E95" s="153">
        <v>407810998</v>
      </c>
      <c r="F95" s="108"/>
      <c r="G95" s="153">
        <v>0</v>
      </c>
      <c r="H95" s="153">
        <v>28082986</v>
      </c>
      <c r="I95" s="92">
        <v>0.75</v>
      </c>
      <c r="J95" s="153">
        <v>0</v>
      </c>
      <c r="K95" s="73" t="str">
        <f t="shared" si="12"/>
        <v>n/a</v>
      </c>
      <c r="L95" s="153">
        <f t="shared" si="13"/>
        <v>0</v>
      </c>
      <c r="M95" s="155">
        <f t="shared" si="14"/>
        <v>0</v>
      </c>
      <c r="N95" s="150">
        <v>0</v>
      </c>
      <c r="O95" s="73" t="str">
        <f t="shared" si="15"/>
        <v>n/a</v>
      </c>
      <c r="P95" s="153">
        <f t="shared" si="16"/>
        <v>0</v>
      </c>
      <c r="Q95" s="154">
        <f t="shared" si="17"/>
        <v>0</v>
      </c>
      <c r="R95" s="117"/>
    </row>
    <row r="96" spans="1:18" s="8" customFormat="1" ht="46.5" hidden="1" outlineLevel="1" x14ac:dyDescent="0.2">
      <c r="A96" s="96">
        <v>54</v>
      </c>
      <c r="B96" s="96" t="s">
        <v>7</v>
      </c>
      <c r="C96" s="98" t="s">
        <v>77</v>
      </c>
      <c r="D96" s="99" t="s">
        <v>133</v>
      </c>
      <c r="E96" s="153">
        <v>126221198</v>
      </c>
      <c r="F96" s="108"/>
      <c r="G96" s="153">
        <v>36847633</v>
      </c>
      <c r="H96" s="153">
        <v>0</v>
      </c>
      <c r="I96" s="146">
        <v>0.75</v>
      </c>
      <c r="J96" s="153">
        <v>0</v>
      </c>
      <c r="K96" s="148">
        <f t="shared" si="12"/>
        <v>0</v>
      </c>
      <c r="L96" s="153">
        <f t="shared" si="13"/>
        <v>-27635724.75</v>
      </c>
      <c r="M96" s="155">
        <f t="shared" si="14"/>
        <v>-23950961.449999999</v>
      </c>
      <c r="N96" s="150">
        <v>0</v>
      </c>
      <c r="O96" s="148">
        <f t="shared" si="15"/>
        <v>0</v>
      </c>
      <c r="P96" s="153">
        <f t="shared" si="16"/>
        <v>-27635724.75</v>
      </c>
      <c r="Q96" s="154">
        <f t="shared" si="17"/>
        <v>-23950961.449999999</v>
      </c>
      <c r="R96" s="143"/>
    </row>
    <row r="97" spans="1:19" s="8" customFormat="1" ht="28.5" hidden="1" outlineLevel="1" x14ac:dyDescent="0.2">
      <c r="A97" s="462" t="s">
        <v>209</v>
      </c>
      <c r="B97" s="463"/>
      <c r="C97" s="463"/>
      <c r="D97" s="463"/>
      <c r="E97" s="463"/>
      <c r="F97" s="463"/>
      <c r="G97" s="463"/>
      <c r="H97" s="463"/>
      <c r="I97" s="463"/>
      <c r="J97" s="463"/>
      <c r="K97" s="463"/>
      <c r="L97" s="463"/>
      <c r="M97" s="463"/>
      <c r="N97" s="463"/>
      <c r="O97" s="463"/>
      <c r="P97" s="463"/>
      <c r="Q97" s="463"/>
      <c r="R97" s="464"/>
    </row>
    <row r="98" spans="1:19" s="8" customFormat="1" ht="69.75" hidden="1" outlineLevel="1" x14ac:dyDescent="0.35">
      <c r="A98" s="81">
        <v>69</v>
      </c>
      <c r="B98" s="81" t="s">
        <v>8</v>
      </c>
      <c r="C98" s="83" t="s">
        <v>79</v>
      </c>
      <c r="D98" s="84" t="s">
        <v>137</v>
      </c>
      <c r="E98" s="153">
        <v>96428049</v>
      </c>
      <c r="F98" s="108"/>
      <c r="G98" s="153">
        <v>35925577.217863351</v>
      </c>
      <c r="H98" s="153">
        <v>4203913</v>
      </c>
      <c r="I98" s="147">
        <v>0.85</v>
      </c>
      <c r="J98" s="153">
        <v>48280572.688763045</v>
      </c>
      <c r="K98" s="149">
        <f t="shared" si="12"/>
        <v>1.3439052738380608</v>
      </c>
      <c r="L98" s="153">
        <f t="shared" si="13"/>
        <v>17743832.053579196</v>
      </c>
      <c r="M98" s="155">
        <f t="shared" si="14"/>
        <v>24928947.497151867</v>
      </c>
      <c r="N98" s="150">
        <v>48280572.688763045</v>
      </c>
      <c r="O98" s="149">
        <f t="shared" si="15"/>
        <v>1.3439052738380608</v>
      </c>
      <c r="P98" s="153">
        <f t="shared" si="16"/>
        <v>17743832.053579196</v>
      </c>
      <c r="Q98" s="154">
        <f t="shared" si="17"/>
        <v>24928947.497151867</v>
      </c>
      <c r="R98" s="144"/>
      <c r="S98" s="34"/>
    </row>
    <row r="99" spans="1:19" s="8" customFormat="1" ht="46.5" hidden="1" outlineLevel="1" x14ac:dyDescent="0.35">
      <c r="A99" s="89">
        <v>67</v>
      </c>
      <c r="B99" s="89" t="s">
        <v>8</v>
      </c>
      <c r="C99" s="71" t="s">
        <v>80</v>
      </c>
      <c r="D99" s="91" t="s">
        <v>137</v>
      </c>
      <c r="E99" s="153">
        <v>591250</v>
      </c>
      <c r="F99" s="108"/>
      <c r="G99" s="153">
        <v>239911.32122226211</v>
      </c>
      <c r="H99" s="153">
        <v>0</v>
      </c>
      <c r="I99" s="92">
        <v>0.85</v>
      </c>
      <c r="J99" s="153">
        <v>314536.37175612157</v>
      </c>
      <c r="K99" s="73">
        <f t="shared" si="12"/>
        <v>1.3110526429251925</v>
      </c>
      <c r="L99" s="153">
        <f t="shared" si="13"/>
        <v>110611.74871719879</v>
      </c>
      <c r="M99" s="155">
        <f t="shared" si="14"/>
        <v>158594.0129616512</v>
      </c>
      <c r="N99" s="150">
        <v>314536.37175612157</v>
      </c>
      <c r="O99" s="73">
        <f t="shared" si="15"/>
        <v>1.3110526429251925</v>
      </c>
      <c r="P99" s="153">
        <f t="shared" si="16"/>
        <v>110611.74871719879</v>
      </c>
      <c r="Q99" s="154">
        <f t="shared" si="17"/>
        <v>158594.0129616512</v>
      </c>
      <c r="R99" s="117"/>
      <c r="S99" s="34"/>
    </row>
    <row r="100" spans="1:19" s="8" customFormat="1" ht="93" hidden="1" outlineLevel="1" x14ac:dyDescent="0.35">
      <c r="A100" s="89">
        <v>68</v>
      </c>
      <c r="B100" s="89" t="s">
        <v>8</v>
      </c>
      <c r="C100" s="71" t="s">
        <v>81</v>
      </c>
      <c r="D100" s="91" t="s">
        <v>137</v>
      </c>
      <c r="E100" s="153">
        <v>1400770</v>
      </c>
      <c r="F100" s="108"/>
      <c r="G100" s="153">
        <v>605638.94254677766</v>
      </c>
      <c r="H100" s="153">
        <v>0</v>
      </c>
      <c r="I100" s="92">
        <v>0.85</v>
      </c>
      <c r="J100" s="153">
        <v>958596.65627322765</v>
      </c>
      <c r="K100" s="73">
        <f t="shared" si="12"/>
        <v>1.5827856977661052</v>
      </c>
      <c r="L100" s="153">
        <f t="shared" si="13"/>
        <v>443803.55510846665</v>
      </c>
      <c r="M100" s="155">
        <f t="shared" si="14"/>
        <v>564931.34361782216</v>
      </c>
      <c r="N100" s="150">
        <v>958596.65627322765</v>
      </c>
      <c r="O100" s="73">
        <f t="shared" si="15"/>
        <v>1.5827856977661052</v>
      </c>
      <c r="P100" s="153">
        <f t="shared" si="16"/>
        <v>443803.55510846665</v>
      </c>
      <c r="Q100" s="154">
        <f t="shared" si="17"/>
        <v>564931.34361782216</v>
      </c>
      <c r="R100" s="117"/>
      <c r="S100" s="34"/>
    </row>
    <row r="101" spans="1:19" s="8" customFormat="1" ht="116.25" hidden="1" outlineLevel="1" x14ac:dyDescent="0.35">
      <c r="A101" s="89">
        <v>65</v>
      </c>
      <c r="B101" s="89"/>
      <c r="C101" s="71" t="s">
        <v>164</v>
      </c>
      <c r="D101" s="91" t="s">
        <v>137</v>
      </c>
      <c r="E101" s="153">
        <v>208000</v>
      </c>
      <c r="F101" s="108"/>
      <c r="G101" s="153">
        <v>194218.59541997206</v>
      </c>
      <c r="H101" s="153">
        <v>0</v>
      </c>
      <c r="I101" s="92">
        <v>0.85</v>
      </c>
      <c r="J101" s="153">
        <v>183549.90588235305</v>
      </c>
      <c r="K101" s="73">
        <f t="shared" si="12"/>
        <v>0.94506865053498412</v>
      </c>
      <c r="L101" s="153">
        <f t="shared" si="13"/>
        <v>18464.099775376817</v>
      </c>
      <c r="M101" s="155">
        <f t="shared" si="14"/>
        <v>57307.818859371211</v>
      </c>
      <c r="N101" s="150">
        <v>183549.90588235305</v>
      </c>
      <c r="O101" s="73">
        <f t="shared" si="15"/>
        <v>0.94506865053498412</v>
      </c>
      <c r="P101" s="153">
        <f t="shared" si="16"/>
        <v>18464.099775376817</v>
      </c>
      <c r="Q101" s="154">
        <f t="shared" si="17"/>
        <v>57307.818859371211</v>
      </c>
      <c r="R101" s="117"/>
      <c r="S101" s="34"/>
    </row>
    <row r="102" spans="1:19" s="8" customFormat="1" ht="116.25" hidden="1" outlineLevel="1" x14ac:dyDescent="0.35">
      <c r="A102" s="89">
        <v>64</v>
      </c>
      <c r="B102" s="89"/>
      <c r="C102" s="71" t="s">
        <v>165</v>
      </c>
      <c r="D102" s="91" t="s">
        <v>137</v>
      </c>
      <c r="E102" s="153">
        <v>6812578</v>
      </c>
      <c r="F102" s="108"/>
      <c r="G102" s="153">
        <v>6361198.7036009729</v>
      </c>
      <c r="H102" s="153">
        <v>0</v>
      </c>
      <c r="I102" s="92">
        <v>0.85</v>
      </c>
      <c r="J102" s="153">
        <v>6681946.7579382313</v>
      </c>
      <c r="K102" s="73">
        <f t="shared" si="12"/>
        <v>1.0504225805987932</v>
      </c>
      <c r="L102" s="153">
        <f t="shared" si="13"/>
        <v>1274927.8598774048</v>
      </c>
      <c r="M102" s="155">
        <f t="shared" si="14"/>
        <v>2547167.6005975986</v>
      </c>
      <c r="N102" s="150">
        <v>6681946.7579382313</v>
      </c>
      <c r="O102" s="73">
        <f t="shared" si="15"/>
        <v>1.0504225805987932</v>
      </c>
      <c r="P102" s="153">
        <f t="shared" si="16"/>
        <v>1274927.8598774048</v>
      </c>
      <c r="Q102" s="154">
        <f t="shared" si="17"/>
        <v>2547167.6005975986</v>
      </c>
      <c r="R102" s="117"/>
      <c r="S102" s="34"/>
    </row>
    <row r="103" spans="1:19" s="8" customFormat="1" ht="116.25" hidden="1" outlineLevel="1" x14ac:dyDescent="0.35">
      <c r="A103" s="89">
        <v>66</v>
      </c>
      <c r="B103" s="89" t="s">
        <v>8</v>
      </c>
      <c r="C103" s="71" t="s">
        <v>82</v>
      </c>
      <c r="D103" s="91" t="s">
        <v>137</v>
      </c>
      <c r="E103" s="153">
        <v>3258896</v>
      </c>
      <c r="F103" s="108"/>
      <c r="G103" s="153">
        <v>0</v>
      </c>
      <c r="H103" s="153">
        <v>2770061</v>
      </c>
      <c r="I103" s="92">
        <v>0.85</v>
      </c>
      <c r="J103" s="153">
        <v>0</v>
      </c>
      <c r="K103" s="73" t="str">
        <f t="shared" si="12"/>
        <v>n/a</v>
      </c>
      <c r="L103" s="153">
        <f t="shared" si="13"/>
        <v>0</v>
      </c>
      <c r="M103" s="155">
        <f t="shared" si="14"/>
        <v>0</v>
      </c>
      <c r="N103" s="150">
        <v>0</v>
      </c>
      <c r="O103" s="73" t="str">
        <f t="shared" si="15"/>
        <v>n/a</v>
      </c>
      <c r="P103" s="153">
        <f t="shared" si="16"/>
        <v>0</v>
      </c>
      <c r="Q103" s="154">
        <f t="shared" si="17"/>
        <v>0</v>
      </c>
      <c r="R103" s="117"/>
      <c r="S103" s="34"/>
    </row>
    <row r="104" spans="1:19" s="8" customFormat="1" ht="69.75" hidden="1" outlineLevel="1" x14ac:dyDescent="0.35">
      <c r="A104" s="89">
        <v>63</v>
      </c>
      <c r="B104" s="89" t="s">
        <v>8</v>
      </c>
      <c r="C104" s="124" t="s">
        <v>83</v>
      </c>
      <c r="D104" s="91" t="s">
        <v>137</v>
      </c>
      <c r="E104" s="153">
        <v>12643472</v>
      </c>
      <c r="F104" s="108"/>
      <c r="G104" s="153">
        <v>2975050.7158188513</v>
      </c>
      <c r="H104" s="153">
        <v>0</v>
      </c>
      <c r="I104" s="92">
        <v>0.85</v>
      </c>
      <c r="J104" s="153">
        <v>827854.46246513643</v>
      </c>
      <c r="K104" s="93">
        <f t="shared" si="12"/>
        <v>0.27826566386357493</v>
      </c>
      <c r="L104" s="153">
        <f t="shared" si="13"/>
        <v>-1700938.6459808871</v>
      </c>
      <c r="M104" s="155">
        <f t="shared" si="14"/>
        <v>-1105928.5028171171</v>
      </c>
      <c r="N104" s="150">
        <v>827854.46246513643</v>
      </c>
      <c r="O104" s="73">
        <f t="shared" si="15"/>
        <v>0.27826566386357493</v>
      </c>
      <c r="P104" s="153">
        <f t="shared" si="16"/>
        <v>-1700938.6459808871</v>
      </c>
      <c r="Q104" s="154">
        <f t="shared" si="17"/>
        <v>-1105928.5028171171</v>
      </c>
      <c r="R104" s="117"/>
      <c r="S104" s="34"/>
    </row>
    <row r="105" spans="1:19" s="8" customFormat="1" ht="116.25" hidden="1" outlineLevel="1" x14ac:dyDescent="0.35">
      <c r="A105" s="96">
        <v>62</v>
      </c>
      <c r="B105" s="96" t="s">
        <v>8</v>
      </c>
      <c r="C105" s="126" t="s">
        <v>84</v>
      </c>
      <c r="D105" s="99" t="s">
        <v>137</v>
      </c>
      <c r="E105" s="153">
        <v>10596211</v>
      </c>
      <c r="F105" s="108"/>
      <c r="G105" s="153">
        <v>3075098.5035278117</v>
      </c>
      <c r="H105" s="153">
        <v>0</v>
      </c>
      <c r="I105" s="146">
        <v>0.85</v>
      </c>
      <c r="J105" s="153">
        <v>584874.26978681388</v>
      </c>
      <c r="K105" s="123">
        <f t="shared" si="12"/>
        <v>0.19019692185984771</v>
      </c>
      <c r="L105" s="153">
        <f t="shared" si="13"/>
        <v>-2028959.4582118262</v>
      </c>
      <c r="M105" s="155">
        <f t="shared" si="14"/>
        <v>-1413939.7575062639</v>
      </c>
      <c r="N105" s="150">
        <v>584874.26978681388</v>
      </c>
      <c r="O105" s="148">
        <f t="shared" si="15"/>
        <v>0.19019692185984771</v>
      </c>
      <c r="P105" s="153">
        <f t="shared" si="16"/>
        <v>-2028959.4582118262</v>
      </c>
      <c r="Q105" s="154">
        <f t="shared" si="17"/>
        <v>-1413939.7575062639</v>
      </c>
      <c r="R105" s="143"/>
      <c r="S105" s="34"/>
    </row>
    <row r="106" spans="1:19" s="8" customFormat="1" ht="28.5" hidden="1" outlineLevel="1" x14ac:dyDescent="0.2">
      <c r="A106" s="462" t="s">
        <v>210</v>
      </c>
      <c r="B106" s="463"/>
      <c r="C106" s="463"/>
      <c r="D106" s="463"/>
      <c r="E106" s="463"/>
      <c r="F106" s="463"/>
      <c r="G106" s="463"/>
      <c r="H106" s="463"/>
      <c r="I106" s="463"/>
      <c r="J106" s="463"/>
      <c r="K106" s="463"/>
      <c r="L106" s="463"/>
      <c r="M106" s="463"/>
      <c r="N106" s="463"/>
      <c r="O106" s="463"/>
      <c r="P106" s="463"/>
      <c r="Q106" s="463"/>
      <c r="R106" s="464"/>
    </row>
    <row r="107" spans="1:19" s="8" customFormat="1" ht="116.25" hidden="1" outlineLevel="1" x14ac:dyDescent="0.35">
      <c r="A107" s="81">
        <v>71</v>
      </c>
      <c r="B107" s="81" t="s">
        <v>8</v>
      </c>
      <c r="C107" s="83" t="s">
        <v>166</v>
      </c>
      <c r="D107" s="84" t="s">
        <v>138</v>
      </c>
      <c r="E107" s="153">
        <v>33769162</v>
      </c>
      <c r="F107" s="108"/>
      <c r="G107" s="153">
        <v>26050171.876714714</v>
      </c>
      <c r="H107" s="153">
        <v>0</v>
      </c>
      <c r="I107" s="147">
        <v>0.85</v>
      </c>
      <c r="J107" s="153">
        <v>32354522.463863201</v>
      </c>
      <c r="K107" s="149">
        <f t="shared" si="12"/>
        <v>1.2420080227103496</v>
      </c>
      <c r="L107" s="153">
        <f t="shared" si="13"/>
        <v>10211876.368655697</v>
      </c>
      <c r="M107" s="155">
        <f t="shared" si="14"/>
        <v>15421910.743998636</v>
      </c>
      <c r="N107" s="150">
        <v>32354522.463863201</v>
      </c>
      <c r="O107" s="149">
        <f t="shared" si="15"/>
        <v>1.2420080227103496</v>
      </c>
      <c r="P107" s="153">
        <f t="shared" si="16"/>
        <v>10211876.368655697</v>
      </c>
      <c r="Q107" s="154">
        <f t="shared" si="17"/>
        <v>15421910.743998636</v>
      </c>
      <c r="R107" s="144"/>
      <c r="S107" s="36"/>
    </row>
    <row r="108" spans="1:19" s="8" customFormat="1" ht="116.25" hidden="1" outlineLevel="1" x14ac:dyDescent="0.2">
      <c r="A108" s="96">
        <v>70</v>
      </c>
      <c r="B108" s="96" t="s">
        <v>8</v>
      </c>
      <c r="C108" s="98" t="s">
        <v>167</v>
      </c>
      <c r="D108" s="99" t="s">
        <v>138</v>
      </c>
      <c r="E108" s="153">
        <v>29371641</v>
      </c>
      <c r="F108" s="108"/>
      <c r="G108" s="153">
        <v>22657840.123285286</v>
      </c>
      <c r="H108" s="153">
        <v>0</v>
      </c>
      <c r="I108" s="146">
        <v>0.85</v>
      </c>
      <c r="J108" s="153">
        <v>22720511.668769386</v>
      </c>
      <c r="K108" s="148">
        <f t="shared" si="12"/>
        <v>1.0027659982215027</v>
      </c>
      <c r="L108" s="153">
        <f t="shared" si="13"/>
        <v>3461347.5639768913</v>
      </c>
      <c r="M108" s="155">
        <f t="shared" si="14"/>
        <v>7992915.5886339489</v>
      </c>
      <c r="N108" s="150">
        <v>22720511.668769386</v>
      </c>
      <c r="O108" s="148">
        <f t="shared" si="15"/>
        <v>1.0027659982215027</v>
      </c>
      <c r="P108" s="153">
        <f t="shared" si="16"/>
        <v>3461347.5639768913</v>
      </c>
      <c r="Q108" s="154">
        <f t="shared" si="17"/>
        <v>7992915.5886339489</v>
      </c>
      <c r="R108" s="143"/>
    </row>
    <row r="109" spans="1:19" s="8" customFormat="1" ht="28.5" hidden="1" outlineLevel="1" x14ac:dyDescent="0.2">
      <c r="A109" s="462" t="s">
        <v>211</v>
      </c>
      <c r="B109" s="463"/>
      <c r="C109" s="463"/>
      <c r="D109" s="463"/>
      <c r="E109" s="463"/>
      <c r="F109" s="463"/>
      <c r="G109" s="463"/>
      <c r="H109" s="463"/>
      <c r="I109" s="463"/>
      <c r="J109" s="463"/>
      <c r="K109" s="463"/>
      <c r="L109" s="463"/>
      <c r="M109" s="463"/>
      <c r="N109" s="463"/>
      <c r="O109" s="463"/>
      <c r="P109" s="463"/>
      <c r="Q109" s="463"/>
      <c r="R109" s="464"/>
    </row>
    <row r="110" spans="1:19" s="8" customFormat="1" ht="333.75" hidden="1" customHeight="1" outlineLevel="1" x14ac:dyDescent="0.2">
      <c r="A110" s="81">
        <v>73</v>
      </c>
      <c r="B110" s="81" t="s">
        <v>9</v>
      </c>
      <c r="C110" s="83" t="s">
        <v>85</v>
      </c>
      <c r="D110" s="84" t="s">
        <v>126</v>
      </c>
      <c r="E110" s="153">
        <v>44641656</v>
      </c>
      <c r="F110" s="108"/>
      <c r="G110" s="153">
        <v>11160414</v>
      </c>
      <c r="H110" s="153">
        <v>2314490</v>
      </c>
      <c r="I110" s="147">
        <v>0.85</v>
      </c>
      <c r="J110" s="153">
        <v>10807393.657947388</v>
      </c>
      <c r="K110" s="149">
        <f t="shared" si="12"/>
        <v>0.96836852628830683</v>
      </c>
      <c r="L110" s="153">
        <f t="shared" si="13"/>
        <v>1321041.7579473872</v>
      </c>
      <c r="M110" s="155">
        <f t="shared" si="14"/>
        <v>3553124.557947387</v>
      </c>
      <c r="N110" s="150">
        <v>14593223.314117646</v>
      </c>
      <c r="O110" s="149">
        <f t="shared" si="15"/>
        <v>1.3075879903843752</v>
      </c>
      <c r="P110" s="153">
        <f t="shared" si="16"/>
        <v>5106871.4141176455</v>
      </c>
      <c r="Q110" s="154">
        <f t="shared" si="17"/>
        <v>7338954.2141176453</v>
      </c>
      <c r="R110" s="117" t="s">
        <v>192</v>
      </c>
    </row>
    <row r="111" spans="1:19" s="8" customFormat="1" ht="409.5" hidden="1" customHeight="1" outlineLevel="1" x14ac:dyDescent="0.2">
      <c r="A111" s="89">
        <v>75</v>
      </c>
      <c r="B111" s="89" t="s">
        <v>9</v>
      </c>
      <c r="C111" s="124" t="s">
        <v>86</v>
      </c>
      <c r="D111" s="91" t="s">
        <v>126</v>
      </c>
      <c r="E111" s="153">
        <v>168136850.14364851</v>
      </c>
      <c r="F111" s="108"/>
      <c r="G111" s="153">
        <v>32373977.000000007</v>
      </c>
      <c r="H111" s="153">
        <v>8470217</v>
      </c>
      <c r="I111" s="92">
        <v>0.85</v>
      </c>
      <c r="J111" s="153">
        <v>15665395.731295474</v>
      </c>
      <c r="K111" s="93">
        <f t="shared" si="12"/>
        <v>0.48388851735131183</v>
      </c>
      <c r="L111" s="153">
        <f t="shared" si="13"/>
        <v>-11852484.718704533</v>
      </c>
      <c r="M111" s="155">
        <f t="shared" si="14"/>
        <v>-5377689.3187045306</v>
      </c>
      <c r="N111" s="150">
        <v>27488648.349642858</v>
      </c>
      <c r="O111" s="73">
        <f t="shared" si="15"/>
        <v>0.84909704944940345</v>
      </c>
      <c r="P111" s="76">
        <f t="shared" si="16"/>
        <v>-29232.100357148796</v>
      </c>
      <c r="Q111" s="77">
        <f t="shared" si="17"/>
        <v>6445563.2996428534</v>
      </c>
      <c r="R111" s="117" t="s">
        <v>191</v>
      </c>
    </row>
    <row r="112" spans="1:19" s="27" customFormat="1" ht="315.75" hidden="1" customHeight="1" outlineLevel="1" x14ac:dyDescent="0.2">
      <c r="A112" s="89">
        <v>72</v>
      </c>
      <c r="B112" s="89" t="s">
        <v>9</v>
      </c>
      <c r="C112" s="124" t="s">
        <v>87</v>
      </c>
      <c r="D112" s="91" t="s">
        <v>126</v>
      </c>
      <c r="E112" s="153">
        <v>104224880</v>
      </c>
      <c r="F112" s="108"/>
      <c r="G112" s="153">
        <v>33454181</v>
      </c>
      <c r="H112" s="153">
        <v>5404059.7000000002</v>
      </c>
      <c r="I112" s="92">
        <v>0.85</v>
      </c>
      <c r="J112" s="153">
        <v>22307733.470881745</v>
      </c>
      <c r="K112" s="93">
        <f t="shared" si="12"/>
        <v>0.66681451478013298</v>
      </c>
      <c r="L112" s="153">
        <f t="shared" si="13"/>
        <v>-6128320.3791182525</v>
      </c>
      <c r="M112" s="155">
        <f t="shared" si="14"/>
        <v>562515.82088174298</v>
      </c>
      <c r="N112" s="150">
        <v>27588048.117647059</v>
      </c>
      <c r="O112" s="73">
        <f t="shared" si="15"/>
        <v>0.82465172642089368</v>
      </c>
      <c r="P112" s="76">
        <f t="shared" si="16"/>
        <v>-848005.7323529385</v>
      </c>
      <c r="Q112" s="77">
        <f t="shared" si="17"/>
        <v>5842830.467647057</v>
      </c>
      <c r="R112" s="117" t="s">
        <v>193</v>
      </c>
    </row>
    <row r="113" spans="1:19" s="8" customFormat="1" ht="69.75" hidden="1" outlineLevel="1" x14ac:dyDescent="0.2">
      <c r="A113" s="96">
        <v>74</v>
      </c>
      <c r="B113" s="96" t="s">
        <v>9</v>
      </c>
      <c r="C113" s="98" t="s">
        <v>88</v>
      </c>
      <c r="D113" s="99" t="s">
        <v>126</v>
      </c>
      <c r="E113" s="153">
        <v>14185198</v>
      </c>
      <c r="F113" s="108"/>
      <c r="G113" s="153">
        <v>3546300</v>
      </c>
      <c r="H113" s="153">
        <v>735445</v>
      </c>
      <c r="I113" s="146">
        <v>0.85</v>
      </c>
      <c r="J113" s="153">
        <v>3932091.5243047536</v>
      </c>
      <c r="K113" s="148">
        <f t="shared" si="12"/>
        <v>1.1087870525067687</v>
      </c>
      <c r="L113" s="153">
        <f t="shared" si="13"/>
        <v>917736.52430475364</v>
      </c>
      <c r="M113" s="155">
        <f t="shared" si="14"/>
        <v>1626996.5243047536</v>
      </c>
      <c r="N113" s="150">
        <v>4954110.4423529413</v>
      </c>
      <c r="O113" s="148">
        <f t="shared" si="15"/>
        <v>1.3969800756712465</v>
      </c>
      <c r="P113" s="111">
        <f t="shared" si="16"/>
        <v>1939755.4423529413</v>
      </c>
      <c r="Q113" s="112">
        <f t="shared" si="17"/>
        <v>2649015.4423529413</v>
      </c>
      <c r="R113" s="117"/>
    </row>
    <row r="114" spans="1:19" s="8" customFormat="1" ht="28.5" hidden="1" outlineLevel="1" x14ac:dyDescent="0.35">
      <c r="A114" s="462" t="s">
        <v>212</v>
      </c>
      <c r="B114" s="463"/>
      <c r="C114" s="463"/>
      <c r="D114" s="463"/>
      <c r="E114" s="463"/>
      <c r="F114" s="463"/>
      <c r="G114" s="463"/>
      <c r="H114" s="463"/>
      <c r="I114" s="463"/>
      <c r="J114" s="463"/>
      <c r="K114" s="463"/>
      <c r="L114" s="463"/>
      <c r="M114" s="463"/>
      <c r="N114" s="463"/>
      <c r="O114" s="463"/>
      <c r="P114" s="463"/>
      <c r="Q114" s="463"/>
      <c r="R114" s="464"/>
      <c r="S114" s="26"/>
    </row>
    <row r="115" spans="1:19" s="8" customFormat="1" ht="100.5" hidden="1" customHeight="1" outlineLevel="1" x14ac:dyDescent="0.2">
      <c r="A115" s="81">
        <v>86</v>
      </c>
      <c r="B115" s="82" t="s">
        <v>9</v>
      </c>
      <c r="C115" s="125" t="s">
        <v>89</v>
      </c>
      <c r="D115" s="84" t="s">
        <v>139</v>
      </c>
      <c r="E115" s="153">
        <v>10815000</v>
      </c>
      <c r="F115" s="103"/>
      <c r="G115" s="153">
        <v>306783.08034535614</v>
      </c>
      <c r="H115" s="153">
        <v>571654</v>
      </c>
      <c r="I115" s="147">
        <v>0.75</v>
      </c>
      <c r="J115" s="153">
        <v>0</v>
      </c>
      <c r="K115" s="113">
        <f t="shared" si="12"/>
        <v>0</v>
      </c>
      <c r="L115" s="153">
        <f t="shared" si="13"/>
        <v>-230087.3102590171</v>
      </c>
      <c r="M115" s="155">
        <f t="shared" si="14"/>
        <v>-199409.00222448149</v>
      </c>
      <c r="N115" s="150">
        <v>0</v>
      </c>
      <c r="O115" s="149">
        <f t="shared" si="15"/>
        <v>0</v>
      </c>
      <c r="P115" s="153">
        <f t="shared" si="16"/>
        <v>-230087.3102590171</v>
      </c>
      <c r="Q115" s="154">
        <f t="shared" si="17"/>
        <v>-199409.00222448149</v>
      </c>
      <c r="R115" s="144" t="s">
        <v>175</v>
      </c>
      <c r="S115" s="10"/>
    </row>
    <row r="116" spans="1:19" s="8" customFormat="1" ht="120.75" hidden="1" customHeight="1" outlineLevel="1" x14ac:dyDescent="0.2">
      <c r="A116" s="89">
        <v>84</v>
      </c>
      <c r="B116" s="90" t="s">
        <v>9</v>
      </c>
      <c r="C116" s="124" t="s">
        <v>90</v>
      </c>
      <c r="D116" s="91" t="s">
        <v>139</v>
      </c>
      <c r="E116" s="153">
        <v>34340686</v>
      </c>
      <c r="F116" s="103"/>
      <c r="G116" s="153">
        <v>613566.16069071228</v>
      </c>
      <c r="H116" s="153">
        <v>1815162</v>
      </c>
      <c r="I116" s="92">
        <v>0.75</v>
      </c>
      <c r="J116" s="153">
        <v>0</v>
      </c>
      <c r="K116" s="93">
        <f t="shared" si="12"/>
        <v>0</v>
      </c>
      <c r="L116" s="153">
        <f t="shared" si="13"/>
        <v>-460174.62051803421</v>
      </c>
      <c r="M116" s="155">
        <f t="shared" si="14"/>
        <v>-398818.00444896298</v>
      </c>
      <c r="N116" s="150">
        <v>0</v>
      </c>
      <c r="O116" s="73">
        <f t="shared" si="15"/>
        <v>0</v>
      </c>
      <c r="P116" s="153">
        <f t="shared" si="16"/>
        <v>-460174.62051803421</v>
      </c>
      <c r="Q116" s="154">
        <f t="shared" si="17"/>
        <v>-398818.00444896298</v>
      </c>
      <c r="R116" s="117" t="s">
        <v>175</v>
      </c>
      <c r="S116" s="10"/>
    </row>
    <row r="117" spans="1:19" s="8" customFormat="1" ht="100.5" hidden="1" customHeight="1" outlineLevel="1" x14ac:dyDescent="0.2">
      <c r="A117" s="89">
        <v>81</v>
      </c>
      <c r="B117" s="90" t="s">
        <v>9</v>
      </c>
      <c r="C117" s="124" t="s">
        <v>91</v>
      </c>
      <c r="D117" s="91" t="s">
        <v>139</v>
      </c>
      <c r="E117" s="153">
        <v>20000000</v>
      </c>
      <c r="F117" s="103"/>
      <c r="G117" s="153">
        <v>876523.08670101757</v>
      </c>
      <c r="H117" s="153">
        <v>1136067</v>
      </c>
      <c r="I117" s="92">
        <v>0.75</v>
      </c>
      <c r="J117" s="153">
        <v>0</v>
      </c>
      <c r="K117" s="93">
        <f t="shared" si="12"/>
        <v>0</v>
      </c>
      <c r="L117" s="153">
        <f t="shared" si="13"/>
        <v>-657392.31502576312</v>
      </c>
      <c r="M117" s="155">
        <f t="shared" si="14"/>
        <v>-569740.00635566143</v>
      </c>
      <c r="N117" s="150">
        <v>0</v>
      </c>
      <c r="O117" s="73">
        <f t="shared" si="15"/>
        <v>0</v>
      </c>
      <c r="P117" s="153">
        <f t="shared" si="16"/>
        <v>-657392.31502576312</v>
      </c>
      <c r="Q117" s="154">
        <f t="shared" si="17"/>
        <v>-569740.00635566143</v>
      </c>
      <c r="R117" s="117" t="s">
        <v>175</v>
      </c>
      <c r="S117" s="10"/>
    </row>
    <row r="118" spans="1:19" s="8" customFormat="1" ht="93.75" hidden="1" customHeight="1" outlineLevel="1" x14ac:dyDescent="0.2">
      <c r="A118" s="89">
        <v>85</v>
      </c>
      <c r="B118" s="90" t="s">
        <v>9</v>
      </c>
      <c r="C118" s="71" t="s">
        <v>92</v>
      </c>
      <c r="D118" s="91" t="s">
        <v>139</v>
      </c>
      <c r="E118" s="153">
        <v>1500000</v>
      </c>
      <c r="F118" s="103"/>
      <c r="G118" s="153">
        <v>1051827.7040412212</v>
      </c>
      <c r="H118" s="153">
        <v>0</v>
      </c>
      <c r="I118" s="92">
        <v>0.75</v>
      </c>
      <c r="J118" s="153">
        <v>886383.45882352942</v>
      </c>
      <c r="K118" s="73">
        <f t="shared" si="12"/>
        <v>0.8427078459884263</v>
      </c>
      <c r="L118" s="153">
        <f t="shared" si="13"/>
        <v>97512.680792613537</v>
      </c>
      <c r="M118" s="155">
        <f t="shared" si="14"/>
        <v>202695.45119673561</v>
      </c>
      <c r="N118" s="150">
        <v>1061643.4633176471</v>
      </c>
      <c r="O118" s="73">
        <f t="shared" si="15"/>
        <v>1.0093320980600842</v>
      </c>
      <c r="P118" s="153">
        <f t="shared" si="16"/>
        <v>272772.68528673123</v>
      </c>
      <c r="Q118" s="154">
        <f t="shared" si="17"/>
        <v>377955.4556908533</v>
      </c>
      <c r="R118" s="117" t="s">
        <v>176</v>
      </c>
      <c r="S118" s="10"/>
    </row>
    <row r="119" spans="1:19" s="8" customFormat="1" ht="93" hidden="1" outlineLevel="1" x14ac:dyDescent="0.2">
      <c r="A119" s="89">
        <v>92</v>
      </c>
      <c r="B119" s="90" t="s">
        <v>9</v>
      </c>
      <c r="C119" s="71" t="s">
        <v>93</v>
      </c>
      <c r="D119" s="91" t="s">
        <v>139</v>
      </c>
      <c r="E119" s="153">
        <v>13960884</v>
      </c>
      <c r="F119" s="103"/>
      <c r="G119" s="153">
        <v>5090334</v>
      </c>
      <c r="H119" s="153">
        <v>0</v>
      </c>
      <c r="I119" s="92">
        <v>0.75</v>
      </c>
      <c r="J119" s="153">
        <v>5836705.7026238367</v>
      </c>
      <c r="K119" s="73">
        <f t="shared" si="12"/>
        <v>1.1466252907223449</v>
      </c>
      <c r="L119" s="153">
        <f t="shared" si="13"/>
        <v>2018955.2026238367</v>
      </c>
      <c r="M119" s="155">
        <f t="shared" si="14"/>
        <v>2527988.6026238366</v>
      </c>
      <c r="N119" s="150">
        <v>8055854.5764705874</v>
      </c>
      <c r="O119" s="73">
        <f t="shared" si="15"/>
        <v>1.5825787809740162</v>
      </c>
      <c r="P119" s="153">
        <f t="shared" si="16"/>
        <v>4238104.0764705874</v>
      </c>
      <c r="Q119" s="154">
        <f t="shared" si="17"/>
        <v>4747137.4764705878</v>
      </c>
      <c r="R119" s="117"/>
    </row>
    <row r="120" spans="1:19" s="8" customFormat="1" ht="69.75" hidden="1" outlineLevel="1" x14ac:dyDescent="0.2">
      <c r="A120" s="89">
        <v>82</v>
      </c>
      <c r="B120" s="90" t="s">
        <v>9</v>
      </c>
      <c r="C120" s="124" t="s">
        <v>94</v>
      </c>
      <c r="D120" s="91" t="s">
        <v>139</v>
      </c>
      <c r="E120" s="153">
        <v>4221188</v>
      </c>
      <c r="F120" s="103"/>
      <c r="G120" s="153">
        <v>593149.30843218556</v>
      </c>
      <c r="H120" s="153">
        <v>961286</v>
      </c>
      <c r="I120" s="92">
        <v>0.75</v>
      </c>
      <c r="J120" s="153">
        <v>0</v>
      </c>
      <c r="K120" s="93">
        <f t="shared" si="12"/>
        <v>0</v>
      </c>
      <c r="L120" s="153">
        <f t="shared" si="13"/>
        <v>-444861.98132413917</v>
      </c>
      <c r="M120" s="155">
        <f t="shared" si="14"/>
        <v>-385547.05048092065</v>
      </c>
      <c r="N120" s="150">
        <v>0</v>
      </c>
      <c r="O120" s="73">
        <f t="shared" si="15"/>
        <v>0</v>
      </c>
      <c r="P120" s="153">
        <f t="shared" si="16"/>
        <v>-444861.98132413917</v>
      </c>
      <c r="Q120" s="154">
        <f t="shared" si="17"/>
        <v>-385547.05048092065</v>
      </c>
      <c r="R120" s="117" t="s">
        <v>177</v>
      </c>
      <c r="S120" s="10"/>
    </row>
    <row r="121" spans="1:19" s="8" customFormat="1" ht="46.5" hidden="1" outlineLevel="1" x14ac:dyDescent="0.2">
      <c r="A121" s="89">
        <v>88</v>
      </c>
      <c r="B121" s="90" t="s">
        <v>9</v>
      </c>
      <c r="C121" s="71" t="s">
        <v>95</v>
      </c>
      <c r="D121" s="91" t="s">
        <v>139</v>
      </c>
      <c r="E121" s="153">
        <v>3287350</v>
      </c>
      <c r="F121" s="103"/>
      <c r="G121" s="153">
        <v>864430.57419689035</v>
      </c>
      <c r="H121" s="103">
        <v>0</v>
      </c>
      <c r="I121" s="92">
        <v>0.75</v>
      </c>
      <c r="J121" s="153">
        <v>937686.9089652776</v>
      </c>
      <c r="K121" s="73">
        <f t="shared" si="12"/>
        <v>1.0847451917540596</v>
      </c>
      <c r="L121" s="153">
        <f t="shared" si="13"/>
        <v>289363.97831760987</v>
      </c>
      <c r="M121" s="155">
        <f t="shared" si="14"/>
        <v>375807.03573729889</v>
      </c>
      <c r="N121" s="150">
        <v>977368.10588235303</v>
      </c>
      <c r="O121" s="73">
        <f t="shared" si="15"/>
        <v>1.1306496265363921</v>
      </c>
      <c r="P121" s="153">
        <f t="shared" si="16"/>
        <v>329045.1752346853</v>
      </c>
      <c r="Q121" s="154">
        <f t="shared" si="17"/>
        <v>415488.23265437433</v>
      </c>
      <c r="R121" s="117"/>
      <c r="S121" s="10"/>
    </row>
    <row r="122" spans="1:19" s="8" customFormat="1" ht="69.75" hidden="1" outlineLevel="1" x14ac:dyDescent="0.2">
      <c r="A122" s="89">
        <v>87</v>
      </c>
      <c r="B122" s="90" t="s">
        <v>9</v>
      </c>
      <c r="C122" s="71" t="s">
        <v>96</v>
      </c>
      <c r="D122" s="91" t="s">
        <v>139</v>
      </c>
      <c r="E122" s="153">
        <v>34345390</v>
      </c>
      <c r="F122" s="103"/>
      <c r="G122" s="153">
        <v>3079923.3159576887</v>
      </c>
      <c r="H122" s="153">
        <v>1989172</v>
      </c>
      <c r="I122" s="92">
        <v>0.75</v>
      </c>
      <c r="J122" s="153">
        <v>3813701.6653174683</v>
      </c>
      <c r="K122" s="73">
        <f t="shared" si="12"/>
        <v>1.2382456555193857</v>
      </c>
      <c r="L122" s="153">
        <f t="shared" si="13"/>
        <v>1503759.1783492016</v>
      </c>
      <c r="M122" s="155">
        <f t="shared" si="14"/>
        <v>1811751.5099449707</v>
      </c>
      <c r="N122" s="150">
        <v>5295326.4705882361</v>
      </c>
      <c r="O122" s="73">
        <f t="shared" si="15"/>
        <v>1.7193046473436879</v>
      </c>
      <c r="P122" s="153">
        <f t="shared" si="16"/>
        <v>2985383.9836199693</v>
      </c>
      <c r="Q122" s="154">
        <f t="shared" si="17"/>
        <v>3293376.3152157385</v>
      </c>
      <c r="R122" s="117"/>
      <c r="S122" s="10"/>
    </row>
    <row r="123" spans="1:19" s="8" customFormat="1" ht="105" hidden="1" customHeight="1" outlineLevel="1" x14ac:dyDescent="0.2">
      <c r="A123" s="89">
        <v>77</v>
      </c>
      <c r="B123" s="90" t="s">
        <v>9</v>
      </c>
      <c r="C123" s="71" t="s">
        <v>97</v>
      </c>
      <c r="D123" s="91" t="s">
        <v>139</v>
      </c>
      <c r="E123" s="153">
        <v>9000000</v>
      </c>
      <c r="F123" s="103"/>
      <c r="G123" s="153">
        <v>0</v>
      </c>
      <c r="H123" s="153">
        <v>0</v>
      </c>
      <c r="I123" s="92">
        <v>0.75</v>
      </c>
      <c r="J123" s="153">
        <v>2500015.8588235294</v>
      </c>
      <c r="K123" s="73" t="str">
        <f t="shared" si="12"/>
        <v>n/a</v>
      </c>
      <c r="L123" s="153">
        <f t="shared" si="13"/>
        <v>2500015.8588235294</v>
      </c>
      <c r="M123" s="155">
        <f t="shared" si="14"/>
        <v>2500015.8588235294</v>
      </c>
      <c r="N123" s="150">
        <v>1806624.5529411766</v>
      </c>
      <c r="O123" s="73" t="str">
        <f t="shared" si="15"/>
        <v>n/a</v>
      </c>
      <c r="P123" s="153">
        <f t="shared" si="16"/>
        <v>1806624.5529411766</v>
      </c>
      <c r="Q123" s="154">
        <f t="shared" si="17"/>
        <v>1806624.5529411766</v>
      </c>
      <c r="R123" s="117"/>
      <c r="S123" s="10"/>
    </row>
    <row r="124" spans="1:19" s="8" customFormat="1" ht="291.75" hidden="1" customHeight="1" outlineLevel="1" x14ac:dyDescent="0.2">
      <c r="A124" s="89">
        <v>79</v>
      </c>
      <c r="B124" s="90" t="s">
        <v>9</v>
      </c>
      <c r="C124" s="124" t="s">
        <v>98</v>
      </c>
      <c r="D124" s="91" t="s">
        <v>139</v>
      </c>
      <c r="E124" s="153">
        <v>39812376</v>
      </c>
      <c r="F124" s="103"/>
      <c r="G124" s="153">
        <v>5234469.6544539919</v>
      </c>
      <c r="H124" s="153">
        <v>2580099</v>
      </c>
      <c r="I124" s="92">
        <v>0.75</v>
      </c>
      <c r="J124" s="153">
        <v>1360097.765291309</v>
      </c>
      <c r="K124" s="93">
        <f t="shared" si="12"/>
        <v>0.25983487441445124</v>
      </c>
      <c r="L124" s="153">
        <f t="shared" si="13"/>
        <v>-2565754.4755491847</v>
      </c>
      <c r="M124" s="155">
        <f t="shared" si="14"/>
        <v>-2042307.5101037859</v>
      </c>
      <c r="N124" s="150">
        <v>2554283.8705882356</v>
      </c>
      <c r="O124" s="73">
        <f t="shared" si="15"/>
        <v>0.48797376605570814</v>
      </c>
      <c r="P124" s="153">
        <f t="shared" si="16"/>
        <v>-1371568.3702522581</v>
      </c>
      <c r="Q124" s="154">
        <f t="shared" si="17"/>
        <v>-848121.40480685933</v>
      </c>
      <c r="R124" s="117" t="s">
        <v>181</v>
      </c>
      <c r="S124" s="10"/>
    </row>
    <row r="125" spans="1:19" s="8" customFormat="1" ht="46.5" hidden="1" outlineLevel="1" x14ac:dyDescent="0.2">
      <c r="A125" s="89">
        <v>83</v>
      </c>
      <c r="B125" s="90" t="s">
        <v>9</v>
      </c>
      <c r="C125" s="71" t="s">
        <v>99</v>
      </c>
      <c r="D125" s="91" t="s">
        <v>139</v>
      </c>
      <c r="E125" s="153">
        <v>23080688</v>
      </c>
      <c r="F125" s="103"/>
      <c r="G125" s="153">
        <v>6069226.416073706</v>
      </c>
      <c r="H125" s="153">
        <v>1219986</v>
      </c>
      <c r="I125" s="92">
        <v>0.75</v>
      </c>
      <c r="J125" s="153">
        <v>6392514.1665541288</v>
      </c>
      <c r="K125" s="73">
        <f t="shared" si="12"/>
        <v>1.0532667144570895</v>
      </c>
      <c r="L125" s="153">
        <f t="shared" si="13"/>
        <v>1840594.3544988493</v>
      </c>
      <c r="M125" s="155">
        <f t="shared" si="14"/>
        <v>2447516.9961062199</v>
      </c>
      <c r="N125" s="150">
        <v>7522093.4117647065</v>
      </c>
      <c r="O125" s="73">
        <f t="shared" si="15"/>
        <v>1.2393825664244846</v>
      </c>
      <c r="P125" s="153">
        <f t="shared" si="16"/>
        <v>2970173.599709427</v>
      </c>
      <c r="Q125" s="154">
        <f t="shared" si="17"/>
        <v>3577096.2413167977</v>
      </c>
      <c r="R125" s="117"/>
      <c r="S125" s="10"/>
    </row>
    <row r="126" spans="1:19" s="8" customFormat="1" ht="93" hidden="1" outlineLevel="1" x14ac:dyDescent="0.2">
      <c r="A126" s="89">
        <v>91</v>
      </c>
      <c r="B126" s="90" t="s">
        <v>9</v>
      </c>
      <c r="C126" s="71" t="s">
        <v>100</v>
      </c>
      <c r="D126" s="91" t="s">
        <v>139</v>
      </c>
      <c r="E126" s="153">
        <v>6250000</v>
      </c>
      <c r="F126" s="103"/>
      <c r="G126" s="153">
        <v>1227132.3213814246</v>
      </c>
      <c r="H126" s="153">
        <v>0</v>
      </c>
      <c r="I126" s="92">
        <v>0.75</v>
      </c>
      <c r="J126" s="153">
        <v>1608108.2352941176</v>
      </c>
      <c r="K126" s="73">
        <f t="shared" si="12"/>
        <v>1.310460336896526</v>
      </c>
      <c r="L126" s="153">
        <f t="shared" si="13"/>
        <v>687758.99425804918</v>
      </c>
      <c r="M126" s="155">
        <f t="shared" si="14"/>
        <v>810472.22639619163</v>
      </c>
      <c r="N126" s="150">
        <v>1765485.5529411763</v>
      </c>
      <c r="O126" s="73">
        <f t="shared" si="15"/>
        <v>1.4387083790228175</v>
      </c>
      <c r="P126" s="153">
        <f t="shared" si="16"/>
        <v>845136.31190510793</v>
      </c>
      <c r="Q126" s="154">
        <f t="shared" si="17"/>
        <v>967849.54404325038</v>
      </c>
      <c r="R126" s="117"/>
      <c r="S126" s="10"/>
    </row>
    <row r="127" spans="1:19" s="8" customFormat="1" ht="93" hidden="1" outlineLevel="1" x14ac:dyDescent="0.2">
      <c r="A127" s="89">
        <v>89</v>
      </c>
      <c r="B127" s="90" t="s">
        <v>9</v>
      </c>
      <c r="C127" s="71" t="s">
        <v>101</v>
      </c>
      <c r="D127" s="91" t="s">
        <v>139</v>
      </c>
      <c r="E127" s="153">
        <v>4814359</v>
      </c>
      <c r="F127" s="103"/>
      <c r="G127" s="153">
        <v>148312.08888524567</v>
      </c>
      <c r="H127" s="153">
        <v>584973</v>
      </c>
      <c r="I127" s="92">
        <v>0.75</v>
      </c>
      <c r="J127" s="153">
        <v>239421.77348190034</v>
      </c>
      <c r="K127" s="73">
        <f t="shared" si="12"/>
        <v>1.6143105749602749</v>
      </c>
      <c r="L127" s="153">
        <f t="shared" si="13"/>
        <v>128187.70681796609</v>
      </c>
      <c r="M127" s="155">
        <f t="shared" si="14"/>
        <v>143018.91570649063</v>
      </c>
      <c r="N127" s="150">
        <v>239421.76470588235</v>
      </c>
      <c r="O127" s="73">
        <f t="shared" si="15"/>
        <v>1.6143105157876338</v>
      </c>
      <c r="P127" s="153">
        <f t="shared" si="16"/>
        <v>128187.6980419481</v>
      </c>
      <c r="Q127" s="154">
        <f t="shared" si="17"/>
        <v>143018.90693047264</v>
      </c>
      <c r="R127" s="117"/>
      <c r="S127" s="10"/>
    </row>
    <row r="128" spans="1:19" s="8" customFormat="1" ht="237" hidden="1" customHeight="1" outlineLevel="1" x14ac:dyDescent="0.2">
      <c r="A128" s="89">
        <v>76</v>
      </c>
      <c r="B128" s="90" t="s">
        <v>9</v>
      </c>
      <c r="C128" s="127" t="s">
        <v>102</v>
      </c>
      <c r="D128" s="91" t="s">
        <v>139</v>
      </c>
      <c r="E128" s="153">
        <v>27034565</v>
      </c>
      <c r="F128" s="103"/>
      <c r="G128" s="153">
        <v>2644848</v>
      </c>
      <c r="H128" s="153">
        <v>1428978.6074669461</v>
      </c>
      <c r="I128" s="92">
        <v>0.75</v>
      </c>
      <c r="J128" s="153">
        <v>2005347.810052112</v>
      </c>
      <c r="K128" s="114">
        <f t="shared" si="12"/>
        <v>0.75820909558965655</v>
      </c>
      <c r="L128" s="153">
        <f t="shared" si="13"/>
        <v>21711.810052111978</v>
      </c>
      <c r="M128" s="155">
        <f t="shared" si="14"/>
        <v>286196.61005211202</v>
      </c>
      <c r="N128" s="150">
        <v>3010460.2941176472</v>
      </c>
      <c r="O128" s="73">
        <f t="shared" si="15"/>
        <v>1.1382356544185706</v>
      </c>
      <c r="P128" s="153">
        <f t="shared" si="16"/>
        <v>1026824.2941176472</v>
      </c>
      <c r="Q128" s="154">
        <f t="shared" si="17"/>
        <v>1291309.0941176473</v>
      </c>
      <c r="R128" s="117" t="s">
        <v>178</v>
      </c>
    </row>
    <row r="129" spans="1:19" s="8" customFormat="1" ht="225.75" hidden="1" customHeight="1" outlineLevel="1" x14ac:dyDescent="0.2">
      <c r="A129" s="89">
        <v>78</v>
      </c>
      <c r="B129" s="90" t="s">
        <v>9</v>
      </c>
      <c r="C129" s="124" t="s">
        <v>103</v>
      </c>
      <c r="D129" s="91" t="s">
        <v>139</v>
      </c>
      <c r="E129" s="153">
        <v>21937153</v>
      </c>
      <c r="F129" s="103"/>
      <c r="G129" s="153">
        <v>3109508</v>
      </c>
      <c r="H129" s="153">
        <v>1159542.3341456992</v>
      </c>
      <c r="I129" s="92">
        <v>0.75</v>
      </c>
      <c r="J129" s="153">
        <v>906409.28478343866</v>
      </c>
      <c r="K129" s="93">
        <f t="shared" si="12"/>
        <v>0.29149604528544021</v>
      </c>
      <c r="L129" s="153">
        <f t="shared" si="13"/>
        <v>-1425721.7152165612</v>
      </c>
      <c r="M129" s="155">
        <f t="shared" si="14"/>
        <v>-1114770.9152165614</v>
      </c>
      <c r="N129" s="150">
        <v>1106963.6352941177</v>
      </c>
      <c r="O129" s="73">
        <f t="shared" si="15"/>
        <v>0.35599317811503228</v>
      </c>
      <c r="P129" s="153">
        <f t="shared" si="16"/>
        <v>-1225167.3647058823</v>
      </c>
      <c r="Q129" s="154">
        <f t="shared" si="17"/>
        <v>-914216.56470588222</v>
      </c>
      <c r="R129" s="117" t="s">
        <v>182</v>
      </c>
    </row>
    <row r="130" spans="1:19" s="8" customFormat="1" ht="185.25" hidden="1" customHeight="1" outlineLevel="1" x14ac:dyDescent="0.2">
      <c r="A130" s="89">
        <v>80</v>
      </c>
      <c r="B130" s="90" t="s">
        <v>9</v>
      </c>
      <c r="C130" s="127" t="s">
        <v>104</v>
      </c>
      <c r="D130" s="91" t="s">
        <v>139</v>
      </c>
      <c r="E130" s="153">
        <v>12936510</v>
      </c>
      <c r="F130" s="103"/>
      <c r="G130" s="153">
        <v>5102617.7926139049</v>
      </c>
      <c r="H130" s="153">
        <v>683791.11725384148</v>
      </c>
      <c r="I130" s="92">
        <v>0.75</v>
      </c>
      <c r="J130" s="153">
        <v>3836291.9273809837</v>
      </c>
      <c r="K130" s="114">
        <f t="shared" si="12"/>
        <v>0.75182819550663937</v>
      </c>
      <c r="L130" s="153">
        <f t="shared" si="13"/>
        <v>9328.5829205550253</v>
      </c>
      <c r="M130" s="155">
        <f t="shared" si="14"/>
        <v>519590.36218194524</v>
      </c>
      <c r="N130" s="150">
        <v>4388746.9411764704</v>
      </c>
      <c r="O130" s="73">
        <f t="shared" si="15"/>
        <v>0.86009713436292046</v>
      </c>
      <c r="P130" s="153">
        <f t="shared" si="16"/>
        <v>561783.59671604168</v>
      </c>
      <c r="Q130" s="154">
        <f t="shared" si="17"/>
        <v>1072045.3759774319</v>
      </c>
      <c r="R130" s="117" t="s">
        <v>179</v>
      </c>
      <c r="S130" s="10"/>
    </row>
    <row r="131" spans="1:19" s="8" customFormat="1" ht="93" hidden="1" outlineLevel="1" x14ac:dyDescent="0.2">
      <c r="A131" s="96">
        <v>90</v>
      </c>
      <c r="B131" s="115" t="s">
        <v>9</v>
      </c>
      <c r="C131" s="98" t="s">
        <v>105</v>
      </c>
      <c r="D131" s="99" t="s">
        <v>139</v>
      </c>
      <c r="E131" s="153">
        <v>6490095</v>
      </c>
      <c r="F131" s="103"/>
      <c r="G131" s="153">
        <v>853307.49622665439</v>
      </c>
      <c r="H131" s="153">
        <v>343049.93461007229</v>
      </c>
      <c r="I131" s="146">
        <v>0.75</v>
      </c>
      <c r="J131" s="153">
        <v>1460829.5044876446</v>
      </c>
      <c r="K131" s="148">
        <f t="shared" si="12"/>
        <v>1.7119614100983136</v>
      </c>
      <c r="L131" s="153">
        <f t="shared" si="13"/>
        <v>820848.88231765386</v>
      </c>
      <c r="M131" s="155">
        <f t="shared" si="14"/>
        <v>906179.63194031932</v>
      </c>
      <c r="N131" s="150">
        <v>1771633.2117647058</v>
      </c>
      <c r="O131" s="148">
        <f t="shared" si="15"/>
        <v>2.0761955327931716</v>
      </c>
      <c r="P131" s="153">
        <f t="shared" si="16"/>
        <v>1131652.589594715</v>
      </c>
      <c r="Q131" s="154">
        <f t="shared" si="17"/>
        <v>1216983.3392173806</v>
      </c>
      <c r="R131" s="143"/>
      <c r="S131" s="10"/>
    </row>
    <row r="132" spans="1:19" s="8" customFormat="1" ht="28.5" hidden="1" outlineLevel="1" x14ac:dyDescent="0.2">
      <c r="A132" s="462" t="s">
        <v>213</v>
      </c>
      <c r="B132" s="463"/>
      <c r="C132" s="463"/>
      <c r="D132" s="463"/>
      <c r="E132" s="463"/>
      <c r="F132" s="463"/>
      <c r="G132" s="463"/>
      <c r="H132" s="463"/>
      <c r="I132" s="463"/>
      <c r="J132" s="463"/>
      <c r="K132" s="463"/>
      <c r="L132" s="463"/>
      <c r="M132" s="463"/>
      <c r="N132" s="463"/>
      <c r="O132" s="463"/>
      <c r="P132" s="463"/>
      <c r="Q132" s="463"/>
      <c r="R132" s="464"/>
    </row>
    <row r="133" spans="1:19" s="8" customFormat="1" ht="93" hidden="1" outlineLevel="1" x14ac:dyDescent="0.2">
      <c r="A133" s="81">
        <v>94</v>
      </c>
      <c r="B133" s="81" t="s">
        <v>6</v>
      </c>
      <c r="C133" s="83" t="s">
        <v>196</v>
      </c>
      <c r="D133" s="84" t="s">
        <v>141</v>
      </c>
      <c r="E133" s="153">
        <v>44441978</v>
      </c>
      <c r="F133" s="103"/>
      <c r="G133" s="153">
        <v>0</v>
      </c>
      <c r="H133" s="153">
        <v>2515517.0000000009</v>
      </c>
      <c r="I133" s="147">
        <v>0.75</v>
      </c>
      <c r="J133" s="153">
        <v>0</v>
      </c>
      <c r="K133" s="149" t="str">
        <f t="shared" si="12"/>
        <v>n/a</v>
      </c>
      <c r="L133" s="153">
        <f t="shared" si="13"/>
        <v>0</v>
      </c>
      <c r="M133" s="155">
        <f t="shared" si="14"/>
        <v>0</v>
      </c>
      <c r="N133" s="150">
        <v>0</v>
      </c>
      <c r="O133" s="149" t="str">
        <f t="shared" si="15"/>
        <v>n/a</v>
      </c>
      <c r="P133" s="153">
        <f t="shared" si="16"/>
        <v>0</v>
      </c>
      <c r="Q133" s="154">
        <f t="shared" si="17"/>
        <v>0</v>
      </c>
      <c r="R133" s="144"/>
    </row>
    <row r="134" spans="1:19" s="8" customFormat="1" ht="186" hidden="1" outlineLevel="1" x14ac:dyDescent="0.2">
      <c r="A134" s="89">
        <v>95</v>
      </c>
      <c r="B134" s="89" t="s">
        <v>6</v>
      </c>
      <c r="C134" s="71" t="s">
        <v>124</v>
      </c>
      <c r="D134" s="91" t="s">
        <v>141</v>
      </c>
      <c r="E134" s="153">
        <v>4077075</v>
      </c>
      <c r="F134" s="103"/>
      <c r="G134" s="153">
        <v>0</v>
      </c>
      <c r="H134" s="153">
        <v>0</v>
      </c>
      <c r="I134" s="92">
        <v>0.75</v>
      </c>
      <c r="J134" s="153">
        <v>12678.95568513233</v>
      </c>
      <c r="K134" s="73" t="str">
        <f t="shared" si="12"/>
        <v>n/a</v>
      </c>
      <c r="L134" s="153">
        <f t="shared" si="13"/>
        <v>12678.95568513233</v>
      </c>
      <c r="M134" s="155">
        <f t="shared" si="14"/>
        <v>12678.95568513233</v>
      </c>
      <c r="N134" s="150">
        <v>12678.95568513233</v>
      </c>
      <c r="O134" s="73" t="str">
        <f t="shared" si="15"/>
        <v>n/a</v>
      </c>
      <c r="P134" s="153">
        <f t="shared" si="16"/>
        <v>12678.95568513233</v>
      </c>
      <c r="Q134" s="154">
        <f t="shared" si="17"/>
        <v>12678.95568513233</v>
      </c>
      <c r="R134" s="117"/>
    </row>
    <row r="135" spans="1:19" s="8" customFormat="1" ht="69.75" hidden="1" outlineLevel="1" x14ac:dyDescent="0.2">
      <c r="A135" s="96">
        <v>93</v>
      </c>
      <c r="B135" s="96" t="s">
        <v>6</v>
      </c>
      <c r="C135" s="98" t="s">
        <v>125</v>
      </c>
      <c r="D135" s="99" t="s">
        <v>142</v>
      </c>
      <c r="E135" s="153">
        <v>194364718</v>
      </c>
      <c r="F135" s="103"/>
      <c r="G135" s="153">
        <v>7796118</v>
      </c>
      <c r="H135" s="153">
        <v>9279588</v>
      </c>
      <c r="I135" s="146">
        <v>0.75</v>
      </c>
      <c r="J135" s="153">
        <v>15320621.537910301</v>
      </c>
      <c r="K135" s="148">
        <f t="shared" si="12"/>
        <v>1.9651602936115515</v>
      </c>
      <c r="L135" s="153">
        <f t="shared" si="13"/>
        <v>9473533.0379103012</v>
      </c>
      <c r="M135" s="155">
        <f t="shared" si="14"/>
        <v>10253144.837910302</v>
      </c>
      <c r="N135" s="150">
        <v>15320621.537910301</v>
      </c>
      <c r="O135" s="148">
        <f t="shared" si="15"/>
        <v>1.9651602936115515</v>
      </c>
      <c r="P135" s="153">
        <f t="shared" si="16"/>
        <v>9473533.0379103012</v>
      </c>
      <c r="Q135" s="154">
        <f t="shared" si="17"/>
        <v>10253144.837910302</v>
      </c>
      <c r="R135" s="143"/>
    </row>
    <row r="136" spans="1:19" s="8" customFormat="1" ht="28.5" hidden="1" outlineLevel="1" x14ac:dyDescent="0.2">
      <c r="A136" s="462" t="s">
        <v>214</v>
      </c>
      <c r="B136" s="463"/>
      <c r="C136" s="463"/>
      <c r="D136" s="463"/>
      <c r="E136" s="463"/>
      <c r="F136" s="463"/>
      <c r="G136" s="463"/>
      <c r="H136" s="463"/>
      <c r="I136" s="463"/>
      <c r="J136" s="463"/>
      <c r="K136" s="463"/>
      <c r="L136" s="463"/>
      <c r="M136" s="463"/>
      <c r="N136" s="463"/>
      <c r="O136" s="463"/>
      <c r="P136" s="463"/>
      <c r="Q136" s="463"/>
      <c r="R136" s="464"/>
    </row>
    <row r="137" spans="1:19" s="8" customFormat="1" ht="69.75" hidden="1" outlineLevel="1" x14ac:dyDescent="0.2">
      <c r="A137" s="81">
        <v>114</v>
      </c>
      <c r="B137" s="81" t="s">
        <v>6</v>
      </c>
      <c r="C137" s="83" t="s">
        <v>106</v>
      </c>
      <c r="D137" s="84" t="s">
        <v>137</v>
      </c>
      <c r="E137" s="153">
        <v>37218825</v>
      </c>
      <c r="F137" s="103"/>
      <c r="G137" s="153">
        <v>9364450</v>
      </c>
      <c r="H137" s="153">
        <v>1186027.0906275464</v>
      </c>
      <c r="I137" s="147">
        <v>0.75</v>
      </c>
      <c r="J137" s="153">
        <v>14473201.784961108</v>
      </c>
      <c r="K137" s="149">
        <f t="shared" si="12"/>
        <v>1.5455474464555963</v>
      </c>
      <c r="L137" s="153">
        <f t="shared" si="13"/>
        <v>7449864.2849611081</v>
      </c>
      <c r="M137" s="155">
        <f t="shared" si="14"/>
        <v>8386309.2849611081</v>
      </c>
      <c r="N137" s="150">
        <v>14473201.784961108</v>
      </c>
      <c r="O137" s="149">
        <f t="shared" si="15"/>
        <v>1.5455474464555963</v>
      </c>
      <c r="P137" s="153">
        <f t="shared" si="16"/>
        <v>7449864.2849611081</v>
      </c>
      <c r="Q137" s="154">
        <f t="shared" si="17"/>
        <v>8386309.2849611081</v>
      </c>
      <c r="R137" s="144"/>
    </row>
    <row r="138" spans="1:19" s="8" customFormat="1" ht="69.75" hidden="1" outlineLevel="1" x14ac:dyDescent="0.2">
      <c r="A138" s="89">
        <v>100</v>
      </c>
      <c r="B138" s="89" t="s">
        <v>6</v>
      </c>
      <c r="C138" s="71" t="s">
        <v>107</v>
      </c>
      <c r="D138" s="91" t="s">
        <v>137</v>
      </c>
      <c r="E138" s="153">
        <v>32030112</v>
      </c>
      <c r="F138" s="103"/>
      <c r="G138" s="153">
        <v>11896693</v>
      </c>
      <c r="H138" s="153">
        <v>0</v>
      </c>
      <c r="I138" s="92">
        <v>0.75</v>
      </c>
      <c r="J138" s="153">
        <v>9902619.8845096342</v>
      </c>
      <c r="K138" s="73">
        <f t="shared" si="12"/>
        <v>0.83238425035508889</v>
      </c>
      <c r="L138" s="153">
        <f t="shared" si="13"/>
        <v>980100.13450963423</v>
      </c>
      <c r="M138" s="155">
        <f t="shared" si="14"/>
        <v>2169769.434509634</v>
      </c>
      <c r="N138" s="150">
        <v>9902619.8845096342</v>
      </c>
      <c r="O138" s="73">
        <f t="shared" si="15"/>
        <v>0.83238425035508889</v>
      </c>
      <c r="P138" s="153">
        <f t="shared" si="16"/>
        <v>980100.13450963423</v>
      </c>
      <c r="Q138" s="154">
        <f t="shared" si="17"/>
        <v>2169769.434509634</v>
      </c>
      <c r="R138" s="117"/>
    </row>
    <row r="139" spans="1:19" s="8" customFormat="1" ht="46.5" hidden="1" outlineLevel="1" x14ac:dyDescent="0.2">
      <c r="A139" s="89">
        <v>97</v>
      </c>
      <c r="B139" s="89" t="s">
        <v>6</v>
      </c>
      <c r="C139" s="71" t="s">
        <v>108</v>
      </c>
      <c r="D139" s="91" t="s">
        <v>137</v>
      </c>
      <c r="E139" s="153">
        <v>19920206</v>
      </c>
      <c r="F139" s="103"/>
      <c r="G139" s="153">
        <v>1114247</v>
      </c>
      <c r="H139" s="153">
        <v>4250000.0000000037</v>
      </c>
      <c r="I139" s="92">
        <v>0.75</v>
      </c>
      <c r="J139" s="153">
        <v>1144778.9597021444</v>
      </c>
      <c r="K139" s="73">
        <f t="shared" si="12"/>
        <v>1.027401428679767</v>
      </c>
      <c r="L139" s="153">
        <f t="shared" si="13"/>
        <v>309093.70970214438</v>
      </c>
      <c r="M139" s="155">
        <f t="shared" si="14"/>
        <v>420518.40970214433</v>
      </c>
      <c r="N139" s="150">
        <v>1144778.9597021444</v>
      </c>
      <c r="O139" s="73">
        <f t="shared" si="15"/>
        <v>1.027401428679767</v>
      </c>
      <c r="P139" s="153">
        <f t="shared" si="16"/>
        <v>309093.70970214438</v>
      </c>
      <c r="Q139" s="154">
        <f t="shared" si="17"/>
        <v>420518.40970214433</v>
      </c>
      <c r="R139" s="117"/>
    </row>
    <row r="140" spans="1:19" s="8" customFormat="1" ht="93" hidden="1" outlineLevel="1" x14ac:dyDescent="0.2">
      <c r="A140" s="89">
        <v>112</v>
      </c>
      <c r="B140" s="89" t="s">
        <v>6</v>
      </c>
      <c r="C140" s="71" t="s">
        <v>109</v>
      </c>
      <c r="D140" s="91" t="s">
        <v>130</v>
      </c>
      <c r="E140" s="153">
        <v>5175000</v>
      </c>
      <c r="F140" s="103"/>
      <c r="G140" s="153">
        <v>469779</v>
      </c>
      <c r="H140" s="153">
        <v>273537</v>
      </c>
      <c r="I140" s="92">
        <v>0.75</v>
      </c>
      <c r="J140" s="153">
        <v>741546.24705882347</v>
      </c>
      <c r="K140" s="73">
        <f t="shared" si="12"/>
        <v>1.5785002034122928</v>
      </c>
      <c r="L140" s="153">
        <f t="shared" si="13"/>
        <v>389211.99705882347</v>
      </c>
      <c r="M140" s="155">
        <f t="shared" si="14"/>
        <v>436189.89705882344</v>
      </c>
      <c r="N140" s="150">
        <v>741546.24705882347</v>
      </c>
      <c r="O140" s="73">
        <f t="shared" si="15"/>
        <v>1.5785002034122928</v>
      </c>
      <c r="P140" s="153">
        <f t="shared" si="16"/>
        <v>389211.99705882347</v>
      </c>
      <c r="Q140" s="154">
        <f t="shared" si="17"/>
        <v>436189.89705882344</v>
      </c>
      <c r="R140" s="117"/>
    </row>
    <row r="141" spans="1:19" s="8" customFormat="1" ht="116.25" hidden="1" outlineLevel="1" x14ac:dyDescent="0.2">
      <c r="A141" s="89">
        <v>106</v>
      </c>
      <c r="B141" s="89" t="s">
        <v>6</v>
      </c>
      <c r="C141" s="124" t="s">
        <v>110</v>
      </c>
      <c r="D141" s="91" t="s">
        <v>130</v>
      </c>
      <c r="E141" s="153">
        <v>4232693</v>
      </c>
      <c r="F141" s="103"/>
      <c r="G141" s="153">
        <v>1411759</v>
      </c>
      <c r="H141" s="153">
        <v>223729</v>
      </c>
      <c r="I141" s="92">
        <v>0.75</v>
      </c>
      <c r="J141" s="153">
        <v>702733.91564854409</v>
      </c>
      <c r="K141" s="93">
        <f t="shared" si="12"/>
        <v>0.49777186874568824</v>
      </c>
      <c r="L141" s="153">
        <f t="shared" si="13"/>
        <v>-356085.33435145591</v>
      </c>
      <c r="M141" s="155">
        <f t="shared" si="14"/>
        <v>-214909.43435145589</v>
      </c>
      <c r="N141" s="150">
        <v>702733.91564854409</v>
      </c>
      <c r="O141" s="73">
        <f t="shared" si="15"/>
        <v>0.49777186874568824</v>
      </c>
      <c r="P141" s="153">
        <f t="shared" si="16"/>
        <v>-356085.33435145591</v>
      </c>
      <c r="Q141" s="154">
        <f t="shared" si="17"/>
        <v>-214909.43435145589</v>
      </c>
      <c r="R141" s="117"/>
    </row>
    <row r="142" spans="1:19" s="8" customFormat="1" ht="69.75" hidden="1" outlineLevel="1" x14ac:dyDescent="0.2">
      <c r="A142" s="89">
        <v>110</v>
      </c>
      <c r="B142" s="89" t="s">
        <v>6</v>
      </c>
      <c r="C142" s="71" t="s">
        <v>111</v>
      </c>
      <c r="D142" s="91" t="s">
        <v>137</v>
      </c>
      <c r="E142" s="153">
        <v>1252128</v>
      </c>
      <c r="F142" s="103"/>
      <c r="G142" s="153">
        <v>545837</v>
      </c>
      <c r="H142" s="153">
        <v>0</v>
      </c>
      <c r="I142" s="92">
        <v>0.75</v>
      </c>
      <c r="J142" s="153">
        <v>638938.8332069288</v>
      </c>
      <c r="K142" s="73">
        <f t="shared" si="12"/>
        <v>1.1705670982489806</v>
      </c>
      <c r="L142" s="153">
        <f t="shared" si="13"/>
        <v>229561.0832069288</v>
      </c>
      <c r="M142" s="155">
        <f t="shared" si="14"/>
        <v>284144.78320692881</v>
      </c>
      <c r="N142" s="150">
        <v>638938.8332069288</v>
      </c>
      <c r="O142" s="73">
        <f t="shared" si="15"/>
        <v>1.1705670982489806</v>
      </c>
      <c r="P142" s="153">
        <f t="shared" si="16"/>
        <v>229561.0832069288</v>
      </c>
      <c r="Q142" s="154">
        <f t="shared" si="17"/>
        <v>284144.78320692881</v>
      </c>
      <c r="R142" s="117"/>
    </row>
    <row r="143" spans="1:19" s="8" customFormat="1" ht="168" hidden="1" customHeight="1" outlineLevel="1" x14ac:dyDescent="0.2">
      <c r="A143" s="89">
        <v>107</v>
      </c>
      <c r="B143" s="89" t="s">
        <v>6</v>
      </c>
      <c r="C143" s="124" t="s">
        <v>112</v>
      </c>
      <c r="D143" s="91" t="s">
        <v>137</v>
      </c>
      <c r="E143" s="153">
        <v>1323271</v>
      </c>
      <c r="F143" s="103"/>
      <c r="G143" s="153">
        <v>436679</v>
      </c>
      <c r="H143" s="153">
        <v>0</v>
      </c>
      <c r="I143" s="92">
        <v>0.75</v>
      </c>
      <c r="J143" s="153">
        <v>148662.42273015165</v>
      </c>
      <c r="K143" s="93">
        <f t="shared" si="12"/>
        <v>0.34043868088493301</v>
      </c>
      <c r="L143" s="153">
        <f t="shared" si="13"/>
        <v>-178846.82726984835</v>
      </c>
      <c r="M143" s="155">
        <f t="shared" si="14"/>
        <v>-135178.92726984838</v>
      </c>
      <c r="N143" s="150">
        <v>148662.42273015165</v>
      </c>
      <c r="O143" s="73">
        <f t="shared" si="15"/>
        <v>0.34043868088493301</v>
      </c>
      <c r="P143" s="153">
        <f t="shared" si="16"/>
        <v>-178846.82726984835</v>
      </c>
      <c r="Q143" s="154">
        <f t="shared" si="17"/>
        <v>-135178.92726984838</v>
      </c>
      <c r="R143" s="117"/>
    </row>
    <row r="144" spans="1:19" s="8" customFormat="1" ht="93" hidden="1" outlineLevel="1" x14ac:dyDescent="0.2">
      <c r="A144" s="89">
        <v>109</v>
      </c>
      <c r="B144" s="89" t="s">
        <v>6</v>
      </c>
      <c r="C144" s="71" t="s">
        <v>113</v>
      </c>
      <c r="D144" s="91" t="s">
        <v>137</v>
      </c>
      <c r="E144" s="153">
        <v>318055</v>
      </c>
      <c r="F144" s="103"/>
      <c r="G144" s="153">
        <v>95417</v>
      </c>
      <c r="H144" s="153">
        <v>0</v>
      </c>
      <c r="I144" s="92">
        <v>0.75</v>
      </c>
      <c r="J144" s="153">
        <v>148908.66016345719</v>
      </c>
      <c r="K144" s="73">
        <f t="shared" si="12"/>
        <v>1.5606093270953518</v>
      </c>
      <c r="L144" s="153">
        <f t="shared" si="13"/>
        <v>77345.910163457185</v>
      </c>
      <c r="M144" s="155">
        <f t="shared" si="14"/>
        <v>86887.610163457182</v>
      </c>
      <c r="N144" s="150">
        <v>148908.66016345719</v>
      </c>
      <c r="O144" s="73">
        <f t="shared" si="15"/>
        <v>1.5606093270953518</v>
      </c>
      <c r="P144" s="153">
        <f t="shared" si="16"/>
        <v>77345.910163457185</v>
      </c>
      <c r="Q144" s="154">
        <f t="shared" si="17"/>
        <v>86887.610163457182</v>
      </c>
      <c r="R144" s="117"/>
    </row>
    <row r="145" spans="1:18" s="8" customFormat="1" ht="69.75" hidden="1" outlineLevel="1" x14ac:dyDescent="0.2">
      <c r="A145" s="89">
        <v>103</v>
      </c>
      <c r="B145" s="89" t="s">
        <v>6</v>
      </c>
      <c r="C145" s="124" t="s">
        <v>114</v>
      </c>
      <c r="D145" s="91" t="s">
        <v>137</v>
      </c>
      <c r="E145" s="153">
        <v>6813045</v>
      </c>
      <c r="F145" s="103"/>
      <c r="G145" s="153">
        <v>1433396</v>
      </c>
      <c r="H145" s="153">
        <v>0</v>
      </c>
      <c r="I145" s="92">
        <v>0.75</v>
      </c>
      <c r="J145" s="153">
        <v>1006566.9611003321</v>
      </c>
      <c r="K145" s="93">
        <f t="shared" si="12"/>
        <v>0.70222531742821392</v>
      </c>
      <c r="L145" s="153">
        <f t="shared" si="13"/>
        <v>-68480.03889966791</v>
      </c>
      <c r="M145" s="155">
        <f t="shared" si="14"/>
        <v>74859.561100332066</v>
      </c>
      <c r="N145" s="150">
        <v>1006566.9611003321</v>
      </c>
      <c r="O145" s="73">
        <f t="shared" si="15"/>
        <v>0.70222531742821392</v>
      </c>
      <c r="P145" s="153">
        <f t="shared" si="16"/>
        <v>-68480.03889966791</v>
      </c>
      <c r="Q145" s="154">
        <f t="shared" si="17"/>
        <v>74859.561100332066</v>
      </c>
      <c r="R145" s="117"/>
    </row>
    <row r="146" spans="1:18" s="8" customFormat="1" ht="93" hidden="1" outlineLevel="1" x14ac:dyDescent="0.2">
      <c r="A146" s="89">
        <v>104</v>
      </c>
      <c r="B146" s="89" t="s">
        <v>6</v>
      </c>
      <c r="C146" s="124" t="s">
        <v>115</v>
      </c>
      <c r="D146" s="91" t="s">
        <v>137</v>
      </c>
      <c r="E146" s="153">
        <v>8526615</v>
      </c>
      <c r="F146" s="103"/>
      <c r="G146" s="153">
        <v>2038176</v>
      </c>
      <c r="H146" s="153">
        <v>0</v>
      </c>
      <c r="I146" s="92">
        <v>0.75</v>
      </c>
      <c r="J146" s="153">
        <v>1042074.7548950192</v>
      </c>
      <c r="K146" s="93">
        <f t="shared" si="12"/>
        <v>0.51127810105457983</v>
      </c>
      <c r="L146" s="153">
        <f t="shared" si="13"/>
        <v>-486557.24510498077</v>
      </c>
      <c r="M146" s="155">
        <f t="shared" si="14"/>
        <v>-282739.64510498091</v>
      </c>
      <c r="N146" s="150">
        <v>1042074.7548950192</v>
      </c>
      <c r="O146" s="73">
        <f t="shared" si="15"/>
        <v>0.51127810105457983</v>
      </c>
      <c r="P146" s="153">
        <f t="shared" si="16"/>
        <v>-486557.24510498077</v>
      </c>
      <c r="Q146" s="154">
        <f t="shared" si="17"/>
        <v>-282739.64510498091</v>
      </c>
      <c r="R146" s="117"/>
    </row>
    <row r="147" spans="1:18" s="8" customFormat="1" ht="93" hidden="1" outlineLevel="1" x14ac:dyDescent="0.2">
      <c r="A147" s="89">
        <v>111</v>
      </c>
      <c r="B147" s="89" t="s">
        <v>6</v>
      </c>
      <c r="C147" s="71" t="s">
        <v>116</v>
      </c>
      <c r="D147" s="91" t="s">
        <v>137</v>
      </c>
      <c r="E147" s="153">
        <v>1079960</v>
      </c>
      <c r="F147" s="103"/>
      <c r="G147" s="153">
        <v>269990</v>
      </c>
      <c r="H147" s="153">
        <v>0</v>
      </c>
      <c r="I147" s="92">
        <v>0.75</v>
      </c>
      <c r="J147" s="153">
        <v>415790.56470588234</v>
      </c>
      <c r="K147" s="73">
        <f t="shared" si="12"/>
        <v>1.540022092321502</v>
      </c>
      <c r="L147" s="153">
        <f t="shared" si="13"/>
        <v>213298.06470588234</v>
      </c>
      <c r="M147" s="155">
        <f t="shared" si="14"/>
        <v>240297.06470588234</v>
      </c>
      <c r="N147" s="150">
        <v>415790.56470588234</v>
      </c>
      <c r="O147" s="73">
        <f t="shared" si="15"/>
        <v>1.540022092321502</v>
      </c>
      <c r="P147" s="153">
        <f t="shared" si="16"/>
        <v>213298.06470588234</v>
      </c>
      <c r="Q147" s="154">
        <f t="shared" si="17"/>
        <v>240297.06470588234</v>
      </c>
      <c r="R147" s="117"/>
    </row>
    <row r="148" spans="1:18" s="8" customFormat="1" ht="126" hidden="1" customHeight="1" outlineLevel="1" x14ac:dyDescent="0.2">
      <c r="A148" s="89">
        <v>113</v>
      </c>
      <c r="B148" s="89" t="s">
        <v>6</v>
      </c>
      <c r="C148" s="71" t="s">
        <v>117</v>
      </c>
      <c r="D148" s="91" t="s">
        <v>137</v>
      </c>
      <c r="E148" s="153">
        <v>2347738</v>
      </c>
      <c r="F148" s="103"/>
      <c r="G148" s="153">
        <v>586934</v>
      </c>
      <c r="H148" s="153">
        <v>0</v>
      </c>
      <c r="I148" s="92">
        <v>0.75</v>
      </c>
      <c r="J148" s="153">
        <v>1051634.9228007239</v>
      </c>
      <c r="K148" s="73">
        <f t="shared" si="12"/>
        <v>1.7917430627646787</v>
      </c>
      <c r="L148" s="153">
        <f t="shared" si="13"/>
        <v>611434.42280072393</v>
      </c>
      <c r="M148" s="155">
        <f t="shared" si="14"/>
        <v>670127.82280072384</v>
      </c>
      <c r="N148" s="150">
        <v>1051634.9228007239</v>
      </c>
      <c r="O148" s="73">
        <f t="shared" si="15"/>
        <v>1.7917430627646787</v>
      </c>
      <c r="P148" s="153">
        <f t="shared" si="16"/>
        <v>611434.42280072393</v>
      </c>
      <c r="Q148" s="154">
        <f t="shared" si="17"/>
        <v>670127.82280072384</v>
      </c>
      <c r="R148" s="117"/>
    </row>
    <row r="149" spans="1:18" s="11" customFormat="1" ht="78" hidden="1" customHeight="1" outlineLevel="1" x14ac:dyDescent="0.2">
      <c r="A149" s="89">
        <v>96</v>
      </c>
      <c r="B149" s="89" t="s">
        <v>6</v>
      </c>
      <c r="C149" s="124" t="s">
        <v>197</v>
      </c>
      <c r="D149" s="91" t="s">
        <v>137</v>
      </c>
      <c r="E149" s="153">
        <v>47209260</v>
      </c>
      <c r="F149" s="103"/>
      <c r="G149" s="153">
        <v>6592644</v>
      </c>
      <c r="H149" s="153">
        <v>3167386.9999999981</v>
      </c>
      <c r="I149" s="92">
        <v>0.75</v>
      </c>
      <c r="J149" s="153">
        <v>3745366.7176470589</v>
      </c>
      <c r="K149" s="93">
        <f t="shared" si="12"/>
        <v>0.56811299345862731</v>
      </c>
      <c r="L149" s="153">
        <f t="shared" si="13"/>
        <v>-1199116.2823529411</v>
      </c>
      <c r="M149" s="155">
        <f t="shared" si="14"/>
        <v>-539851.88235294167</v>
      </c>
      <c r="N149" s="150">
        <v>3745366.7176470589</v>
      </c>
      <c r="O149" s="73">
        <f t="shared" si="15"/>
        <v>0.56811299345862731</v>
      </c>
      <c r="P149" s="153">
        <f t="shared" si="16"/>
        <v>-1199116.2823529411</v>
      </c>
      <c r="Q149" s="154">
        <f t="shared" si="17"/>
        <v>-539851.88235294167</v>
      </c>
      <c r="R149" s="117"/>
    </row>
    <row r="150" spans="1:18" s="11" customFormat="1" ht="69.75" hidden="1" outlineLevel="1" x14ac:dyDescent="0.2">
      <c r="A150" s="89">
        <v>108</v>
      </c>
      <c r="B150" s="89" t="s">
        <v>6</v>
      </c>
      <c r="C150" s="71" t="s">
        <v>118</v>
      </c>
      <c r="D150" s="91" t="s">
        <v>137</v>
      </c>
      <c r="E150" s="153">
        <v>4727073</v>
      </c>
      <c r="F150" s="103"/>
      <c r="G150" s="153">
        <v>350658</v>
      </c>
      <c r="H150" s="153">
        <v>0</v>
      </c>
      <c r="I150" s="92">
        <v>0.75</v>
      </c>
      <c r="J150" s="153">
        <v>655967.93757460651</v>
      </c>
      <c r="K150" s="73">
        <f t="shared" si="12"/>
        <v>1.8706772341558058</v>
      </c>
      <c r="L150" s="153">
        <f t="shared" si="13"/>
        <v>392974.43757460651</v>
      </c>
      <c r="M150" s="155">
        <f t="shared" si="14"/>
        <v>428040.23757460649</v>
      </c>
      <c r="N150" s="150">
        <v>655967.93757460651</v>
      </c>
      <c r="O150" s="73">
        <f t="shared" si="15"/>
        <v>1.8706772341558058</v>
      </c>
      <c r="P150" s="153">
        <f t="shared" si="16"/>
        <v>392974.43757460651</v>
      </c>
      <c r="Q150" s="154">
        <f t="shared" si="17"/>
        <v>428040.23757460649</v>
      </c>
      <c r="R150" s="117"/>
    </row>
    <row r="151" spans="1:18" s="8" customFormat="1" ht="93" hidden="1" outlineLevel="1" x14ac:dyDescent="0.2">
      <c r="A151" s="89">
        <v>102</v>
      </c>
      <c r="B151" s="89" t="s">
        <v>6</v>
      </c>
      <c r="C151" s="71" t="s">
        <v>119</v>
      </c>
      <c r="D151" s="91" t="s">
        <v>140</v>
      </c>
      <c r="E151" s="153">
        <v>4609777</v>
      </c>
      <c r="F151" s="103"/>
      <c r="G151" s="153">
        <v>1324950</v>
      </c>
      <c r="H151" s="153">
        <v>0</v>
      </c>
      <c r="I151" s="92">
        <v>0.75</v>
      </c>
      <c r="J151" s="153">
        <v>1924782.609287757</v>
      </c>
      <c r="K151" s="73">
        <f t="shared" si="12"/>
        <v>1.4527209398752836</v>
      </c>
      <c r="L151" s="153">
        <f t="shared" si="13"/>
        <v>931070.10928775696</v>
      </c>
      <c r="M151" s="155">
        <f t="shared" si="14"/>
        <v>1063565.109287757</v>
      </c>
      <c r="N151" s="150">
        <v>1924782.609287757</v>
      </c>
      <c r="O151" s="73">
        <f t="shared" si="15"/>
        <v>1.4527209398752836</v>
      </c>
      <c r="P151" s="153">
        <f t="shared" si="16"/>
        <v>931070.10928775696</v>
      </c>
      <c r="Q151" s="154">
        <f t="shared" si="17"/>
        <v>1063565.109287757</v>
      </c>
      <c r="R151" s="117"/>
    </row>
    <row r="152" spans="1:18" s="8" customFormat="1" ht="93" hidden="1" outlineLevel="1" x14ac:dyDescent="0.2">
      <c r="A152" s="89">
        <v>101</v>
      </c>
      <c r="B152" s="89" t="s">
        <v>6</v>
      </c>
      <c r="C152" s="124" t="s">
        <v>120</v>
      </c>
      <c r="D152" s="91" t="s">
        <v>140</v>
      </c>
      <c r="E152" s="153">
        <v>16692798</v>
      </c>
      <c r="F152" s="103"/>
      <c r="G152" s="153">
        <v>2851654</v>
      </c>
      <c r="H152" s="153">
        <v>0</v>
      </c>
      <c r="I152" s="92">
        <v>0.75</v>
      </c>
      <c r="J152" s="153">
        <v>785184.9460131817</v>
      </c>
      <c r="K152" s="93">
        <f t="shared" si="12"/>
        <v>0.2753436938749167</v>
      </c>
      <c r="L152" s="153">
        <f t="shared" si="13"/>
        <v>-1353555.5539868183</v>
      </c>
      <c r="M152" s="155">
        <f t="shared" si="14"/>
        <v>-1068390.1539868184</v>
      </c>
      <c r="N152" s="150">
        <v>785184.9460131817</v>
      </c>
      <c r="O152" s="73">
        <f t="shared" si="15"/>
        <v>0.2753436938749167</v>
      </c>
      <c r="P152" s="153">
        <f t="shared" si="16"/>
        <v>-1353555.5539868183</v>
      </c>
      <c r="Q152" s="154">
        <f t="shared" si="17"/>
        <v>-1068390.1539868184</v>
      </c>
      <c r="R152" s="117"/>
    </row>
    <row r="153" spans="1:18" s="8" customFormat="1" ht="96.75" hidden="1" customHeight="1" outlineLevel="1" x14ac:dyDescent="0.2">
      <c r="A153" s="89">
        <v>99</v>
      </c>
      <c r="B153" s="89" t="s">
        <v>6</v>
      </c>
      <c r="C153" s="71" t="s">
        <v>121</v>
      </c>
      <c r="D153" s="91" t="s">
        <v>140</v>
      </c>
      <c r="E153" s="153">
        <v>38692398</v>
      </c>
      <c r="F153" s="103"/>
      <c r="G153" s="153">
        <v>3882114</v>
      </c>
      <c r="H153" s="153">
        <v>4900999</v>
      </c>
      <c r="I153" s="92">
        <v>0.75</v>
      </c>
      <c r="J153" s="153">
        <v>6430316.1039496521</v>
      </c>
      <c r="K153" s="73">
        <f t="shared" si="12"/>
        <v>1.65639548553949</v>
      </c>
      <c r="L153" s="153">
        <f t="shared" si="13"/>
        <v>3518730.6039496521</v>
      </c>
      <c r="M153" s="155">
        <f t="shared" si="14"/>
        <v>3906942.003949652</v>
      </c>
      <c r="N153" s="150">
        <v>6430316.1039496521</v>
      </c>
      <c r="O153" s="73">
        <f t="shared" si="15"/>
        <v>1.65639548553949</v>
      </c>
      <c r="P153" s="153">
        <f t="shared" si="16"/>
        <v>3518730.6039496521</v>
      </c>
      <c r="Q153" s="154">
        <f t="shared" si="17"/>
        <v>3906942.003949652</v>
      </c>
      <c r="R153" s="117"/>
    </row>
    <row r="154" spans="1:18" s="8" customFormat="1" ht="81" hidden="1" customHeight="1" outlineLevel="1" x14ac:dyDescent="0.2">
      <c r="A154" s="89">
        <v>105</v>
      </c>
      <c r="B154" s="89" t="s">
        <v>6</v>
      </c>
      <c r="C154" s="71" t="s">
        <v>122</v>
      </c>
      <c r="D154" s="91" t="s">
        <v>140</v>
      </c>
      <c r="E154" s="153">
        <v>9960103</v>
      </c>
      <c r="F154" s="103"/>
      <c r="G154" s="153">
        <v>1124950</v>
      </c>
      <c r="H154" s="153">
        <v>0</v>
      </c>
      <c r="I154" s="92">
        <v>0.75</v>
      </c>
      <c r="J154" s="153">
        <v>1188768.5713460846</v>
      </c>
      <c r="K154" s="73">
        <f t="shared" si="12"/>
        <v>1.0567301403138669</v>
      </c>
      <c r="L154" s="153">
        <f t="shared" si="13"/>
        <v>345056.07134608459</v>
      </c>
      <c r="M154" s="155">
        <f t="shared" si="14"/>
        <v>457551.07134608459</v>
      </c>
      <c r="N154" s="150">
        <v>1188768.5713460846</v>
      </c>
      <c r="O154" s="73">
        <f t="shared" si="15"/>
        <v>1.0567301403138669</v>
      </c>
      <c r="P154" s="153">
        <f t="shared" si="16"/>
        <v>345056.07134608459</v>
      </c>
      <c r="Q154" s="154">
        <f t="shared" si="17"/>
        <v>457551.07134608459</v>
      </c>
      <c r="R154" s="117"/>
    </row>
    <row r="155" spans="1:18" s="8" customFormat="1" ht="69.75" hidden="1" outlineLevel="1" x14ac:dyDescent="0.2">
      <c r="A155" s="96">
        <v>98</v>
      </c>
      <c r="B155" s="96" t="s">
        <v>6</v>
      </c>
      <c r="C155" s="126" t="s">
        <v>123</v>
      </c>
      <c r="D155" s="99" t="s">
        <v>140</v>
      </c>
      <c r="E155" s="153">
        <v>22765950</v>
      </c>
      <c r="F155" s="103"/>
      <c r="G155" s="153">
        <v>2124950</v>
      </c>
      <c r="H155" s="153">
        <v>0</v>
      </c>
      <c r="I155" s="146">
        <v>0.75</v>
      </c>
      <c r="J155" s="153">
        <v>1010997.0025931142</v>
      </c>
      <c r="K155" s="123">
        <f t="shared" si="12"/>
        <v>0.47577449003181915</v>
      </c>
      <c r="L155" s="153">
        <f t="shared" si="13"/>
        <v>-582715.49740688584</v>
      </c>
      <c r="M155" s="155">
        <f t="shared" si="14"/>
        <v>-370220.49740688584</v>
      </c>
      <c r="N155" s="150">
        <v>1010997.0025931142</v>
      </c>
      <c r="O155" s="148">
        <f t="shared" si="15"/>
        <v>0.47577449003181915</v>
      </c>
      <c r="P155" s="153">
        <f t="shared" si="16"/>
        <v>-582715.49740688584</v>
      </c>
      <c r="Q155" s="154">
        <f t="shared" si="17"/>
        <v>-370220.49740688584</v>
      </c>
      <c r="R155" s="143"/>
    </row>
    <row r="156" spans="1:18" s="8" customFormat="1" ht="28.5" hidden="1" outlineLevel="1" x14ac:dyDescent="0.2">
      <c r="A156" s="462" t="s">
        <v>19</v>
      </c>
      <c r="B156" s="463"/>
      <c r="C156" s="463"/>
      <c r="D156" s="463"/>
      <c r="E156" s="463"/>
      <c r="F156" s="463"/>
      <c r="G156" s="463"/>
      <c r="H156" s="463"/>
      <c r="I156" s="463"/>
      <c r="J156" s="463"/>
      <c r="K156" s="463"/>
      <c r="L156" s="463"/>
      <c r="M156" s="463"/>
      <c r="N156" s="463"/>
      <c r="O156" s="463"/>
      <c r="P156" s="463"/>
      <c r="Q156" s="463"/>
      <c r="R156" s="464"/>
    </row>
    <row r="157" spans="1:18" s="8" customFormat="1" ht="39.75" hidden="1" outlineLevel="1" thickBot="1" x14ac:dyDescent="0.25">
      <c r="A157" s="61">
        <v>115</v>
      </c>
      <c r="B157" s="61" t="s">
        <v>160</v>
      </c>
      <c r="C157" s="62" t="s">
        <v>19</v>
      </c>
      <c r="D157" s="63" t="s">
        <v>159</v>
      </c>
      <c r="E157" s="153">
        <v>119195650.58823529</v>
      </c>
      <c r="F157" s="38"/>
      <c r="G157" s="56"/>
      <c r="H157" s="56"/>
      <c r="I157" s="64"/>
      <c r="J157" s="56" t="s">
        <v>163</v>
      </c>
      <c r="K157" s="56"/>
      <c r="L157" s="58"/>
      <c r="M157" s="57"/>
      <c r="N157" s="65"/>
      <c r="O157" s="66"/>
      <c r="P157" s="66"/>
      <c r="Q157" s="67"/>
      <c r="R157" s="44"/>
    </row>
    <row r="158" spans="1:18" s="8" customFormat="1" ht="24.75" customHeight="1" x14ac:dyDescent="0.2">
      <c r="A158" s="21"/>
      <c r="B158" s="21"/>
      <c r="C158" s="22"/>
      <c r="D158" s="23"/>
      <c r="E158" s="19"/>
      <c r="F158" s="19"/>
      <c r="G158" s="19"/>
      <c r="H158" s="19"/>
      <c r="I158" s="19"/>
      <c r="J158" s="24"/>
      <c r="K158" s="24"/>
      <c r="L158" s="24"/>
      <c r="M158" s="24"/>
      <c r="N158" s="24"/>
      <c r="O158" s="24"/>
      <c r="P158" s="24"/>
      <c r="Q158" s="24"/>
      <c r="R158" s="45"/>
    </row>
    <row r="159" spans="1:18" s="8" customFormat="1" ht="44.25" customHeight="1" x14ac:dyDescent="0.2">
      <c r="A159" s="374" t="s">
        <v>15</v>
      </c>
      <c r="B159" s="374"/>
      <c r="C159" s="374"/>
      <c r="D159" s="374"/>
      <c r="E159" s="374"/>
      <c r="F159" s="374"/>
      <c r="G159" s="374"/>
      <c r="H159" s="374"/>
      <c r="I159" s="374"/>
      <c r="J159" s="374"/>
      <c r="K159" s="374"/>
      <c r="L159" s="374"/>
      <c r="M159" s="374"/>
      <c r="N159" s="374"/>
      <c r="O159" s="374"/>
      <c r="P159" s="374"/>
      <c r="Q159" s="374"/>
      <c r="R159" s="374"/>
    </row>
    <row r="160" spans="1:18" s="8" customFormat="1" ht="17.25" customHeight="1" x14ac:dyDescent="0.2">
      <c r="A160" s="16" t="s">
        <v>16</v>
      </c>
      <c r="D160" s="11"/>
      <c r="R160" s="46"/>
    </row>
    <row r="161" spans="1:18" s="8" customFormat="1" ht="32.25" customHeight="1" x14ac:dyDescent="0.2">
      <c r="A161" s="16"/>
      <c r="D161" s="11"/>
      <c r="R161" s="46"/>
    </row>
    <row r="162" spans="1:18" s="8" customFormat="1" ht="15.75" x14ac:dyDescent="0.2">
      <c r="A162" s="16"/>
      <c r="B162" s="16"/>
      <c r="D162" s="11"/>
      <c r="R162" s="46"/>
    </row>
    <row r="163" spans="1:18" s="8" customFormat="1" ht="10.5" customHeight="1" x14ac:dyDescent="0.2">
      <c r="D163" s="11"/>
      <c r="R163" s="46"/>
    </row>
    <row r="164" spans="1:18" s="8" customFormat="1" x14ac:dyDescent="0.2">
      <c r="D164" s="11"/>
      <c r="R164" s="46"/>
    </row>
    <row r="165" spans="1:18" s="8" customFormat="1" x14ac:dyDescent="0.2">
      <c r="D165" s="11"/>
      <c r="R165" s="46"/>
    </row>
    <row r="166" spans="1:18" s="8" customFormat="1" ht="16.5" x14ac:dyDescent="0.25">
      <c r="B166" s="37"/>
      <c r="D166" s="11"/>
      <c r="R166" s="46"/>
    </row>
    <row r="167" spans="1:18" s="8" customFormat="1" ht="16.5" x14ac:dyDescent="0.25">
      <c r="A167" s="17"/>
      <c r="B167" s="17"/>
      <c r="D167" s="11"/>
      <c r="R167" s="46"/>
    </row>
    <row r="168" spans="1:18" s="8" customFormat="1" ht="16.5" x14ac:dyDescent="0.25">
      <c r="A168" s="18"/>
      <c r="B168" s="18"/>
      <c r="C168" s="37"/>
      <c r="D168" s="11"/>
      <c r="R168" s="46"/>
    </row>
    <row r="169" spans="1:18" s="8" customFormat="1" x14ac:dyDescent="0.2">
      <c r="D169" s="11"/>
      <c r="R169" s="46"/>
    </row>
    <row r="170" spans="1:18" s="8" customFormat="1" x14ac:dyDescent="0.2">
      <c r="D170" s="11"/>
      <c r="R170" s="46"/>
    </row>
    <row r="171" spans="1:18" s="8" customFormat="1" x14ac:dyDescent="0.2">
      <c r="D171" s="11"/>
      <c r="R171" s="46"/>
    </row>
    <row r="172" spans="1:18" s="8" customFormat="1" x14ac:dyDescent="0.2">
      <c r="D172" s="11"/>
      <c r="R172" s="46"/>
    </row>
    <row r="173" spans="1:18" s="8" customFormat="1" x14ac:dyDescent="0.2">
      <c r="R173" s="46"/>
    </row>
    <row r="174" spans="1:18" s="8" customFormat="1" x14ac:dyDescent="0.2">
      <c r="R174" s="46"/>
    </row>
    <row r="175" spans="1:18" s="8" customFormat="1" x14ac:dyDescent="0.2">
      <c r="R175" s="46"/>
    </row>
    <row r="176" spans="1:18" s="8" customFormat="1" x14ac:dyDescent="0.2">
      <c r="R176" s="46"/>
    </row>
    <row r="177" spans="4:18" s="12" customFormat="1" ht="18.75" x14ac:dyDescent="0.3">
      <c r="D177" s="8"/>
      <c r="R177" s="47"/>
    </row>
    <row r="178" spans="4:18" s="12" customFormat="1" ht="18.75" x14ac:dyDescent="0.3">
      <c r="D178" s="8"/>
      <c r="F178" s="14"/>
      <c r="G178" s="14"/>
      <c r="H178" s="14"/>
      <c r="I178" s="14"/>
      <c r="J178" s="14"/>
      <c r="K178" s="14"/>
      <c r="L178" s="14"/>
      <c r="M178" s="14"/>
      <c r="N178" s="14"/>
      <c r="O178" s="14"/>
      <c r="P178" s="14"/>
      <c r="Q178" s="14"/>
      <c r="R178" s="48"/>
    </row>
    <row r="179" spans="4:18" s="12" customFormat="1" ht="18.75" x14ac:dyDescent="0.3">
      <c r="D179" s="8"/>
      <c r="F179" s="13"/>
      <c r="G179" s="13"/>
      <c r="H179" s="13"/>
      <c r="I179" s="13"/>
      <c r="J179" s="13"/>
      <c r="K179" s="13"/>
      <c r="L179" s="13"/>
      <c r="M179" s="13"/>
      <c r="N179" s="13"/>
      <c r="O179" s="13"/>
      <c r="P179" s="13"/>
      <c r="Q179" s="13"/>
      <c r="R179" s="49"/>
    </row>
    <row r="180" spans="4:18" s="12" customFormat="1" ht="18.75" x14ac:dyDescent="0.3">
      <c r="D180" s="8"/>
      <c r="F180" s="15"/>
      <c r="G180" s="15"/>
      <c r="H180" s="15"/>
      <c r="I180" s="15"/>
      <c r="J180" s="15"/>
      <c r="K180" s="15"/>
      <c r="L180" s="15"/>
      <c r="M180" s="15"/>
      <c r="N180" s="15"/>
      <c r="O180" s="15"/>
      <c r="P180" s="15"/>
      <c r="Q180" s="15"/>
      <c r="R180" s="50"/>
    </row>
    <row r="181" spans="4:18" s="12" customFormat="1" ht="18.75" x14ac:dyDescent="0.3">
      <c r="D181" s="8"/>
      <c r="R181" s="47"/>
    </row>
    <row r="182" spans="4:18" s="12" customFormat="1" ht="18.75" x14ac:dyDescent="0.3">
      <c r="D182" s="8"/>
      <c r="R182" s="47"/>
    </row>
    <row r="183" spans="4:18" s="12" customFormat="1" ht="18.75" x14ac:dyDescent="0.3">
      <c r="D183" s="8"/>
      <c r="R183" s="47"/>
    </row>
    <row r="184" spans="4:18" s="12" customFormat="1" ht="18.75" x14ac:dyDescent="0.3">
      <c r="D184" s="8"/>
      <c r="R184" s="47"/>
    </row>
    <row r="185" spans="4:18" s="8" customFormat="1" x14ac:dyDescent="0.2">
      <c r="R185" s="46"/>
    </row>
    <row r="186" spans="4:18" s="8" customFormat="1" x14ac:dyDescent="0.2">
      <c r="R186" s="46"/>
    </row>
    <row r="187" spans="4:18" s="8" customFormat="1" x14ac:dyDescent="0.2">
      <c r="R187" s="46"/>
    </row>
    <row r="188" spans="4:18" s="8" customFormat="1" x14ac:dyDescent="0.2">
      <c r="R188" s="46"/>
    </row>
    <row r="189" spans="4:18" s="8" customFormat="1" x14ac:dyDescent="0.2">
      <c r="R189" s="46"/>
    </row>
    <row r="190" spans="4:18" s="8" customFormat="1" x14ac:dyDescent="0.2">
      <c r="R190" s="46"/>
    </row>
    <row r="191" spans="4:18" s="8" customFormat="1" x14ac:dyDescent="0.2">
      <c r="R191" s="46"/>
    </row>
    <row r="192" spans="4:18" s="8" customFormat="1" x14ac:dyDescent="0.2">
      <c r="R192" s="46"/>
    </row>
    <row r="193" spans="18:18" s="8" customFormat="1" x14ac:dyDescent="0.2">
      <c r="R193" s="46"/>
    </row>
    <row r="194" spans="18:18" s="8" customFormat="1" x14ac:dyDescent="0.2">
      <c r="R194" s="46"/>
    </row>
    <row r="195" spans="18:18" s="8" customFormat="1" x14ac:dyDescent="0.2">
      <c r="R195" s="46"/>
    </row>
    <row r="196" spans="18:18" s="8" customFormat="1" x14ac:dyDescent="0.2">
      <c r="R196" s="46"/>
    </row>
    <row r="197" spans="18:18" s="8" customFormat="1" x14ac:dyDescent="0.2">
      <c r="R197" s="46"/>
    </row>
    <row r="198" spans="18:18" s="8" customFormat="1" x14ac:dyDescent="0.2">
      <c r="R198" s="46"/>
    </row>
    <row r="199" spans="18:18" s="8" customFormat="1" x14ac:dyDescent="0.2">
      <c r="R199" s="46"/>
    </row>
    <row r="200" spans="18:18" s="8" customFormat="1" x14ac:dyDescent="0.2">
      <c r="R200" s="46"/>
    </row>
    <row r="201" spans="18:18" s="8" customFormat="1" x14ac:dyDescent="0.2">
      <c r="R201" s="46"/>
    </row>
    <row r="202" spans="18:18" s="8" customFormat="1" x14ac:dyDescent="0.2">
      <c r="R202" s="46"/>
    </row>
    <row r="203" spans="18:18" s="8" customFormat="1" x14ac:dyDescent="0.2">
      <c r="R203" s="46"/>
    </row>
    <row r="204" spans="18:18" s="8" customFormat="1" x14ac:dyDescent="0.2">
      <c r="R204" s="46"/>
    </row>
    <row r="205" spans="18:18" s="8" customFormat="1" x14ac:dyDescent="0.2">
      <c r="R205" s="46"/>
    </row>
    <row r="206" spans="18:18" s="8" customFormat="1" x14ac:dyDescent="0.2">
      <c r="R206" s="46"/>
    </row>
    <row r="207" spans="18:18" s="8" customFormat="1" x14ac:dyDescent="0.2">
      <c r="R207" s="46"/>
    </row>
    <row r="208" spans="18:18" s="8" customFormat="1" x14ac:dyDescent="0.2">
      <c r="R208" s="46"/>
    </row>
    <row r="209" spans="18:18" s="8" customFormat="1" x14ac:dyDescent="0.2">
      <c r="R209" s="46"/>
    </row>
    <row r="210" spans="18:18" s="8" customFormat="1" x14ac:dyDescent="0.2">
      <c r="R210" s="46"/>
    </row>
    <row r="211" spans="18:18" s="8" customFormat="1" x14ac:dyDescent="0.2">
      <c r="R211" s="46"/>
    </row>
    <row r="212" spans="18:18" s="8" customFormat="1" x14ac:dyDescent="0.2">
      <c r="R212" s="46"/>
    </row>
    <row r="213" spans="18:18" s="8" customFormat="1" x14ac:dyDescent="0.2">
      <c r="R213" s="46"/>
    </row>
    <row r="214" spans="18:18" s="8" customFormat="1" x14ac:dyDescent="0.2">
      <c r="R214" s="46"/>
    </row>
    <row r="215" spans="18:18" s="8" customFormat="1" x14ac:dyDescent="0.2">
      <c r="R215" s="46"/>
    </row>
    <row r="216" spans="18:18" s="8" customFormat="1" x14ac:dyDescent="0.2">
      <c r="R216" s="46"/>
    </row>
    <row r="217" spans="18:18" s="8" customFormat="1" x14ac:dyDescent="0.2">
      <c r="R217" s="46"/>
    </row>
    <row r="218" spans="18:18" s="8" customFormat="1" x14ac:dyDescent="0.2">
      <c r="R218" s="46"/>
    </row>
    <row r="219" spans="18:18" s="8" customFormat="1" x14ac:dyDescent="0.2">
      <c r="R219" s="46"/>
    </row>
    <row r="220" spans="18:18" s="8" customFormat="1" x14ac:dyDescent="0.2">
      <c r="R220" s="46"/>
    </row>
    <row r="221" spans="18:18" s="8" customFormat="1" x14ac:dyDescent="0.2">
      <c r="R221" s="46"/>
    </row>
    <row r="222" spans="18:18" s="8" customFormat="1" x14ac:dyDescent="0.2">
      <c r="R222" s="46"/>
    </row>
    <row r="223" spans="18:18" s="8" customFormat="1" x14ac:dyDescent="0.2">
      <c r="R223" s="46"/>
    </row>
    <row r="224" spans="18:18" s="8" customFormat="1" x14ac:dyDescent="0.2">
      <c r="R224" s="46"/>
    </row>
    <row r="225" spans="18:18" s="8" customFormat="1" x14ac:dyDescent="0.2">
      <c r="R225" s="46"/>
    </row>
    <row r="226" spans="18:18" s="8" customFormat="1" x14ac:dyDescent="0.2">
      <c r="R226" s="46"/>
    </row>
    <row r="227" spans="18:18" s="8" customFormat="1" x14ac:dyDescent="0.2">
      <c r="R227" s="46"/>
    </row>
    <row r="228" spans="18:18" s="8" customFormat="1" x14ac:dyDescent="0.2">
      <c r="R228" s="46"/>
    </row>
    <row r="229" spans="18:18" s="8" customFormat="1" x14ac:dyDescent="0.2">
      <c r="R229" s="46"/>
    </row>
    <row r="230" spans="18:18" s="8" customFormat="1" x14ac:dyDescent="0.2">
      <c r="R230" s="46"/>
    </row>
    <row r="231" spans="18:18" s="8" customFormat="1" x14ac:dyDescent="0.2">
      <c r="R231" s="46"/>
    </row>
    <row r="232" spans="18:18" s="8" customFormat="1" x14ac:dyDescent="0.2">
      <c r="R232" s="46"/>
    </row>
    <row r="233" spans="18:18" s="8" customFormat="1" x14ac:dyDescent="0.2">
      <c r="R233" s="46"/>
    </row>
    <row r="234" spans="18:18" s="8" customFormat="1" x14ac:dyDescent="0.2">
      <c r="R234" s="46"/>
    </row>
    <row r="235" spans="18:18" s="8" customFormat="1" x14ac:dyDescent="0.2">
      <c r="R235" s="46"/>
    </row>
    <row r="236" spans="18:18" s="8" customFormat="1" x14ac:dyDescent="0.2">
      <c r="R236" s="46"/>
    </row>
    <row r="237" spans="18:18" s="8" customFormat="1" x14ac:dyDescent="0.2">
      <c r="R237" s="46"/>
    </row>
    <row r="238" spans="18:18" s="8" customFormat="1" x14ac:dyDescent="0.2">
      <c r="R238" s="46"/>
    </row>
    <row r="239" spans="18:18" s="8" customFormat="1" x14ac:dyDescent="0.2">
      <c r="R239" s="46"/>
    </row>
    <row r="240" spans="18:18" s="8" customFormat="1" x14ac:dyDescent="0.2">
      <c r="R240" s="46"/>
    </row>
    <row r="241" spans="18:18" s="8" customFormat="1" x14ac:dyDescent="0.2">
      <c r="R241" s="46"/>
    </row>
    <row r="242" spans="18:18" s="8" customFormat="1" x14ac:dyDescent="0.2">
      <c r="R242" s="46"/>
    </row>
    <row r="243" spans="18:18" s="8" customFormat="1" x14ac:dyDescent="0.2">
      <c r="R243" s="46"/>
    </row>
    <row r="244" spans="18:18" s="8" customFormat="1" x14ac:dyDescent="0.2">
      <c r="R244" s="46"/>
    </row>
    <row r="245" spans="18:18" s="8" customFormat="1" x14ac:dyDescent="0.2">
      <c r="R245" s="46"/>
    </row>
    <row r="246" spans="18:18" s="8" customFormat="1" x14ac:dyDescent="0.2">
      <c r="R246" s="46"/>
    </row>
    <row r="247" spans="18:18" s="8" customFormat="1" x14ac:dyDescent="0.2">
      <c r="R247" s="46"/>
    </row>
    <row r="248" spans="18:18" s="8" customFormat="1" x14ac:dyDescent="0.2">
      <c r="R248" s="46"/>
    </row>
    <row r="249" spans="18:18" s="8" customFormat="1" x14ac:dyDescent="0.2">
      <c r="R249" s="46"/>
    </row>
    <row r="250" spans="18:18" s="8" customFormat="1" x14ac:dyDescent="0.2">
      <c r="R250" s="46"/>
    </row>
    <row r="251" spans="18:18" s="8" customFormat="1" x14ac:dyDescent="0.2">
      <c r="R251" s="46"/>
    </row>
    <row r="252" spans="18:18" s="8" customFormat="1" x14ac:dyDescent="0.2">
      <c r="R252" s="46"/>
    </row>
    <row r="253" spans="18:18" s="8" customFormat="1" x14ac:dyDescent="0.2">
      <c r="R253" s="46"/>
    </row>
    <row r="254" spans="18:18" s="8" customFormat="1" x14ac:dyDescent="0.2">
      <c r="R254" s="46"/>
    </row>
    <row r="255" spans="18:18" s="8" customFormat="1" x14ac:dyDescent="0.2">
      <c r="R255" s="46"/>
    </row>
    <row r="256" spans="18:18" s="8" customFormat="1" x14ac:dyDescent="0.2">
      <c r="R256" s="46"/>
    </row>
    <row r="257" spans="18:18" s="8" customFormat="1" x14ac:dyDescent="0.2">
      <c r="R257" s="46"/>
    </row>
    <row r="258" spans="18:18" s="8" customFormat="1" x14ac:dyDescent="0.2">
      <c r="R258" s="46"/>
    </row>
    <row r="259" spans="18:18" s="8" customFormat="1" x14ac:dyDescent="0.2">
      <c r="R259" s="46"/>
    </row>
    <row r="260" spans="18:18" s="8" customFormat="1" x14ac:dyDescent="0.2">
      <c r="R260" s="46"/>
    </row>
    <row r="261" spans="18:18" s="8" customFormat="1" x14ac:dyDescent="0.2">
      <c r="R261" s="46"/>
    </row>
    <row r="262" spans="18:18" s="8" customFormat="1" x14ac:dyDescent="0.2">
      <c r="R262" s="46"/>
    </row>
    <row r="263" spans="18:18" s="8" customFormat="1" x14ac:dyDescent="0.2">
      <c r="R263" s="46"/>
    </row>
    <row r="264" spans="18:18" s="8" customFormat="1" x14ac:dyDescent="0.2">
      <c r="R264" s="46"/>
    </row>
    <row r="265" spans="18:18" s="8" customFormat="1" x14ac:dyDescent="0.2">
      <c r="R265" s="46"/>
    </row>
    <row r="266" spans="18:18" s="8" customFormat="1" x14ac:dyDescent="0.2">
      <c r="R266" s="46"/>
    </row>
    <row r="267" spans="18:18" s="8" customFormat="1" x14ac:dyDescent="0.2">
      <c r="R267" s="46"/>
    </row>
    <row r="268" spans="18:18" s="8" customFormat="1" x14ac:dyDescent="0.2">
      <c r="R268" s="46"/>
    </row>
    <row r="269" spans="18:18" s="8" customFormat="1" x14ac:dyDescent="0.2">
      <c r="R269" s="46"/>
    </row>
    <row r="270" spans="18:18" s="8" customFormat="1" x14ac:dyDescent="0.2">
      <c r="R270" s="46"/>
    </row>
    <row r="271" spans="18:18" s="8" customFormat="1" x14ac:dyDescent="0.2">
      <c r="R271" s="46"/>
    </row>
    <row r="272" spans="18:18" s="8" customFormat="1" x14ac:dyDescent="0.2">
      <c r="R272" s="46"/>
    </row>
    <row r="273" spans="18:18" s="8" customFormat="1" x14ac:dyDescent="0.2">
      <c r="R273" s="46"/>
    </row>
    <row r="274" spans="18:18" s="8" customFormat="1" x14ac:dyDescent="0.2">
      <c r="R274" s="46"/>
    </row>
    <row r="275" spans="18:18" s="8" customFormat="1" x14ac:dyDescent="0.2">
      <c r="R275" s="46"/>
    </row>
    <row r="276" spans="18:18" s="8" customFormat="1" x14ac:dyDescent="0.2">
      <c r="R276" s="46"/>
    </row>
    <row r="277" spans="18:18" s="8" customFormat="1" x14ac:dyDescent="0.2">
      <c r="R277" s="46"/>
    </row>
    <row r="278" spans="18:18" s="8" customFormat="1" x14ac:dyDescent="0.2">
      <c r="R278" s="46"/>
    </row>
    <row r="279" spans="18:18" s="8" customFormat="1" x14ac:dyDescent="0.2">
      <c r="R279" s="46"/>
    </row>
    <row r="280" spans="18:18" s="8" customFormat="1" x14ac:dyDescent="0.2">
      <c r="R280" s="46"/>
    </row>
    <row r="281" spans="18:18" s="8" customFormat="1" x14ac:dyDescent="0.2">
      <c r="R281" s="46"/>
    </row>
  </sheetData>
  <sheetProtection formatCells="0" formatColumns="0" formatRows="0" autoFilter="0"/>
  <autoFilter ref="A25:S157"/>
  <dataConsolidate/>
  <mergeCells count="58">
    <mergeCell ref="A38:R38"/>
    <mergeCell ref="A4:R4"/>
    <mergeCell ref="A6:A24"/>
    <mergeCell ref="B6:B24"/>
    <mergeCell ref="C6:C24"/>
    <mergeCell ref="D6:D24"/>
    <mergeCell ref="E6:E8"/>
    <mergeCell ref="F6:F8"/>
    <mergeCell ref="G6:G8"/>
    <mergeCell ref="H6:H8"/>
    <mergeCell ref="I6:I8"/>
    <mergeCell ref="J6:Q6"/>
    <mergeCell ref="R6:R24"/>
    <mergeCell ref="J7:M7"/>
    <mergeCell ref="N7:Q7"/>
    <mergeCell ref="A26:R26"/>
    <mergeCell ref="I49:I50"/>
    <mergeCell ref="J49:J50"/>
    <mergeCell ref="A42:R42"/>
    <mergeCell ref="F43:F46"/>
    <mergeCell ref="G43:G46"/>
    <mergeCell ref="H43:H46"/>
    <mergeCell ref="I43:I46"/>
    <mergeCell ref="J43:J46"/>
    <mergeCell ref="K43:K46"/>
    <mergeCell ref="L43:L46"/>
    <mergeCell ref="M43:M46"/>
    <mergeCell ref="N43:N46"/>
    <mergeCell ref="O43:O46"/>
    <mergeCell ref="P43:P46"/>
    <mergeCell ref="Q43:Q46"/>
    <mergeCell ref="R43:R46"/>
    <mergeCell ref="K49:K50"/>
    <mergeCell ref="A77:R77"/>
    <mergeCell ref="L49:L50"/>
    <mergeCell ref="M49:M50"/>
    <mergeCell ref="N49:N50"/>
    <mergeCell ref="O49:O50"/>
    <mergeCell ref="P49:P50"/>
    <mergeCell ref="Q49:Q50"/>
    <mergeCell ref="R49:R50"/>
    <mergeCell ref="A54:R54"/>
    <mergeCell ref="A59:R59"/>
    <mergeCell ref="A64:R64"/>
    <mergeCell ref="A69:R69"/>
    <mergeCell ref="F49:F50"/>
    <mergeCell ref="G49:G50"/>
    <mergeCell ref="H49:H50"/>
    <mergeCell ref="A132:R132"/>
    <mergeCell ref="A136:R136"/>
    <mergeCell ref="A156:R156"/>
    <mergeCell ref="A159:R159"/>
    <mergeCell ref="A85:R85"/>
    <mergeCell ref="A87:R87"/>
    <mergeCell ref="A97:R97"/>
    <mergeCell ref="A106:R106"/>
    <mergeCell ref="A109:R109"/>
    <mergeCell ref="A114:R114"/>
  </mergeCells>
  <dataValidations count="1">
    <dataValidation type="list" errorStyle="warning" allowBlank="1" showInputMessage="1" showErrorMessage="1" errorTitle="Izvēle tikai no saraksta!" error="Lūdzu izvēlēties vienu no vērtībām sarakstā." sqref="F167:I1048576 J160:R1048576">
      <formula1>#REF!</formula1>
    </dataValidation>
  </dataValidations>
  <pageMargins left="0.23622047244094488" right="3.937007874015748E-2" top="0.74803149606299213" bottom="0.74803149606299213" header="0.31496062992125984" footer="0.31496062992125984"/>
  <pageSetup paperSize="9" scale="40" fitToHeight="0" orientation="landscape" r:id="rId1"/>
  <headerFooter>
    <oddFooter>&amp;L&amp;16&amp;F&amp;C&amp;16&amp;P no &amp;N</oddFooter>
  </headerFooter>
  <rowBreaks count="1" manualBreakCount="1">
    <brk id="113"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Sn.ietv.PV_un_SAM_24082018</vt:lpstr>
      <vt:lpstr>FMzinp4_250219_Sn_ietv</vt:lpstr>
      <vt:lpstr>1.Izklājlapa_28.02.2019.</vt:lpstr>
      <vt:lpstr>2.Izklājlapa 31.12.2018.</vt:lpstr>
      <vt:lpstr>SI_2018_izpilde_PV_Fonds</vt:lpstr>
      <vt:lpstr>Sn.ietv.4PV_ERAF_10072018</vt:lpstr>
      <vt:lpstr>Sn.ietv.5PV_KF_10072018</vt:lpstr>
      <vt:lpstr>Sn.ietv.5PV_ERAF_10072018</vt:lpstr>
      <vt:lpstr>'1.Izklājlapa_28.02.2019.'!Print_Area</vt:lpstr>
      <vt:lpstr>'2.Izklājlapa 31.12.2018.'!Print_Area</vt:lpstr>
      <vt:lpstr>FMzinp4_250219_Sn_ietv!Print_Area</vt:lpstr>
      <vt:lpstr>SI_2018_izpilde_PV_Fonds!Print_Area</vt:lpstr>
      <vt:lpstr>Sn.ietv.4PV_ERAF_10072018!Print_Area</vt:lpstr>
      <vt:lpstr>Sn.ietv.5PV_ERAF_10072018!Print_Area</vt:lpstr>
      <vt:lpstr>Sn.ietv.5PV_KF_10072018!Print_Area</vt:lpstr>
      <vt:lpstr>Sn.ietv.PV_un_SAM_24082018!Print_Area</vt:lpstr>
      <vt:lpstr>'1.Izklājlapa_28.02.2019.'!Print_Titles</vt:lpstr>
      <vt:lpstr>'2.Izklājlapa 31.12.2018.'!Print_Titles</vt:lpstr>
      <vt:lpstr>FMzinp4_250219_Sn_ietv!Print_Titles</vt:lpstr>
      <vt:lpstr>SI_2018_izpilde_PV_Fonds!Print_Titles</vt:lpstr>
      <vt:lpstr>Sn.ietv.4PV_ERAF_10072018!Print_Titles</vt:lpstr>
      <vt:lpstr>Sn.ietv.5PV_ERAF_10072018!Print_Titles</vt:lpstr>
      <vt:lpstr>Sn.ietv.5PV_KF_10072018!Print_Titles</vt:lpstr>
      <vt:lpstr>Sn.ietv.PV_un_SAM_24082018!Print_Titles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Snieguma ietvara starpposma finanšu rādītāja izpilde un prognozes</dc:title>
  <dc:subject>Informatīvā ziņojuma pielikums</dc:subject>
  <dc:creator>Reinis Dzelzkalējs</dc:creator>
  <dc:description>67083940 _x000d_
reinis.dzelzkalejs@fm.gov.lv</dc:description>
  <cp:lastModifiedBy>Zinta Zālīte-Supe</cp:lastModifiedBy>
  <cp:lastPrinted>2019-02-27T08:59:23Z</cp:lastPrinted>
  <dcterms:created xsi:type="dcterms:W3CDTF">2017-01-17T15:19:39Z</dcterms:created>
  <dcterms:modified xsi:type="dcterms:W3CDTF">2019-02-27T08:59:39Z</dcterms:modified>
</cp:coreProperties>
</file>