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6.gads\32_01.03.2017\4_iesniegšanai_MK\Pielikumi\"/>
    </mc:Choice>
  </mc:AlternateContent>
  <bookViews>
    <workbookView xWindow="2565" yWindow="-180" windowWidth="15705" windowHeight="12870" tabRatio="663"/>
  </bookViews>
  <sheets>
    <sheet name="Tabula" sheetId="18" r:id="rId1"/>
    <sheet name="Sheet1" sheetId="13" state="hidden" r:id="rId2"/>
    <sheet name="Sheet1 (2)" sheetId="15" state="hidden" r:id="rId3"/>
  </sheets>
  <definedNames>
    <definedName name="_xlnm.Print_Area" localSheetId="2">'Sheet1 (2)'!$A$1:$T$287</definedName>
    <definedName name="_xlnm.Print_Area" localSheetId="0">Tabula!$A$1:$H$29</definedName>
    <definedName name="_xlnm.Print_Titles" localSheetId="2">'Sheet1 (2)'!$3:$5</definedName>
  </definedNames>
  <calcPr calcId="152511"/>
  <customWorkbookViews>
    <customWorkbookView name="ti - Personal View" guid="{7C04B03D-2B05-4C90-AA24-752095681C44}" mergeInterval="0" personalView="1" maximized="1" xWindow="1" yWindow="1" windowWidth="1152" windowHeight="600" activeSheetId="1"/>
    <customWorkbookView name="es-muran - Personal View" guid="{A3B0767E-DE12-41A5-8D6F-9C6156DF23D4}" mergeInterval="0" personalView="1" maximized="1" xWindow="1" yWindow="1" windowWidth="1280" windowHeight="756" activeSheetId="2" showComments="commIndAndComment"/>
    <customWorkbookView name="it-berna - Personal View" guid="{266D37BA-F70B-4670-AA39-BEBF94364F31}" mergeInterval="0" personalView="1" maximized="1" xWindow="1" yWindow="1" windowWidth="1280" windowHeight="756" activeSheetId="2"/>
    <customWorkbookView name="es-murni - Personal View" guid="{E8B5ACD1-AF4F-425C-BC8F-24601639C119}" mergeInterval="0" personalView="1" maximized="1" xWindow="1" yWindow="1" windowWidth="1280" windowHeight="761" activeSheetId="4"/>
    <customWorkbookView name="es-sparn - Personal View" guid="{5ECD4D5C-9A15-4126-AFD4-D8586884C9F1}" mergeInterval="0" personalView="1" maximized="1" xWindow="1" yWindow="1" windowWidth="1280" windowHeight="726" activeSheetId="1"/>
    <customWorkbookView name="fud-albin - Personal View" guid="{9BD5A339-659D-4DB6-9EE5-D64F079FAB4B}" mergeInterval="0" personalView="1" maximized="1" xWindow="1" yWindow="1" windowWidth="1280" windowHeight="740" activeSheetId="1"/>
    <customWorkbookView name="fud-pieki - Personal View" guid="{BAE71775-BAF7-4075-956D-79F2B4C83DF2}" mergeInterval="0" personalView="1" maximized="1" xWindow="1" yWindow="1" windowWidth="1152" windowHeight="564" activeSheetId="2"/>
  </customWorkbookViews>
</workbook>
</file>

<file path=xl/calcChain.xml><?xml version="1.0" encoding="utf-8"?>
<calcChain xmlns="http://schemas.openxmlformats.org/spreadsheetml/2006/main">
  <c r="F12" i="18" l="1"/>
  <c r="H12" i="18"/>
  <c r="G12" i="18"/>
  <c r="E12" i="18" l="1"/>
  <c r="D12" i="18"/>
  <c r="D24" i="18" l="1"/>
  <c r="D22" i="18"/>
  <c r="D20" i="18"/>
  <c r="D19" i="18"/>
  <c r="D16" i="18"/>
  <c r="D10" i="18"/>
  <c r="D8" i="18"/>
  <c r="C13" i="18" l="1"/>
  <c r="F24" i="18" l="1"/>
  <c r="H18" i="18" l="1"/>
  <c r="G18" i="18"/>
  <c r="F18" i="18"/>
  <c r="E18" i="18"/>
  <c r="D18" i="18" l="1"/>
  <c r="D6" i="18" s="1"/>
  <c r="E6" i="18" l="1"/>
  <c r="F6" i="18" l="1"/>
  <c r="H6" i="18" l="1"/>
  <c r="G6" i="18"/>
  <c r="C18" i="18" l="1"/>
  <c r="C6" i="18" s="1"/>
  <c r="AA280" i="15" l="1"/>
  <c r="Z280" i="15"/>
  <c r="Z287" i="15" s="1"/>
  <c r="Y280" i="15"/>
  <c r="Y287" i="15" s="1"/>
  <c r="U280" i="15"/>
  <c r="U287" i="15" s="1"/>
  <c r="Q280" i="15"/>
  <c r="Q287" i="15" s="1"/>
  <c r="P280" i="15"/>
  <c r="P287" i="15" s="1"/>
  <c r="O280" i="15"/>
  <c r="O287" i="15" s="1"/>
  <c r="N280" i="15"/>
  <c r="M280" i="15"/>
  <c r="M287" i="15" s="1"/>
  <c r="L280" i="15"/>
  <c r="L287" i="15" s="1"/>
  <c r="K280" i="15"/>
  <c r="J280" i="15"/>
  <c r="AA279" i="15"/>
  <c r="Z279" i="15"/>
  <c r="Y279" i="15"/>
  <c r="U279" i="15"/>
  <c r="Q279" i="15"/>
  <c r="P279" i="15"/>
  <c r="P278" i="15" s="1"/>
  <c r="O279" i="15"/>
  <c r="O278" i="15" s="1"/>
  <c r="N279" i="15"/>
  <c r="M279" i="15"/>
  <c r="M278" i="15" s="1"/>
  <c r="L279" i="15"/>
  <c r="L278" i="15" s="1"/>
  <c r="K279" i="15"/>
  <c r="K278" i="15" s="1"/>
  <c r="J279" i="15"/>
  <c r="Q278" i="15"/>
  <c r="AA268" i="15"/>
  <c r="Z268" i="15"/>
  <c r="Y268" i="15"/>
  <c r="Q268" i="15"/>
  <c r="P268" i="15"/>
  <c r="O268" i="15"/>
  <c r="N268" i="15"/>
  <c r="M268" i="15"/>
  <c r="L268" i="15"/>
  <c r="K268" i="15"/>
  <c r="J268" i="15"/>
  <c r="AA263" i="15"/>
  <c r="Z263" i="15"/>
  <c r="Y263" i="15"/>
  <c r="U263" i="15"/>
  <c r="Q263" i="15"/>
  <c r="P263" i="15"/>
  <c r="O263" i="15"/>
  <c r="N263" i="15"/>
  <c r="M263" i="15"/>
  <c r="L263" i="15"/>
  <c r="K263" i="15"/>
  <c r="AC263" i="15" s="1"/>
  <c r="J263" i="15"/>
  <c r="AI254" i="15"/>
  <c r="AJ254" i="15" s="1"/>
  <c r="AF254" i="15"/>
  <c r="AC254" i="15"/>
  <c r="AB254" i="15"/>
  <c r="AD254" i="15" s="1"/>
  <c r="W254" i="15"/>
  <c r="V254" i="15"/>
  <c r="V280" i="15" s="1"/>
  <c r="V287" i="15" s="1"/>
  <c r="R254" i="15"/>
  <c r="T254" i="15" s="1"/>
  <c r="T280" i="15" s="1"/>
  <c r="T287" i="15" s="1"/>
  <c r="AI253" i="15"/>
  <c r="AJ253" i="15" s="1"/>
  <c r="AF253" i="15"/>
  <c r="AC253" i="15"/>
  <c r="AB253" i="15"/>
  <c r="AD253" i="15" s="1"/>
  <c r="W253" i="15"/>
  <c r="V253" i="15"/>
  <c r="R253" i="15"/>
  <c r="T253" i="15" s="1"/>
  <c r="AA252" i="15"/>
  <c r="Z252" i="15"/>
  <c r="Y252" i="15"/>
  <c r="U252" i="15"/>
  <c r="Q252" i="15"/>
  <c r="P252" i="15"/>
  <c r="O252" i="15"/>
  <c r="N252" i="15"/>
  <c r="M252" i="15"/>
  <c r="L252" i="15"/>
  <c r="K252" i="15"/>
  <c r="J252" i="15"/>
  <c r="I252" i="15"/>
  <c r="H252" i="15"/>
  <c r="G252" i="15"/>
  <c r="AJ251" i="15"/>
  <c r="AF251" i="15"/>
  <c r="AC251" i="15"/>
  <c r="AB251" i="15"/>
  <c r="AD251" i="15" s="1"/>
  <c r="W251" i="15"/>
  <c r="V251" i="15"/>
  <c r="R251" i="15"/>
  <c r="T251" i="15" s="1"/>
  <c r="AJ250" i="15"/>
  <c r="AF250" i="15"/>
  <c r="AC250" i="15"/>
  <c r="AB250" i="15"/>
  <c r="AD250" i="15" s="1"/>
  <c r="W250" i="15"/>
  <c r="V250" i="15"/>
  <c r="R250" i="15"/>
  <c r="I250" i="15"/>
  <c r="I249" i="15" s="1"/>
  <c r="AI249" i="15"/>
  <c r="AA249" i="15"/>
  <c r="Z249" i="15"/>
  <c r="Y249" i="15"/>
  <c r="U249" i="15"/>
  <c r="Q249" i="15"/>
  <c r="P249" i="15"/>
  <c r="O249" i="15"/>
  <c r="N249" i="15"/>
  <c r="M249" i="15"/>
  <c r="L249" i="15"/>
  <c r="K249" i="15"/>
  <c r="AC249" i="15" s="1"/>
  <c r="J249" i="15"/>
  <c r="H249" i="15"/>
  <c r="G249" i="15"/>
  <c r="AJ247" i="15"/>
  <c r="AF247" i="15"/>
  <c r="AC247" i="15"/>
  <c r="AB247" i="15"/>
  <c r="AD247" i="15" s="1"/>
  <c r="W247" i="15"/>
  <c r="V247" i="15"/>
  <c r="R247" i="15"/>
  <c r="T247" i="15" s="1"/>
  <c r="AJ246" i="15"/>
  <c r="AF246" i="15"/>
  <c r="AC246" i="15"/>
  <c r="AB246" i="15"/>
  <c r="AD246" i="15" s="1"/>
  <c r="W246" i="15"/>
  <c r="V246" i="15"/>
  <c r="R246" i="15"/>
  <c r="T246" i="15" s="1"/>
  <c r="AJ245" i="15"/>
  <c r="AF245" i="15"/>
  <c r="AC245" i="15"/>
  <c r="AB245" i="15"/>
  <c r="AD245" i="15" s="1"/>
  <c r="W245" i="15"/>
  <c r="V245" i="15"/>
  <c r="R245" i="15"/>
  <c r="T245" i="15" s="1"/>
  <c r="AJ244" i="15"/>
  <c r="AF244" i="15"/>
  <c r="AC244" i="15"/>
  <c r="AB244" i="15"/>
  <c r="AD244" i="15" s="1"/>
  <c r="W244" i="15"/>
  <c r="V244" i="15"/>
  <c r="R244" i="15"/>
  <c r="T244" i="15" s="1"/>
  <c r="AJ243" i="15"/>
  <c r="AF243" i="15"/>
  <c r="AC243" i="15"/>
  <c r="AB243" i="15"/>
  <c r="AD243" i="15" s="1"/>
  <c r="W243" i="15"/>
  <c r="V243" i="15"/>
  <c r="R243" i="15"/>
  <c r="T243" i="15" s="1"/>
  <c r="AI242" i="15"/>
  <c r="AA242" i="15"/>
  <c r="AA241" i="15" s="1"/>
  <c r="AA269" i="15" s="1"/>
  <c r="Z242" i="15"/>
  <c r="Z241" i="15" s="1"/>
  <c r="Y242" i="15"/>
  <c r="Y241" i="15" s="1"/>
  <c r="U242" i="15"/>
  <c r="U241" i="15" s="1"/>
  <c r="U269" i="15" s="1"/>
  <c r="Q242" i="15"/>
  <c r="Q241" i="15" s="1"/>
  <c r="P242" i="15"/>
  <c r="P241" i="15" s="1"/>
  <c r="P269" i="15" s="1"/>
  <c r="O242" i="15"/>
  <c r="O241" i="15" s="1"/>
  <c r="O269" i="15" s="1"/>
  <c r="N242" i="15"/>
  <c r="N241" i="15" s="1"/>
  <c r="M242" i="15"/>
  <c r="M241" i="15" s="1"/>
  <c r="M269" i="15" s="1"/>
  <c r="L242" i="15"/>
  <c r="L241" i="15" s="1"/>
  <c r="L269" i="15" s="1"/>
  <c r="K242" i="15"/>
  <c r="K241" i="15" s="1"/>
  <c r="J242" i="15"/>
  <c r="J241" i="15" s="1"/>
  <c r="I242" i="15"/>
  <c r="I241" i="15" s="1"/>
  <c r="H242" i="15"/>
  <c r="H241" i="15" s="1"/>
  <c r="G242" i="15"/>
  <c r="G241" i="15" s="1"/>
  <c r="AI240" i="15"/>
  <c r="AJ240" i="15" s="1"/>
  <c r="AF240" i="15"/>
  <c r="AC240" i="15"/>
  <c r="AB240" i="15"/>
  <c r="AD240" i="15" s="1"/>
  <c r="W240" i="15"/>
  <c r="V240" i="15"/>
  <c r="R240" i="15"/>
  <c r="T240" i="15" s="1"/>
  <c r="AI239" i="15"/>
  <c r="AJ239" i="15" s="1"/>
  <c r="AF239" i="15"/>
  <c r="AC239" i="15"/>
  <c r="AB239" i="15"/>
  <c r="AD239" i="15" s="1"/>
  <c r="W239" i="15"/>
  <c r="V239" i="15"/>
  <c r="R239" i="15"/>
  <c r="T239" i="15" s="1"/>
  <c r="AI238" i="15"/>
  <c r="AJ238" i="15" s="1"/>
  <c r="AF238" i="15"/>
  <c r="AC238" i="15"/>
  <c r="AB238" i="15"/>
  <c r="AD238" i="15" s="1"/>
  <c r="W238" i="15"/>
  <c r="V238" i="15"/>
  <c r="R238" i="15"/>
  <c r="T238" i="15" s="1"/>
  <c r="AI237" i="15"/>
  <c r="AJ237" i="15" s="1"/>
  <c r="AF237" i="15"/>
  <c r="AC237" i="15"/>
  <c r="AB237" i="15"/>
  <c r="AD237" i="15" s="1"/>
  <c r="W237" i="15"/>
  <c r="V237" i="15"/>
  <c r="R237" i="15"/>
  <c r="T237" i="15" s="1"/>
  <c r="AI236" i="15"/>
  <c r="AJ236" i="15" s="1"/>
  <c r="AF236" i="15"/>
  <c r="AC236" i="15"/>
  <c r="AB236" i="15"/>
  <c r="AD236" i="15" s="1"/>
  <c r="W236" i="15"/>
  <c r="V236" i="15"/>
  <c r="R236" i="15"/>
  <c r="T236" i="15" s="1"/>
  <c r="AA235" i="15"/>
  <c r="AA233" i="15" s="1"/>
  <c r="Z235" i="15"/>
  <c r="Z233" i="15" s="1"/>
  <c r="Z259" i="15" s="1"/>
  <c r="Y235" i="15"/>
  <c r="U235" i="15"/>
  <c r="Q235" i="15"/>
  <c r="Q233" i="15" s="1"/>
  <c r="Q259" i="15" s="1"/>
  <c r="P235" i="15"/>
  <c r="P233" i="15" s="1"/>
  <c r="P259" i="15" s="1"/>
  <c r="O235" i="15"/>
  <c r="O233" i="15" s="1"/>
  <c r="N235" i="15"/>
  <c r="N233" i="15" s="1"/>
  <c r="N259" i="15" s="1"/>
  <c r="M235" i="15"/>
  <c r="M233" i="15" s="1"/>
  <c r="M259" i="15" s="1"/>
  <c r="L235" i="15"/>
  <c r="L233" i="15" s="1"/>
  <c r="K235" i="15"/>
  <c r="J235" i="15"/>
  <c r="J233" i="15" s="1"/>
  <c r="I235" i="15"/>
  <c r="I233" i="15" s="1"/>
  <c r="H235" i="15"/>
  <c r="H233" i="15" s="1"/>
  <c r="G235" i="15"/>
  <c r="G233" i="15" s="1"/>
  <c r="AI234" i="15"/>
  <c r="AF234" i="15"/>
  <c r="AC234" i="15"/>
  <c r="AB234" i="15"/>
  <c r="AD234" i="15" s="1"/>
  <c r="W234" i="15"/>
  <c r="V234" i="15"/>
  <c r="R234" i="15"/>
  <c r="T234" i="15" s="1"/>
  <c r="U233" i="15"/>
  <c r="AJ231" i="15"/>
  <c r="AF231" i="15"/>
  <c r="AC231" i="15"/>
  <c r="AB231" i="15"/>
  <c r="AD231" i="15" s="1"/>
  <c r="W231" i="15"/>
  <c r="V231" i="15"/>
  <c r="R231" i="15"/>
  <c r="T231" i="15" s="1"/>
  <c r="AJ230" i="15"/>
  <c r="AF230" i="15"/>
  <c r="AC230" i="15"/>
  <c r="AB230" i="15"/>
  <c r="AD230" i="15" s="1"/>
  <c r="W230" i="15"/>
  <c r="V230" i="15"/>
  <c r="R230" i="15"/>
  <c r="T230" i="15" s="1"/>
  <c r="AI229" i="15"/>
  <c r="AA229" i="15"/>
  <c r="Z229" i="15"/>
  <c r="Y229" i="15"/>
  <c r="U229" i="15"/>
  <c r="Q229" i="15"/>
  <c r="P229" i="15"/>
  <c r="O229" i="15"/>
  <c r="N229" i="15"/>
  <c r="M229" i="15"/>
  <c r="L229" i="15"/>
  <c r="K229" i="15"/>
  <c r="J229" i="15"/>
  <c r="I229" i="15"/>
  <c r="H229" i="15"/>
  <c r="G229" i="15"/>
  <c r="AJ228" i="15"/>
  <c r="AF228" i="15"/>
  <c r="AC228" i="15"/>
  <c r="AB228" i="15"/>
  <c r="AD228" i="15" s="1"/>
  <c r="W228" i="15"/>
  <c r="V228" i="15"/>
  <c r="R228" i="15"/>
  <c r="T228" i="15" s="1"/>
  <c r="AJ227" i="15"/>
  <c r="AF227" i="15"/>
  <c r="AC227" i="15"/>
  <c r="AB227" i="15"/>
  <c r="AD227" i="15" s="1"/>
  <c r="W227" i="15"/>
  <c r="V227" i="15"/>
  <c r="R227" i="15"/>
  <c r="T227" i="15" s="1"/>
  <c r="AJ226" i="15"/>
  <c r="AF226" i="15"/>
  <c r="AC226" i="15"/>
  <c r="AB226" i="15"/>
  <c r="AD226" i="15" s="1"/>
  <c r="W226" i="15"/>
  <c r="V226" i="15"/>
  <c r="R226" i="15"/>
  <c r="T226" i="15" s="1"/>
  <c r="AI225" i="15"/>
  <c r="AA225" i="15"/>
  <c r="Z225" i="15"/>
  <c r="Z274" i="15" s="1"/>
  <c r="Y225" i="15"/>
  <c r="Y274" i="15" s="1"/>
  <c r="U225" i="15"/>
  <c r="Q225" i="15"/>
  <c r="Q274" i="15" s="1"/>
  <c r="P225" i="15"/>
  <c r="P274" i="15" s="1"/>
  <c r="O225" i="15"/>
  <c r="O274" i="15" s="1"/>
  <c r="N225" i="15"/>
  <c r="N274" i="15" s="1"/>
  <c r="M225" i="15"/>
  <c r="M274" i="15" s="1"/>
  <c r="L225" i="15"/>
  <c r="L274" i="15" s="1"/>
  <c r="K225" i="15"/>
  <c r="J225" i="15"/>
  <c r="J274" i="15" s="1"/>
  <c r="I225" i="15"/>
  <c r="H225" i="15"/>
  <c r="G225" i="15"/>
  <c r="AJ224" i="15"/>
  <c r="AF224" i="15"/>
  <c r="AC224" i="15"/>
  <c r="AB224" i="15"/>
  <c r="AD224" i="15" s="1"/>
  <c r="W224" i="15"/>
  <c r="V224" i="15"/>
  <c r="R224" i="15"/>
  <c r="T224" i="15" s="1"/>
  <c r="AJ223" i="15"/>
  <c r="AF223" i="15"/>
  <c r="AC223" i="15"/>
  <c r="AB223" i="15"/>
  <c r="AD223" i="15" s="1"/>
  <c r="W223" i="15"/>
  <c r="V223" i="15"/>
  <c r="R223" i="15"/>
  <c r="T223" i="15" s="1"/>
  <c r="AJ222" i="15"/>
  <c r="AF222" i="15"/>
  <c r="AC222" i="15"/>
  <c r="AB222" i="15"/>
  <c r="AD222" i="15" s="1"/>
  <c r="W222" i="15"/>
  <c r="V222" i="15"/>
  <c r="R222" i="15"/>
  <c r="T222" i="15" s="1"/>
  <c r="AJ221" i="15"/>
  <c r="AF221" i="15"/>
  <c r="AC221" i="15"/>
  <c r="AB221" i="15"/>
  <c r="AD221" i="15" s="1"/>
  <c r="W221" i="15"/>
  <c r="V221" i="15"/>
  <c r="R221" i="15"/>
  <c r="T221" i="15" s="1"/>
  <c r="AI220" i="15"/>
  <c r="AA220" i="15"/>
  <c r="AA219" i="15" s="1"/>
  <c r="Z220" i="15"/>
  <c r="Y220" i="15"/>
  <c r="Y219" i="15" s="1"/>
  <c r="U220" i="15"/>
  <c r="U219" i="15" s="1"/>
  <c r="Q220" i="15"/>
  <c r="Q219" i="15" s="1"/>
  <c r="P220" i="15"/>
  <c r="P219" i="15" s="1"/>
  <c r="O220" i="15"/>
  <c r="O219" i="15" s="1"/>
  <c r="N220" i="15"/>
  <c r="N219" i="15" s="1"/>
  <c r="M220" i="15"/>
  <c r="M219" i="15" s="1"/>
  <c r="L220" i="15"/>
  <c r="L219" i="15" s="1"/>
  <c r="K220" i="15"/>
  <c r="J220" i="15"/>
  <c r="J219" i="15" s="1"/>
  <c r="I220" i="15"/>
  <c r="I219" i="15" s="1"/>
  <c r="H220" i="15"/>
  <c r="H219" i="15" s="1"/>
  <c r="G220" i="15"/>
  <c r="G219" i="15" s="1"/>
  <c r="AJ218" i="15"/>
  <c r="AF218" i="15"/>
  <c r="AC218" i="15"/>
  <c r="AB218" i="15"/>
  <c r="AD218" i="15" s="1"/>
  <c r="W218" i="15"/>
  <c r="V218" i="15"/>
  <c r="R218" i="15"/>
  <c r="T218" i="15" s="1"/>
  <c r="AJ217" i="15"/>
  <c r="AF217" i="15"/>
  <c r="AC217" i="15"/>
  <c r="AB217" i="15"/>
  <c r="AD217" i="15" s="1"/>
  <c r="W217" i="15"/>
  <c r="V217" i="15"/>
  <c r="R217" i="15"/>
  <c r="T217" i="15" s="1"/>
  <c r="AI216" i="15"/>
  <c r="AF216" i="15"/>
  <c r="AC216" i="15"/>
  <c r="AB216" i="15"/>
  <c r="AD216" i="15" s="1"/>
  <c r="W216" i="15"/>
  <c r="V216" i="15"/>
  <c r="R216" i="15"/>
  <c r="T216" i="15" s="1"/>
  <c r="AA215" i="15"/>
  <c r="Z215" i="15"/>
  <c r="Z210" i="15" s="1"/>
  <c r="Y215" i="15"/>
  <c r="Y210" i="15" s="1"/>
  <c r="U215" i="15"/>
  <c r="Q215" i="15"/>
  <c r="Q210" i="15" s="1"/>
  <c r="P215" i="15"/>
  <c r="P210" i="15" s="1"/>
  <c r="O215" i="15"/>
  <c r="O210" i="15" s="1"/>
  <c r="N215" i="15"/>
  <c r="N210" i="15" s="1"/>
  <c r="M215" i="15"/>
  <c r="M210" i="15" s="1"/>
  <c r="L215" i="15"/>
  <c r="L210" i="15" s="1"/>
  <c r="K215" i="15"/>
  <c r="K210" i="15" s="1"/>
  <c r="J215" i="15"/>
  <c r="I215" i="15"/>
  <c r="I210" i="15" s="1"/>
  <c r="H215" i="15"/>
  <c r="H210" i="15" s="1"/>
  <c r="G215" i="15"/>
  <c r="G210" i="15" s="1"/>
  <c r="AI214" i="15"/>
  <c r="AJ214" i="15" s="1"/>
  <c r="AF214" i="15"/>
  <c r="AC214" i="15"/>
  <c r="AB214" i="15"/>
  <c r="AD214" i="15" s="1"/>
  <c r="W214" i="15"/>
  <c r="V214" i="15"/>
  <c r="R214" i="15"/>
  <c r="T214" i="15" s="1"/>
  <c r="AI213" i="15"/>
  <c r="AJ213" i="15" s="1"/>
  <c r="AF213" i="15"/>
  <c r="AC213" i="15"/>
  <c r="AB213" i="15"/>
  <c r="AD213" i="15" s="1"/>
  <c r="W213" i="15"/>
  <c r="V213" i="15"/>
  <c r="R213" i="15"/>
  <c r="T213" i="15" s="1"/>
  <c r="AJ212" i="15"/>
  <c r="AF212" i="15"/>
  <c r="AC212" i="15"/>
  <c r="AB212" i="15"/>
  <c r="AD212" i="15" s="1"/>
  <c r="W212" i="15"/>
  <c r="V212" i="15"/>
  <c r="R212" i="15"/>
  <c r="T212" i="15" s="1"/>
  <c r="AI211" i="15"/>
  <c r="AJ211" i="15" s="1"/>
  <c r="AF211" i="15"/>
  <c r="AC211" i="15"/>
  <c r="AB211" i="15"/>
  <c r="AD211" i="15" s="1"/>
  <c r="W211" i="15"/>
  <c r="V211" i="15"/>
  <c r="R211" i="15"/>
  <c r="T211" i="15" s="1"/>
  <c r="AJ208" i="15"/>
  <c r="AF208" i="15"/>
  <c r="AC208" i="15"/>
  <c r="AB208" i="15"/>
  <c r="AD208" i="15" s="1"/>
  <c r="W208" i="15"/>
  <c r="V208" i="15"/>
  <c r="R208" i="15"/>
  <c r="T208" i="15" s="1"/>
  <c r="AI207" i="15"/>
  <c r="AA207" i="15"/>
  <c r="Z207" i="15"/>
  <c r="Y207" i="15"/>
  <c r="U207" i="15"/>
  <c r="Q207" i="15"/>
  <c r="P207" i="15"/>
  <c r="O207" i="15"/>
  <c r="N207" i="15"/>
  <c r="M207" i="15"/>
  <c r="L207" i="15"/>
  <c r="K207" i="15"/>
  <c r="J207" i="15"/>
  <c r="I207" i="15"/>
  <c r="H207" i="15"/>
  <c r="G207" i="15"/>
  <c r="AI206" i="15"/>
  <c r="AI200" i="15" s="1"/>
  <c r="AF206" i="15"/>
  <c r="AC206" i="15"/>
  <c r="AB206" i="15"/>
  <c r="AD206" i="15" s="1"/>
  <c r="W206" i="15"/>
  <c r="V206" i="15"/>
  <c r="R206" i="15"/>
  <c r="T206" i="15" s="1"/>
  <c r="AJ205" i="15"/>
  <c r="AF205" i="15"/>
  <c r="AC205" i="15"/>
  <c r="AB205" i="15"/>
  <c r="AD205" i="15" s="1"/>
  <c r="W205" i="15"/>
  <c r="V205" i="15"/>
  <c r="R205" i="15"/>
  <c r="T205" i="15" s="1"/>
  <c r="AJ204" i="15"/>
  <c r="AF204" i="15"/>
  <c r="AC204" i="15"/>
  <c r="AB204" i="15"/>
  <c r="AD204" i="15" s="1"/>
  <c r="W204" i="15"/>
  <c r="V204" i="15"/>
  <c r="R204" i="15"/>
  <c r="T204" i="15" s="1"/>
  <c r="AJ203" i="15"/>
  <c r="AF203" i="15"/>
  <c r="AC203" i="15"/>
  <c r="AB203" i="15"/>
  <c r="AD203" i="15" s="1"/>
  <c r="W203" i="15"/>
  <c r="V203" i="15"/>
  <c r="R203" i="15"/>
  <c r="T203" i="15" s="1"/>
  <c r="AJ202" i="15"/>
  <c r="AF202" i="15"/>
  <c r="AC202" i="15"/>
  <c r="AB202" i="15"/>
  <c r="AD202" i="15" s="1"/>
  <c r="W202" i="15"/>
  <c r="V202" i="15"/>
  <c r="R202" i="15"/>
  <c r="T202" i="15" s="1"/>
  <c r="AJ201" i="15"/>
  <c r="AF201" i="15"/>
  <c r="AC201" i="15"/>
  <c r="AB201" i="15"/>
  <c r="AD201" i="15" s="1"/>
  <c r="W201" i="15"/>
  <c r="V201" i="15"/>
  <c r="R201" i="15"/>
  <c r="I201" i="15"/>
  <c r="I200" i="15" s="1"/>
  <c r="AA200" i="15"/>
  <c r="Z200" i="15"/>
  <c r="Y200" i="15"/>
  <c r="U200" i="15"/>
  <c r="Q200" i="15"/>
  <c r="P200" i="15"/>
  <c r="O200" i="15"/>
  <c r="N200" i="15"/>
  <c r="M200" i="15"/>
  <c r="L200" i="15"/>
  <c r="K200" i="15"/>
  <c r="J200" i="15"/>
  <c r="H200" i="15"/>
  <c r="G200" i="15"/>
  <c r="AJ198" i="15"/>
  <c r="AF198" i="15"/>
  <c r="AC198" i="15"/>
  <c r="AB198" i="15"/>
  <c r="AD198" i="15" s="1"/>
  <c r="W198" i="15"/>
  <c r="V198" i="15"/>
  <c r="R198" i="15"/>
  <c r="T198" i="15" s="1"/>
  <c r="AJ197" i="15"/>
  <c r="AF197" i="15"/>
  <c r="AC197" i="15"/>
  <c r="AB197" i="15"/>
  <c r="AD197" i="15" s="1"/>
  <c r="W197" i="15"/>
  <c r="V197" i="15"/>
  <c r="R197" i="15"/>
  <c r="T197" i="15" s="1"/>
  <c r="AI196" i="15"/>
  <c r="AA196" i="15"/>
  <c r="Z196" i="15"/>
  <c r="Y196" i="15"/>
  <c r="U196" i="15"/>
  <c r="Q196" i="15"/>
  <c r="P196" i="15"/>
  <c r="O196" i="15"/>
  <c r="N196" i="15"/>
  <c r="M196" i="15"/>
  <c r="L196" i="15"/>
  <c r="K196" i="15"/>
  <c r="J196" i="15"/>
  <c r="I196" i="15"/>
  <c r="H196" i="15"/>
  <c r="G196" i="15"/>
  <c r="AJ195" i="15"/>
  <c r="AF195" i="15"/>
  <c r="AC195" i="15"/>
  <c r="AB195" i="15"/>
  <c r="AD195" i="15" s="1"/>
  <c r="W195" i="15"/>
  <c r="V195" i="15"/>
  <c r="R195" i="15"/>
  <c r="T195" i="15" s="1"/>
  <c r="AJ194" i="15"/>
  <c r="AF194" i="15"/>
  <c r="AC194" i="15"/>
  <c r="AB194" i="15"/>
  <c r="AD194" i="15" s="1"/>
  <c r="W194" i="15"/>
  <c r="V194" i="15"/>
  <c r="R194" i="15"/>
  <c r="T194" i="15" s="1"/>
  <c r="AI193" i="15"/>
  <c r="AF193" i="15"/>
  <c r="AC193" i="15"/>
  <c r="AB193" i="15"/>
  <c r="AD193" i="15" s="1"/>
  <c r="W193" i="15"/>
  <c r="V193" i="15"/>
  <c r="R193" i="15"/>
  <c r="T193" i="15" s="1"/>
  <c r="AI192" i="15"/>
  <c r="AJ192" i="15" s="1"/>
  <c r="AF192" i="15"/>
  <c r="AC192" i="15"/>
  <c r="AB192" i="15"/>
  <c r="AD192" i="15" s="1"/>
  <c r="W192" i="15"/>
  <c r="V192" i="15"/>
  <c r="R192" i="15"/>
  <c r="T192" i="15" s="1"/>
  <c r="AA191" i="15"/>
  <c r="Z191" i="15"/>
  <c r="Y191" i="15"/>
  <c r="U191" i="15"/>
  <c r="Q191" i="15"/>
  <c r="P191" i="15"/>
  <c r="O191" i="15"/>
  <c r="N191" i="15"/>
  <c r="M191" i="15"/>
  <c r="L191" i="15"/>
  <c r="K191" i="15"/>
  <c r="J191" i="15"/>
  <c r="I191" i="15"/>
  <c r="H191" i="15"/>
  <c r="G191" i="15"/>
  <c r="AJ189" i="15"/>
  <c r="AF189" i="15"/>
  <c r="AC189" i="15"/>
  <c r="AB189" i="15"/>
  <c r="AD189" i="15" s="1"/>
  <c r="W189" i="15"/>
  <c r="V189" i="15"/>
  <c r="R189" i="15"/>
  <c r="T189" i="15" s="1"/>
  <c r="AJ188" i="15"/>
  <c r="AF188" i="15"/>
  <c r="AC188" i="15"/>
  <c r="AB188" i="15"/>
  <c r="AD188" i="15" s="1"/>
  <c r="W188" i="15"/>
  <c r="V188" i="15"/>
  <c r="R188" i="15"/>
  <c r="T188" i="15" s="1"/>
  <c r="AJ187" i="15"/>
  <c r="AF187" i="15"/>
  <c r="AC187" i="15"/>
  <c r="AB187" i="15"/>
  <c r="AD187" i="15" s="1"/>
  <c r="W187" i="15"/>
  <c r="V187" i="15"/>
  <c r="R187" i="15"/>
  <c r="T187" i="15" s="1"/>
  <c r="AJ186" i="15"/>
  <c r="AF186" i="15"/>
  <c r="AC186" i="15"/>
  <c r="AB186" i="15"/>
  <c r="AD186" i="15" s="1"/>
  <c r="W186" i="15"/>
  <c r="V186" i="15"/>
  <c r="R186" i="15"/>
  <c r="T186" i="15" s="1"/>
  <c r="AI185" i="15"/>
  <c r="AA185" i="15"/>
  <c r="Z185" i="15"/>
  <c r="Z182" i="15" s="1"/>
  <c r="Y185" i="15"/>
  <c r="U185" i="15"/>
  <c r="U182" i="15" s="1"/>
  <c r="Q185" i="15"/>
  <c r="Q182" i="15" s="1"/>
  <c r="P185" i="15"/>
  <c r="P182" i="15" s="1"/>
  <c r="O185" i="15"/>
  <c r="O182" i="15" s="1"/>
  <c r="N185" i="15"/>
  <c r="N182" i="15" s="1"/>
  <c r="M185" i="15"/>
  <c r="M182" i="15" s="1"/>
  <c r="L185" i="15"/>
  <c r="L182" i="15" s="1"/>
  <c r="K185" i="15"/>
  <c r="K182" i="15" s="1"/>
  <c r="J185" i="15"/>
  <c r="I185" i="15"/>
  <c r="H185" i="15"/>
  <c r="H182" i="15" s="1"/>
  <c r="G185" i="15"/>
  <c r="AJ184" i="15"/>
  <c r="AF184" i="15"/>
  <c r="AC184" i="15"/>
  <c r="AB184" i="15"/>
  <c r="AD184" i="15" s="1"/>
  <c r="W184" i="15"/>
  <c r="V184" i="15"/>
  <c r="R184" i="15"/>
  <c r="I184" i="15"/>
  <c r="AJ183" i="15"/>
  <c r="AF183" i="15"/>
  <c r="AC183" i="15"/>
  <c r="AB183" i="15"/>
  <c r="AD183" i="15" s="1"/>
  <c r="W183" i="15"/>
  <c r="V183" i="15"/>
  <c r="R183" i="15"/>
  <c r="T183" i="15" s="1"/>
  <c r="G182" i="15"/>
  <c r="AJ180" i="15"/>
  <c r="AF180" i="15"/>
  <c r="AC180" i="15"/>
  <c r="AB180" i="15"/>
  <c r="AD180" i="15" s="1"/>
  <c r="W180" i="15"/>
  <c r="V180" i="15"/>
  <c r="R180" i="15"/>
  <c r="T180" i="15" s="1"/>
  <c r="AJ179" i="15"/>
  <c r="AF179" i="15"/>
  <c r="AC179" i="15"/>
  <c r="AB179" i="15"/>
  <c r="AD179" i="15" s="1"/>
  <c r="W179" i="15"/>
  <c r="V179" i="15"/>
  <c r="R179" i="15"/>
  <c r="AI178" i="15"/>
  <c r="AA178" i="15"/>
  <c r="Z178" i="15"/>
  <c r="Y178" i="15"/>
  <c r="U178" i="15"/>
  <c r="Q178" i="15"/>
  <c r="P178" i="15"/>
  <c r="O178" i="15"/>
  <c r="N178" i="15"/>
  <c r="M178" i="15"/>
  <c r="L178" i="15"/>
  <c r="K178" i="15"/>
  <c r="J178" i="15"/>
  <c r="I178" i="15"/>
  <c r="H178" i="15"/>
  <c r="G178" i="15"/>
  <c r="AJ177" i="15"/>
  <c r="AF177" i="15"/>
  <c r="AC177" i="15"/>
  <c r="AB177" i="15"/>
  <c r="AD177" i="15" s="1"/>
  <c r="W177" i="15"/>
  <c r="V177" i="15"/>
  <c r="R177" i="15"/>
  <c r="T177" i="15" s="1"/>
  <c r="AJ176" i="15"/>
  <c r="AF176" i="15"/>
  <c r="AC176" i="15"/>
  <c r="AB176" i="15"/>
  <c r="AD176" i="15" s="1"/>
  <c r="W176" i="15"/>
  <c r="V176" i="15"/>
  <c r="R176" i="15"/>
  <c r="T176" i="15" s="1"/>
  <c r="AJ175" i="15"/>
  <c r="AF175" i="15"/>
  <c r="AC175" i="15"/>
  <c r="AB175" i="15"/>
  <c r="AD175" i="15" s="1"/>
  <c r="W175" i="15"/>
  <c r="V175" i="15"/>
  <c r="R175" i="15"/>
  <c r="T175" i="15" s="1"/>
  <c r="AI174" i="15"/>
  <c r="AA174" i="15"/>
  <c r="Z174" i="15"/>
  <c r="Y174" i="15"/>
  <c r="U174" i="15"/>
  <c r="Q174" i="15"/>
  <c r="P174" i="15"/>
  <c r="O174" i="15"/>
  <c r="N174" i="15"/>
  <c r="M174" i="15"/>
  <c r="L174" i="15"/>
  <c r="K174" i="15"/>
  <c r="J174" i="15"/>
  <c r="I174" i="15"/>
  <c r="H174" i="15"/>
  <c r="G174" i="15"/>
  <c r="AJ172" i="15"/>
  <c r="AF172" i="15"/>
  <c r="AC172" i="15"/>
  <c r="AB172" i="15"/>
  <c r="AD172" i="15" s="1"/>
  <c r="W172" i="15"/>
  <c r="V172" i="15"/>
  <c r="R172" i="15"/>
  <c r="T172" i="15" s="1"/>
  <c r="AI171" i="15"/>
  <c r="AJ171" i="15" s="1"/>
  <c r="AF171" i="15"/>
  <c r="AC171" i="15"/>
  <c r="AB171" i="15"/>
  <c r="AD171" i="15" s="1"/>
  <c r="W171" i="15"/>
  <c r="V171" i="15"/>
  <c r="R171" i="15"/>
  <c r="T171" i="15" s="1"/>
  <c r="AJ170" i="15"/>
  <c r="AF170" i="15"/>
  <c r="AC170" i="15"/>
  <c r="AB170" i="15"/>
  <c r="AD170" i="15" s="1"/>
  <c r="W170" i="15"/>
  <c r="V170" i="15"/>
  <c r="R170" i="15"/>
  <c r="T170" i="15" s="1"/>
  <c r="AJ169" i="15"/>
  <c r="AF169" i="15"/>
  <c r="AC169" i="15"/>
  <c r="AB169" i="15"/>
  <c r="AD169" i="15" s="1"/>
  <c r="W169" i="15"/>
  <c r="V169" i="15"/>
  <c r="R169" i="15"/>
  <c r="T169" i="15" s="1"/>
  <c r="AJ168" i="15"/>
  <c r="AF168" i="15"/>
  <c r="AC168" i="15"/>
  <c r="AB168" i="15"/>
  <c r="AD168" i="15" s="1"/>
  <c r="W168" i="15"/>
  <c r="V168" i="15"/>
  <c r="R168" i="15"/>
  <c r="T168" i="15" s="1"/>
  <c r="AJ167" i="15"/>
  <c r="AF167" i="15"/>
  <c r="AC167" i="15"/>
  <c r="AB167" i="15"/>
  <c r="AD167" i="15" s="1"/>
  <c r="W167" i="15"/>
  <c r="V167" i="15"/>
  <c r="R167" i="15"/>
  <c r="T167" i="15" s="1"/>
  <c r="AJ166" i="15"/>
  <c r="AF166" i="15"/>
  <c r="AC166" i="15"/>
  <c r="AB166" i="15"/>
  <c r="AD166" i="15" s="1"/>
  <c r="W166" i="15"/>
  <c r="V166" i="15"/>
  <c r="R166" i="15"/>
  <c r="T166" i="15" s="1"/>
  <c r="AJ165" i="15"/>
  <c r="AF165" i="15"/>
  <c r="AC165" i="15"/>
  <c r="AB165" i="15"/>
  <c r="AD165" i="15" s="1"/>
  <c r="W165" i="15"/>
  <c r="V165" i="15"/>
  <c r="R165" i="15"/>
  <c r="T165" i="15" s="1"/>
  <c r="AI164" i="15"/>
  <c r="AA164" i="15"/>
  <c r="AA277" i="15" s="1"/>
  <c r="Z164" i="15"/>
  <c r="Z277" i="15" s="1"/>
  <c r="Y164" i="15"/>
  <c r="Y163" i="15" s="1"/>
  <c r="U164" i="15"/>
  <c r="U277" i="15" s="1"/>
  <c r="Q164" i="15"/>
  <c r="Q277" i="15" s="1"/>
  <c r="P164" i="15"/>
  <c r="P277" i="15" s="1"/>
  <c r="O164" i="15"/>
  <c r="N164" i="15"/>
  <c r="M164" i="15"/>
  <c r="M277" i="15" s="1"/>
  <c r="L164" i="15"/>
  <c r="L277" i="15" s="1"/>
  <c r="K164" i="15"/>
  <c r="J164" i="15"/>
  <c r="I164" i="15"/>
  <c r="I163" i="15" s="1"/>
  <c r="H164" i="15"/>
  <c r="H163" i="15" s="1"/>
  <c r="G164" i="15"/>
  <c r="G163" i="15" s="1"/>
  <c r="AJ162" i="15"/>
  <c r="AF162" i="15"/>
  <c r="AC162" i="15"/>
  <c r="AB162" i="15"/>
  <c r="AD162" i="15" s="1"/>
  <c r="W162" i="15"/>
  <c r="V162" i="15"/>
  <c r="R162" i="15"/>
  <c r="T162" i="15" s="1"/>
  <c r="AI161" i="15"/>
  <c r="AF161" i="15"/>
  <c r="AC161" i="15"/>
  <c r="AB161" i="15"/>
  <c r="AD161" i="15" s="1"/>
  <c r="W161" i="15"/>
  <c r="V161" i="15"/>
  <c r="R161" i="15"/>
  <c r="T161" i="15" s="1"/>
  <c r="AA160" i="15"/>
  <c r="Z160" i="15"/>
  <c r="Z157" i="15" s="1"/>
  <c r="Y160" i="15"/>
  <c r="Y157" i="15" s="1"/>
  <c r="U160" i="15"/>
  <c r="Q160" i="15"/>
  <c r="Q157" i="15" s="1"/>
  <c r="P160" i="15"/>
  <c r="P157" i="15" s="1"/>
  <c r="O160" i="15"/>
  <c r="O157" i="15" s="1"/>
  <c r="N160" i="15"/>
  <c r="N157" i="15" s="1"/>
  <c r="M160" i="15"/>
  <c r="M157" i="15" s="1"/>
  <c r="L160" i="15"/>
  <c r="L157" i="15" s="1"/>
  <c r="K160" i="15"/>
  <c r="K157" i="15" s="1"/>
  <c r="J160" i="15"/>
  <c r="J157" i="15" s="1"/>
  <c r="I160" i="15"/>
  <c r="I157" i="15" s="1"/>
  <c r="H160" i="15"/>
  <c r="H157" i="15" s="1"/>
  <c r="G160" i="15"/>
  <c r="G157" i="15" s="1"/>
  <c r="AJ159" i="15"/>
  <c r="AF159" i="15"/>
  <c r="AC159" i="15"/>
  <c r="AB159" i="15"/>
  <c r="AD159" i="15" s="1"/>
  <c r="W159" i="15"/>
  <c r="V159" i="15"/>
  <c r="R159" i="15"/>
  <c r="T159" i="15" s="1"/>
  <c r="AJ158" i="15"/>
  <c r="AF158" i="15"/>
  <c r="AC158" i="15"/>
  <c r="AB158" i="15"/>
  <c r="AD158" i="15" s="1"/>
  <c r="W158" i="15"/>
  <c r="V158" i="15"/>
  <c r="R158" i="15"/>
  <c r="T158" i="15" s="1"/>
  <c r="AJ156" i="15"/>
  <c r="AF156" i="15"/>
  <c r="AC156" i="15"/>
  <c r="AB156" i="15"/>
  <c r="AD156" i="15" s="1"/>
  <c r="W156" i="15"/>
  <c r="V156" i="15"/>
  <c r="R156" i="15"/>
  <c r="T156" i="15" s="1"/>
  <c r="AI155" i="15"/>
  <c r="AJ155" i="15" s="1"/>
  <c r="AF155" i="15"/>
  <c r="AD155" i="15"/>
  <c r="AC155" i="15"/>
  <c r="AB155" i="15"/>
  <c r="W155" i="15"/>
  <c r="V155" i="15"/>
  <c r="R155" i="15"/>
  <c r="T155" i="15" s="1"/>
  <c r="AA154" i="15"/>
  <c r="Z154" i="15"/>
  <c r="Y154" i="15"/>
  <c r="U154" i="15"/>
  <c r="Q154" i="15"/>
  <c r="P154" i="15"/>
  <c r="O154" i="15"/>
  <c r="N154" i="15"/>
  <c r="M154" i="15"/>
  <c r="L154" i="15"/>
  <c r="K154" i="15"/>
  <c r="AC154" i="15" s="1"/>
  <c r="J154" i="15"/>
  <c r="I154" i="15"/>
  <c r="H154" i="15"/>
  <c r="G154" i="15"/>
  <c r="AJ153" i="15"/>
  <c r="AF153" i="15"/>
  <c r="AC153" i="15"/>
  <c r="AB153" i="15"/>
  <c r="AD153" i="15" s="1"/>
  <c r="W153" i="15"/>
  <c r="V153" i="15"/>
  <c r="R153" i="15"/>
  <c r="T153" i="15" s="1"/>
  <c r="AI152" i="15"/>
  <c r="AJ152" i="15" s="1"/>
  <c r="AF152" i="15"/>
  <c r="AC152" i="15"/>
  <c r="AB152" i="15"/>
  <c r="AD152" i="15" s="1"/>
  <c r="W152" i="15"/>
  <c r="V152" i="15"/>
  <c r="R152" i="15"/>
  <c r="T152" i="15" s="1"/>
  <c r="AA151" i="15"/>
  <c r="Z151" i="15"/>
  <c r="Y151" i="15"/>
  <c r="U151" i="15"/>
  <c r="Q151" i="15"/>
  <c r="P151" i="15"/>
  <c r="O151" i="15"/>
  <c r="N151" i="15"/>
  <c r="M151" i="15"/>
  <c r="L151" i="15"/>
  <c r="K151" i="15"/>
  <c r="J151" i="15"/>
  <c r="I151" i="15"/>
  <c r="H151" i="15"/>
  <c r="G151" i="15"/>
  <c r="AJ146" i="15"/>
  <c r="AF146" i="15"/>
  <c r="AC146" i="15"/>
  <c r="AB146" i="15"/>
  <c r="AD146" i="15" s="1"/>
  <c r="W146" i="15"/>
  <c r="V146" i="15"/>
  <c r="R146" i="15"/>
  <c r="T146" i="15" s="1"/>
  <c r="AJ145" i="15"/>
  <c r="AF145" i="15"/>
  <c r="AC145" i="15"/>
  <c r="AB145" i="15"/>
  <c r="AD145" i="15" s="1"/>
  <c r="W145" i="15"/>
  <c r="V145" i="15"/>
  <c r="R145" i="15"/>
  <c r="T145" i="15" s="1"/>
  <c r="AJ144" i="15"/>
  <c r="AF144" i="15"/>
  <c r="AC144" i="15"/>
  <c r="AB144" i="15"/>
  <c r="AD144" i="15" s="1"/>
  <c r="W144" i="15"/>
  <c r="V144" i="15"/>
  <c r="R144" i="15"/>
  <c r="T144" i="15" s="1"/>
  <c r="AI143" i="15"/>
  <c r="AA143" i="15"/>
  <c r="Z143" i="15"/>
  <c r="Y143" i="15"/>
  <c r="U143" i="15"/>
  <c r="Q143" i="15"/>
  <c r="P143" i="15"/>
  <c r="O143" i="15"/>
  <c r="N143" i="15"/>
  <c r="M143" i="15"/>
  <c r="L143" i="15"/>
  <c r="K143" i="15"/>
  <c r="J143" i="15"/>
  <c r="I143" i="15"/>
  <c r="H143" i="15"/>
  <c r="G143" i="15"/>
  <c r="AJ142" i="15"/>
  <c r="AF142" i="15"/>
  <c r="AC142" i="15"/>
  <c r="AB142" i="15"/>
  <c r="AD142" i="15" s="1"/>
  <c r="W142" i="15"/>
  <c r="V142" i="15"/>
  <c r="R142" i="15"/>
  <c r="T142" i="15" s="1"/>
  <c r="AJ141" i="15"/>
  <c r="AF141" i="15"/>
  <c r="AC141" i="15"/>
  <c r="AB141" i="15"/>
  <c r="AD141" i="15" s="1"/>
  <c r="W141" i="15"/>
  <c r="V141" i="15"/>
  <c r="T141" i="15"/>
  <c r="R141" i="15"/>
  <c r="AJ140" i="15"/>
  <c r="AF140" i="15"/>
  <c r="AD140" i="15"/>
  <c r="AC140" i="15"/>
  <c r="AB140" i="15"/>
  <c r="W140" i="15"/>
  <c r="V140" i="15"/>
  <c r="R140" i="15"/>
  <c r="T140" i="15" s="1"/>
  <c r="AI139" i="15"/>
  <c r="AA139" i="15"/>
  <c r="AA138" i="15" s="1"/>
  <c r="Z139" i="15"/>
  <c r="Z138" i="15" s="1"/>
  <c r="Z137" i="15" s="1"/>
  <c r="Y139" i="15"/>
  <c r="U139" i="15"/>
  <c r="U138" i="15" s="1"/>
  <c r="U137" i="15" s="1"/>
  <c r="Q139" i="15"/>
  <c r="Q138" i="15" s="1"/>
  <c r="P139" i="15"/>
  <c r="P138" i="15" s="1"/>
  <c r="P137" i="15" s="1"/>
  <c r="O139" i="15"/>
  <c r="O138" i="15" s="1"/>
  <c r="N139" i="15"/>
  <c r="N138" i="15" s="1"/>
  <c r="N137" i="15" s="1"/>
  <c r="M139" i="15"/>
  <c r="M138" i="15" s="1"/>
  <c r="L139" i="15"/>
  <c r="L138" i="15" s="1"/>
  <c r="K139" i="15"/>
  <c r="J139" i="15"/>
  <c r="J138" i="15" s="1"/>
  <c r="I139" i="15"/>
  <c r="I138" i="15" s="1"/>
  <c r="H139" i="15"/>
  <c r="H138" i="15" s="1"/>
  <c r="H137" i="15" s="1"/>
  <c r="G139" i="15"/>
  <c r="G138" i="15" s="1"/>
  <c r="AJ136" i="15"/>
  <c r="AF136" i="15"/>
  <c r="AC136" i="15"/>
  <c r="AB136" i="15"/>
  <c r="AD136" i="15" s="1"/>
  <c r="W136" i="15"/>
  <c r="V136" i="15"/>
  <c r="R136" i="15"/>
  <c r="T136" i="15" s="1"/>
  <c r="AJ135" i="15"/>
  <c r="AF135" i="15"/>
  <c r="AC135" i="15"/>
  <c r="AB135" i="15"/>
  <c r="AD135" i="15" s="1"/>
  <c r="W135" i="15"/>
  <c r="V135" i="15"/>
  <c r="R135" i="15"/>
  <c r="T135" i="15" s="1"/>
  <c r="AI134" i="15"/>
  <c r="AA134" i="15"/>
  <c r="Z134" i="15"/>
  <c r="Y134" i="15"/>
  <c r="U134" i="15"/>
  <c r="Q134" i="15"/>
  <c r="P134" i="15"/>
  <c r="O134" i="15"/>
  <c r="N134" i="15"/>
  <c r="M134" i="15"/>
  <c r="L134" i="15"/>
  <c r="K134" i="15"/>
  <c r="J134" i="15"/>
  <c r="I134" i="15"/>
  <c r="H134" i="15"/>
  <c r="G134" i="15"/>
  <c r="AJ133" i="15"/>
  <c r="AF133" i="15"/>
  <c r="AC133" i="15"/>
  <c r="AB133" i="15"/>
  <c r="AD133" i="15" s="1"/>
  <c r="W133" i="15"/>
  <c r="V133" i="15"/>
  <c r="R133" i="15"/>
  <c r="T133" i="15" s="1"/>
  <c r="AJ132" i="15"/>
  <c r="AF132" i="15"/>
  <c r="AC132" i="15"/>
  <c r="AB132" i="15"/>
  <c r="AD132" i="15" s="1"/>
  <c r="W132" i="15"/>
  <c r="V132" i="15"/>
  <c r="R132" i="15"/>
  <c r="T132" i="15" s="1"/>
  <c r="AJ131" i="15"/>
  <c r="AF131" i="15"/>
  <c r="AC131" i="15"/>
  <c r="AB131" i="15"/>
  <c r="AD131" i="15" s="1"/>
  <c r="W131" i="15"/>
  <c r="V131" i="15"/>
  <c r="R131" i="15"/>
  <c r="T131" i="15" s="1"/>
  <c r="AI130" i="15"/>
  <c r="AA130" i="15"/>
  <c r="Z130" i="15"/>
  <c r="Y130" i="15"/>
  <c r="U130" i="15"/>
  <c r="Q130" i="15"/>
  <c r="P130" i="15"/>
  <c r="O130" i="15"/>
  <c r="N130" i="15"/>
  <c r="M130" i="15"/>
  <c r="M128" i="15" s="1"/>
  <c r="M127" i="15" s="1"/>
  <c r="L130" i="15"/>
  <c r="K130" i="15"/>
  <c r="J130" i="15"/>
  <c r="I130" i="15"/>
  <c r="H130" i="15"/>
  <c r="G130" i="15"/>
  <c r="AJ129" i="15"/>
  <c r="AF129" i="15"/>
  <c r="AC129" i="15"/>
  <c r="AB129" i="15"/>
  <c r="AD129" i="15" s="1"/>
  <c r="W129" i="15"/>
  <c r="V129" i="15"/>
  <c r="R129" i="15"/>
  <c r="T129" i="15" s="1"/>
  <c r="AJ126" i="15"/>
  <c r="AF126" i="15"/>
  <c r="AC126" i="15"/>
  <c r="AB126" i="15"/>
  <c r="AD126" i="15" s="1"/>
  <c r="W126" i="15"/>
  <c r="V126" i="15"/>
  <c r="R126" i="15"/>
  <c r="T126" i="15" s="1"/>
  <c r="AJ125" i="15"/>
  <c r="AF125" i="15"/>
  <c r="AC125" i="15"/>
  <c r="AB125" i="15"/>
  <c r="AD125" i="15" s="1"/>
  <c r="W125" i="15"/>
  <c r="V125" i="15"/>
  <c r="R125" i="15"/>
  <c r="T125" i="15" s="1"/>
  <c r="AJ124" i="15"/>
  <c r="AF124" i="15"/>
  <c r="AC124" i="15"/>
  <c r="AB124" i="15"/>
  <c r="AD124" i="15" s="1"/>
  <c r="W124" i="15"/>
  <c r="V124" i="15"/>
  <c r="R124" i="15"/>
  <c r="T124" i="15" s="1"/>
  <c r="AJ123" i="15"/>
  <c r="AF123" i="15"/>
  <c r="AC123" i="15"/>
  <c r="AB123" i="15"/>
  <c r="AD123" i="15" s="1"/>
  <c r="W123" i="15"/>
  <c r="V123" i="15"/>
  <c r="R123" i="15"/>
  <c r="T123" i="15" s="1"/>
  <c r="AJ122" i="15"/>
  <c r="AF122" i="15"/>
  <c r="AC122" i="15"/>
  <c r="AB122" i="15"/>
  <c r="AD122" i="15" s="1"/>
  <c r="W122" i="15"/>
  <c r="V122" i="15"/>
  <c r="R122" i="15"/>
  <c r="T122" i="15" s="1"/>
  <c r="AJ121" i="15"/>
  <c r="AF121" i="15"/>
  <c r="AC121" i="15"/>
  <c r="AB121" i="15"/>
  <c r="AD121" i="15" s="1"/>
  <c r="W121" i="15"/>
  <c r="V121" i="15"/>
  <c r="R121" i="15"/>
  <c r="T121" i="15" s="1"/>
  <c r="AI120" i="15"/>
  <c r="AA120" i="15"/>
  <c r="Z120" i="15"/>
  <c r="Y120" i="15"/>
  <c r="U120" i="15"/>
  <c r="Q120" i="15"/>
  <c r="P120" i="15"/>
  <c r="O120" i="15"/>
  <c r="N120" i="15"/>
  <c r="M120" i="15"/>
  <c r="L120" i="15"/>
  <c r="K120" i="15"/>
  <c r="J120" i="15"/>
  <c r="I120" i="15"/>
  <c r="H120" i="15"/>
  <c r="G120" i="15"/>
  <c r="AJ119" i="15"/>
  <c r="AF119" i="15"/>
  <c r="AC119" i="15"/>
  <c r="AB119" i="15"/>
  <c r="AD119" i="15" s="1"/>
  <c r="W119" i="15"/>
  <c r="V119" i="15"/>
  <c r="R119" i="15"/>
  <c r="T119" i="15" s="1"/>
  <c r="AJ118" i="15"/>
  <c r="AF118" i="15"/>
  <c r="AC118" i="15"/>
  <c r="AB118" i="15"/>
  <c r="AD118" i="15" s="1"/>
  <c r="U118" i="15"/>
  <c r="R118" i="15"/>
  <c r="T118" i="15" s="1"/>
  <c r="AJ117" i="15"/>
  <c r="AF117" i="15"/>
  <c r="AC117" i="15"/>
  <c r="AB117" i="15"/>
  <c r="AD117" i="15" s="1"/>
  <c r="W117" i="15"/>
  <c r="V117" i="15"/>
  <c r="R117" i="15"/>
  <c r="T117" i="15" s="1"/>
  <c r="AI116" i="15"/>
  <c r="AA116" i="15"/>
  <c r="AA115" i="15" s="1"/>
  <c r="Z116" i="15"/>
  <c r="Z115" i="15" s="1"/>
  <c r="Y116" i="15"/>
  <c r="Q116" i="15"/>
  <c r="P116" i="15"/>
  <c r="O116" i="15"/>
  <c r="N116" i="15"/>
  <c r="M116" i="15"/>
  <c r="L116" i="15"/>
  <c r="K116" i="15"/>
  <c r="J116" i="15"/>
  <c r="I116" i="15"/>
  <c r="H116" i="15"/>
  <c r="G116" i="15"/>
  <c r="AJ114" i="15"/>
  <c r="AF114" i="15"/>
  <c r="AC114" i="15"/>
  <c r="AB114" i="15"/>
  <c r="AD114" i="15" s="1"/>
  <c r="W114" i="15"/>
  <c r="V114" i="15"/>
  <c r="R114" i="15"/>
  <c r="T114" i="15" s="1"/>
  <c r="AI113" i="15"/>
  <c r="AF113" i="15"/>
  <c r="AC113" i="15"/>
  <c r="AB113" i="15"/>
  <c r="AD113" i="15" s="1"/>
  <c r="W113" i="15"/>
  <c r="V113" i="15"/>
  <c r="R113" i="15"/>
  <c r="T113" i="15" s="1"/>
  <c r="AA112" i="15"/>
  <c r="AA109" i="15" s="1"/>
  <c r="Z112" i="15"/>
  <c r="Z109" i="15" s="1"/>
  <c r="Z108" i="15" s="1"/>
  <c r="Y112" i="15"/>
  <c r="Y109" i="15" s="1"/>
  <c r="U112" i="15"/>
  <c r="U109" i="15" s="1"/>
  <c r="Q112" i="15"/>
  <c r="Q109" i="15" s="1"/>
  <c r="P112" i="15"/>
  <c r="P109" i="15" s="1"/>
  <c r="O112" i="15"/>
  <c r="O109" i="15" s="1"/>
  <c r="N112" i="15"/>
  <c r="N109" i="15" s="1"/>
  <c r="M112" i="15"/>
  <c r="M109" i="15" s="1"/>
  <c r="L112" i="15"/>
  <c r="L109" i="15" s="1"/>
  <c r="K112" i="15"/>
  <c r="AC112" i="15" s="1"/>
  <c r="J112" i="15"/>
  <c r="J109" i="15" s="1"/>
  <c r="I112" i="15"/>
  <c r="I109" i="15" s="1"/>
  <c r="H112" i="15"/>
  <c r="H109" i="15" s="1"/>
  <c r="G112" i="15"/>
  <c r="G109" i="15" s="1"/>
  <c r="AJ111" i="15"/>
  <c r="AF111" i="15"/>
  <c r="AC111" i="15"/>
  <c r="AB111" i="15"/>
  <c r="AD111" i="15" s="1"/>
  <c r="W111" i="15"/>
  <c r="V111" i="15"/>
  <c r="R111" i="15"/>
  <c r="T111" i="15" s="1"/>
  <c r="AI110" i="15"/>
  <c r="AJ110" i="15" s="1"/>
  <c r="AF110" i="15"/>
  <c r="AC110" i="15"/>
  <c r="AB110" i="15"/>
  <c r="AD110" i="15" s="1"/>
  <c r="W110" i="15"/>
  <c r="V110" i="15"/>
  <c r="R110" i="15"/>
  <c r="T110" i="15" s="1"/>
  <c r="AI106" i="15"/>
  <c r="AF106" i="15"/>
  <c r="AC106" i="15"/>
  <c r="AB106" i="15"/>
  <c r="AD106" i="15" s="1"/>
  <c r="W106" i="15"/>
  <c r="V106" i="15"/>
  <c r="R106" i="15"/>
  <c r="T106" i="15" s="1"/>
  <c r="AI105" i="15"/>
  <c r="AJ105" i="15" s="1"/>
  <c r="AF105" i="15"/>
  <c r="AC105" i="15"/>
  <c r="AB105" i="15"/>
  <c r="AD105" i="15" s="1"/>
  <c r="W105" i="15"/>
  <c r="V105" i="15"/>
  <c r="R105" i="15"/>
  <c r="T105" i="15" s="1"/>
  <c r="AA104" i="15"/>
  <c r="AA258" i="15" s="1"/>
  <c r="Z104" i="15"/>
  <c r="Z258" i="15" s="1"/>
  <c r="Y104" i="15"/>
  <c r="Y258" i="15" s="1"/>
  <c r="U104" i="15"/>
  <c r="U258" i="15" s="1"/>
  <c r="Q104" i="15"/>
  <c r="Q258" i="15" s="1"/>
  <c r="P104" i="15"/>
  <c r="P258" i="15" s="1"/>
  <c r="O104" i="15"/>
  <c r="O258" i="15" s="1"/>
  <c r="N104" i="15"/>
  <c r="N258" i="15" s="1"/>
  <c r="M104" i="15"/>
  <c r="M258" i="15" s="1"/>
  <c r="L104" i="15"/>
  <c r="L258" i="15" s="1"/>
  <c r="K104" i="15"/>
  <c r="K258" i="15" s="1"/>
  <c r="J104" i="15"/>
  <c r="J258" i="15" s="1"/>
  <c r="I104" i="15"/>
  <c r="H104" i="15"/>
  <c r="G104" i="15"/>
  <c r="AI103" i="15"/>
  <c r="AJ103" i="15" s="1"/>
  <c r="AF103" i="15"/>
  <c r="AC103" i="15"/>
  <c r="AB103" i="15"/>
  <c r="AD103" i="15" s="1"/>
  <c r="W103" i="15"/>
  <c r="V103" i="15"/>
  <c r="R103" i="15"/>
  <c r="T103" i="15" s="1"/>
  <c r="AJ102" i="15"/>
  <c r="AF102" i="15"/>
  <c r="AC102" i="15"/>
  <c r="AB102" i="15"/>
  <c r="AD102" i="15" s="1"/>
  <c r="W102" i="15"/>
  <c r="V102" i="15"/>
  <c r="R102" i="15"/>
  <c r="T102" i="15" s="1"/>
  <c r="AI101" i="15"/>
  <c r="AF101" i="15"/>
  <c r="AC101" i="15"/>
  <c r="AB101" i="15"/>
  <c r="AD101" i="15" s="1"/>
  <c r="W101" i="15"/>
  <c r="V101" i="15"/>
  <c r="R101" i="15"/>
  <c r="T101" i="15" s="1"/>
  <c r="AA100" i="15"/>
  <c r="Z100" i="15"/>
  <c r="Z98" i="15" s="1"/>
  <c r="Y100" i="15"/>
  <c r="Y98" i="15" s="1"/>
  <c r="U100" i="15"/>
  <c r="Q100" i="15"/>
  <c r="Q98" i="15" s="1"/>
  <c r="P100" i="15"/>
  <c r="P98" i="15" s="1"/>
  <c r="O100" i="15"/>
  <c r="O98" i="15" s="1"/>
  <c r="N100" i="15"/>
  <c r="N98" i="15" s="1"/>
  <c r="M100" i="15"/>
  <c r="M98" i="15" s="1"/>
  <c r="L100" i="15"/>
  <c r="L98" i="15" s="1"/>
  <c r="K100" i="15"/>
  <c r="AC100" i="15" s="1"/>
  <c r="J100" i="15"/>
  <c r="J98" i="15" s="1"/>
  <c r="I100" i="15"/>
  <c r="H100" i="15"/>
  <c r="H98" i="15" s="1"/>
  <c r="G100" i="15"/>
  <c r="G98" i="15" s="1"/>
  <c r="AJ99" i="15"/>
  <c r="AF99" i="15"/>
  <c r="AC99" i="15"/>
  <c r="AB99" i="15"/>
  <c r="AD99" i="15" s="1"/>
  <c r="U99" i="15"/>
  <c r="V99" i="15" s="1"/>
  <c r="R99" i="15"/>
  <c r="T99" i="15" s="1"/>
  <c r="AJ97" i="15"/>
  <c r="AF97" i="15"/>
  <c r="AC97" i="15"/>
  <c r="AB97" i="15"/>
  <c r="AD97" i="15" s="1"/>
  <c r="W97" i="15"/>
  <c r="V97" i="15"/>
  <c r="R97" i="15"/>
  <c r="T97" i="15" s="1"/>
  <c r="AJ96" i="15"/>
  <c r="AF96" i="15"/>
  <c r="AC96" i="15"/>
  <c r="AB96" i="15"/>
  <c r="AD96" i="15" s="1"/>
  <c r="W96" i="15"/>
  <c r="V96" i="15"/>
  <c r="R96" i="15"/>
  <c r="T96" i="15" s="1"/>
  <c r="AI95" i="15"/>
  <c r="AA95" i="15"/>
  <c r="Z95" i="15"/>
  <c r="Y95" i="15"/>
  <c r="U95" i="15"/>
  <c r="Q95" i="15"/>
  <c r="P95" i="15"/>
  <c r="O95" i="15"/>
  <c r="N95" i="15"/>
  <c r="M95" i="15"/>
  <c r="L95" i="15"/>
  <c r="K95" i="15"/>
  <c r="J95" i="15"/>
  <c r="I95" i="15"/>
  <c r="H95" i="15"/>
  <c r="G95" i="15"/>
  <c r="AI94" i="15"/>
  <c r="AJ94" i="15" s="1"/>
  <c r="AF94" i="15"/>
  <c r="AC94" i="15"/>
  <c r="AB94" i="15"/>
  <c r="AD94" i="15" s="1"/>
  <c r="W94" i="15"/>
  <c r="V94" i="15"/>
  <c r="R94" i="15"/>
  <c r="T94" i="15" s="1"/>
  <c r="AJ93" i="15"/>
  <c r="AF93" i="15"/>
  <c r="AC93" i="15"/>
  <c r="AB93" i="15"/>
  <c r="AD93" i="15" s="1"/>
  <c r="W93" i="15"/>
  <c r="V93" i="15"/>
  <c r="R93" i="15"/>
  <c r="T93" i="15" s="1"/>
  <c r="AJ92" i="15"/>
  <c r="AF92" i="15"/>
  <c r="AC92" i="15"/>
  <c r="AB92" i="15"/>
  <c r="AD92" i="15" s="1"/>
  <c r="W92" i="15"/>
  <c r="V92" i="15"/>
  <c r="V279" i="15" s="1"/>
  <c r="R92" i="15"/>
  <c r="R279" i="15" s="1"/>
  <c r="AI91" i="15"/>
  <c r="AA91" i="15"/>
  <c r="Z91" i="15"/>
  <c r="Y91" i="15"/>
  <c r="U91" i="15"/>
  <c r="Q91" i="15"/>
  <c r="P91" i="15"/>
  <c r="O91" i="15"/>
  <c r="N91" i="15"/>
  <c r="M91" i="15"/>
  <c r="L91" i="15"/>
  <c r="K91" i="15"/>
  <c r="J91" i="15"/>
  <c r="I91" i="15"/>
  <c r="H91" i="15"/>
  <c r="G91" i="15"/>
  <c r="AJ88" i="15"/>
  <c r="AF88" i="15"/>
  <c r="AC88" i="15"/>
  <c r="AB88" i="15"/>
  <c r="AD88" i="15" s="1"/>
  <c r="W88" i="15"/>
  <c r="V88" i="15"/>
  <c r="R88" i="15"/>
  <c r="T88" i="15" s="1"/>
  <c r="AJ87" i="15"/>
  <c r="AF87" i="15"/>
  <c r="AC87" i="15"/>
  <c r="AB87" i="15"/>
  <c r="AD87" i="15" s="1"/>
  <c r="W87" i="15"/>
  <c r="V87" i="15"/>
  <c r="R87" i="15"/>
  <c r="AJ86" i="15"/>
  <c r="AF86" i="15"/>
  <c r="AC86" i="15"/>
  <c r="AB86" i="15"/>
  <c r="AD86" i="15" s="1"/>
  <c r="W86" i="15"/>
  <c r="V86" i="15"/>
  <c r="R86" i="15"/>
  <c r="T86" i="15" s="1"/>
  <c r="AI85" i="15"/>
  <c r="AA85" i="15"/>
  <c r="Z85" i="15"/>
  <c r="Y85" i="15"/>
  <c r="U85" i="15"/>
  <c r="Q85" i="15"/>
  <c r="P85" i="15"/>
  <c r="O85" i="15"/>
  <c r="N85" i="15"/>
  <c r="M85" i="15"/>
  <c r="L85" i="15"/>
  <c r="K85" i="15"/>
  <c r="J85" i="15"/>
  <c r="I85" i="15"/>
  <c r="H85" i="15"/>
  <c r="G85" i="15"/>
  <c r="AJ84" i="15"/>
  <c r="AF84" i="15"/>
  <c r="AC84" i="15"/>
  <c r="AB84" i="15"/>
  <c r="AD84" i="15" s="1"/>
  <c r="W84" i="15"/>
  <c r="V84" i="15"/>
  <c r="R84" i="15"/>
  <c r="T84" i="15" s="1"/>
  <c r="AJ83" i="15"/>
  <c r="AF83" i="15"/>
  <c r="AC83" i="15"/>
  <c r="AB83" i="15"/>
  <c r="AD83" i="15" s="1"/>
  <c r="W83" i="15"/>
  <c r="V83" i="15"/>
  <c r="R83" i="15"/>
  <c r="T83" i="15" s="1"/>
  <c r="AI82" i="15"/>
  <c r="AA82" i="15"/>
  <c r="Z82" i="15"/>
  <c r="Y82" i="15"/>
  <c r="U82" i="15"/>
  <c r="Q82" i="15"/>
  <c r="P82" i="15"/>
  <c r="O82" i="15"/>
  <c r="O81" i="15" s="1"/>
  <c r="O80" i="15" s="1"/>
  <c r="N82" i="15"/>
  <c r="M82" i="15"/>
  <c r="L82" i="15"/>
  <c r="K82" i="15"/>
  <c r="J82" i="15"/>
  <c r="I82" i="15"/>
  <c r="H82" i="15"/>
  <c r="G82" i="15"/>
  <c r="G81" i="15" s="1"/>
  <c r="G80" i="15" s="1"/>
  <c r="AJ79" i="15"/>
  <c r="AF79" i="15"/>
  <c r="AC79" i="15"/>
  <c r="AB79" i="15"/>
  <c r="AD79" i="15" s="1"/>
  <c r="W79" i="15"/>
  <c r="V79" i="15"/>
  <c r="R79" i="15"/>
  <c r="T79" i="15" s="1"/>
  <c r="AJ78" i="15"/>
  <c r="AF78" i="15"/>
  <c r="AC78" i="15"/>
  <c r="AB78" i="15"/>
  <c r="AD78" i="15" s="1"/>
  <c r="W78" i="15"/>
  <c r="V78" i="15"/>
  <c r="R78" i="15"/>
  <c r="T78" i="15" s="1"/>
  <c r="AJ77" i="15"/>
  <c r="AF77" i="15"/>
  <c r="AC77" i="15"/>
  <c r="AB77" i="15"/>
  <c r="AD77" i="15" s="1"/>
  <c r="W77" i="15"/>
  <c r="V77" i="15"/>
  <c r="R77" i="15"/>
  <c r="T77" i="15" s="1"/>
  <c r="AI76" i="15"/>
  <c r="AA76" i="15"/>
  <c r="AA272" i="15" s="1"/>
  <c r="Z76" i="15"/>
  <c r="Z272" i="15" s="1"/>
  <c r="Y76" i="15"/>
  <c r="Y272" i="15" s="1"/>
  <c r="U76" i="15"/>
  <c r="U272" i="15" s="1"/>
  <c r="Q76" i="15"/>
  <c r="Q272" i="15" s="1"/>
  <c r="P76" i="15"/>
  <c r="P272" i="15" s="1"/>
  <c r="O76" i="15"/>
  <c r="O272" i="15" s="1"/>
  <c r="N76" i="15"/>
  <c r="N272" i="15" s="1"/>
  <c r="M76" i="15"/>
  <c r="M272" i="15" s="1"/>
  <c r="L76" i="15"/>
  <c r="L272" i="15" s="1"/>
  <c r="K76" i="15"/>
  <c r="K272" i="15" s="1"/>
  <c r="AC272" i="15" s="1"/>
  <c r="J76" i="15"/>
  <c r="J272" i="15" s="1"/>
  <c r="I76" i="15"/>
  <c r="H76" i="15"/>
  <c r="G76" i="15"/>
  <c r="AJ75" i="15"/>
  <c r="AF75" i="15"/>
  <c r="AC75" i="15"/>
  <c r="AB75" i="15"/>
  <c r="AD75" i="15" s="1"/>
  <c r="W75" i="15"/>
  <c r="V75" i="15"/>
  <c r="R75" i="15"/>
  <c r="T75" i="15" s="1"/>
  <c r="AJ74" i="15"/>
  <c r="AF74" i="15"/>
  <c r="AC74" i="15"/>
  <c r="AB74" i="15"/>
  <c r="AD74" i="15" s="1"/>
  <c r="W74" i="15"/>
  <c r="V74" i="15"/>
  <c r="R74" i="15"/>
  <c r="T74" i="15" s="1"/>
  <c r="AJ73" i="15"/>
  <c r="AF73" i="15"/>
  <c r="AC73" i="15"/>
  <c r="AB73" i="15"/>
  <c r="AD73" i="15" s="1"/>
  <c r="W73" i="15"/>
  <c r="V73" i="15"/>
  <c r="R73" i="15"/>
  <c r="T73" i="15" s="1"/>
  <c r="AJ72" i="15"/>
  <c r="AF72" i="15"/>
  <c r="AC72" i="15"/>
  <c r="AB72" i="15"/>
  <c r="AD72" i="15" s="1"/>
  <c r="W72" i="15"/>
  <c r="V72" i="15"/>
  <c r="R72" i="15"/>
  <c r="T72" i="15" s="1"/>
  <c r="AJ71" i="15"/>
  <c r="AF71" i="15"/>
  <c r="AC71" i="15"/>
  <c r="AB71" i="15"/>
  <c r="AD71" i="15" s="1"/>
  <c r="W71" i="15"/>
  <c r="V71" i="15"/>
  <c r="R71" i="15"/>
  <c r="T71" i="15" s="1"/>
  <c r="AJ70" i="15"/>
  <c r="AF70" i="15"/>
  <c r="AC70" i="15"/>
  <c r="AB70" i="15"/>
  <c r="AD70" i="15" s="1"/>
  <c r="U70" i="15"/>
  <c r="R70" i="15"/>
  <c r="T70" i="15" s="1"/>
  <c r="AJ69" i="15"/>
  <c r="AF69" i="15"/>
  <c r="AC69" i="15"/>
  <c r="AB69" i="15"/>
  <c r="AD69" i="15" s="1"/>
  <c r="U69" i="15"/>
  <c r="V69" i="15" s="1"/>
  <c r="R69" i="15"/>
  <c r="T69" i="15" s="1"/>
  <c r="AJ68" i="15"/>
  <c r="AF68" i="15"/>
  <c r="AC68" i="15"/>
  <c r="AB68" i="15"/>
  <c r="AD68" i="15" s="1"/>
  <c r="W68" i="15"/>
  <c r="V68" i="15"/>
  <c r="R68" i="15"/>
  <c r="T68" i="15" s="1"/>
  <c r="AI67" i="15"/>
  <c r="AA67" i="15"/>
  <c r="Z67" i="15"/>
  <c r="Y67" i="15"/>
  <c r="Q67" i="15"/>
  <c r="P67" i="15"/>
  <c r="O67" i="15"/>
  <c r="N67" i="15"/>
  <c r="M67" i="15"/>
  <c r="L67" i="15"/>
  <c r="K67" i="15"/>
  <c r="J67" i="15"/>
  <c r="I67" i="15"/>
  <c r="H67" i="15"/>
  <c r="G67" i="15"/>
  <c r="AJ66" i="15"/>
  <c r="AF66" i="15"/>
  <c r="AC66" i="15"/>
  <c r="AB66" i="15"/>
  <c r="AD66" i="15" s="1"/>
  <c r="W66" i="15"/>
  <c r="V66" i="15"/>
  <c r="R66" i="15"/>
  <c r="T66" i="15" s="1"/>
  <c r="AJ65" i="15"/>
  <c r="AF65" i="15"/>
  <c r="AC65" i="15"/>
  <c r="AB65" i="15"/>
  <c r="AD65" i="15" s="1"/>
  <c r="W65" i="15"/>
  <c r="V65" i="15"/>
  <c r="R65" i="15"/>
  <c r="T65" i="15" s="1"/>
  <c r="AJ64" i="15"/>
  <c r="AF64" i="15"/>
  <c r="AC64" i="15"/>
  <c r="AB64" i="15"/>
  <c r="AD64" i="15" s="1"/>
  <c r="W64" i="15"/>
  <c r="V64" i="15"/>
  <c r="R64" i="15"/>
  <c r="T64" i="15" s="1"/>
  <c r="AJ63" i="15"/>
  <c r="AF63" i="15"/>
  <c r="AC63" i="15"/>
  <c r="AB63" i="15"/>
  <c r="AD63" i="15" s="1"/>
  <c r="W63" i="15"/>
  <c r="V63" i="15"/>
  <c r="R63" i="15"/>
  <c r="T63" i="15" s="1"/>
  <c r="AJ62" i="15"/>
  <c r="AF62" i="15"/>
  <c r="AC62" i="15"/>
  <c r="AB62" i="15"/>
  <c r="AD62" i="15" s="1"/>
  <c r="W62" i="15"/>
  <c r="V62" i="15"/>
  <c r="R62" i="15"/>
  <c r="T62" i="15" s="1"/>
  <c r="AJ61" i="15"/>
  <c r="AF61" i="15"/>
  <c r="AC61" i="15"/>
  <c r="AB61" i="15"/>
  <c r="AD61" i="15" s="1"/>
  <c r="U61" i="15"/>
  <c r="U268" i="15" s="1"/>
  <c r="W268" i="15" s="1"/>
  <c r="R61" i="15"/>
  <c r="T61" i="15" s="1"/>
  <c r="AI60" i="15"/>
  <c r="AA60" i="15"/>
  <c r="Z60" i="15"/>
  <c r="Z59" i="15" s="1"/>
  <c r="Y60" i="15"/>
  <c r="Q60" i="15"/>
  <c r="P60" i="15"/>
  <c r="O60" i="15"/>
  <c r="N60" i="15"/>
  <c r="M60" i="15"/>
  <c r="L60" i="15"/>
  <c r="K60" i="15"/>
  <c r="J60" i="15"/>
  <c r="I60" i="15"/>
  <c r="H60" i="15"/>
  <c r="G60" i="15"/>
  <c r="AJ57" i="15"/>
  <c r="AF57" i="15"/>
  <c r="AC57" i="15"/>
  <c r="AB57" i="15"/>
  <c r="AD57" i="15" s="1"/>
  <c r="W57" i="15"/>
  <c r="V57" i="15"/>
  <c r="R57" i="15"/>
  <c r="T57" i="15" s="1"/>
  <c r="AJ56" i="15"/>
  <c r="AF56" i="15"/>
  <c r="AC56" i="15"/>
  <c r="AB56" i="15"/>
  <c r="AD56" i="15" s="1"/>
  <c r="W56" i="15"/>
  <c r="V56" i="15"/>
  <c r="R56" i="15"/>
  <c r="T56" i="15" s="1"/>
  <c r="AI55" i="15"/>
  <c r="AA55" i="15"/>
  <c r="Z55" i="15"/>
  <c r="Y55" i="15"/>
  <c r="U55" i="15"/>
  <c r="Q55" i="15"/>
  <c r="P55" i="15"/>
  <c r="O55" i="15"/>
  <c r="N55" i="15"/>
  <c r="M55" i="15"/>
  <c r="L55" i="15"/>
  <c r="K55" i="15"/>
  <c r="J55" i="15"/>
  <c r="I55" i="15"/>
  <c r="H55" i="15"/>
  <c r="G55" i="15"/>
  <c r="AJ54" i="15"/>
  <c r="AF54" i="15"/>
  <c r="AC54" i="15"/>
  <c r="AB54" i="15"/>
  <c r="AD54" i="15" s="1"/>
  <c r="W54" i="15"/>
  <c r="V54" i="15"/>
  <c r="R54" i="15"/>
  <c r="T54" i="15" s="1"/>
  <c r="AJ53" i="15"/>
  <c r="AF53" i="15"/>
  <c r="AC53" i="15"/>
  <c r="AB53" i="15"/>
  <c r="AD53" i="15" s="1"/>
  <c r="W53" i="15"/>
  <c r="V53" i="15"/>
  <c r="R53" i="15"/>
  <c r="T53" i="15" s="1"/>
  <c r="AI52" i="15"/>
  <c r="AA52" i="15"/>
  <c r="Z52" i="15"/>
  <c r="Y52" i="15"/>
  <c r="U52" i="15"/>
  <c r="Q52" i="15"/>
  <c r="P52" i="15"/>
  <c r="O52" i="15"/>
  <c r="N52" i="15"/>
  <c r="M52" i="15"/>
  <c r="L52" i="15"/>
  <c r="K52" i="15"/>
  <c r="J52" i="15"/>
  <c r="I52" i="15"/>
  <c r="H52" i="15"/>
  <c r="G52" i="15"/>
  <c r="AJ51" i="15"/>
  <c r="AF51" i="15"/>
  <c r="AC51" i="15"/>
  <c r="AB51" i="15"/>
  <c r="AD51" i="15" s="1"/>
  <c r="W51" i="15"/>
  <c r="V51" i="15"/>
  <c r="R51" i="15"/>
  <c r="T51" i="15" s="1"/>
  <c r="AJ50" i="15"/>
  <c r="AF50" i="15"/>
  <c r="AC50" i="15"/>
  <c r="AB50" i="15"/>
  <c r="AD50" i="15" s="1"/>
  <c r="W50" i="15"/>
  <c r="V50" i="15"/>
  <c r="R50" i="15"/>
  <c r="T50" i="15" s="1"/>
  <c r="AI49" i="15"/>
  <c r="AA49" i="15"/>
  <c r="Z49" i="15"/>
  <c r="Y49" i="15"/>
  <c r="U49" i="15"/>
  <c r="Q49" i="15"/>
  <c r="P49" i="15"/>
  <c r="O49" i="15"/>
  <c r="N49" i="15"/>
  <c r="M49" i="15"/>
  <c r="L49" i="15"/>
  <c r="K49" i="15"/>
  <c r="J49" i="15"/>
  <c r="I49" i="15"/>
  <c r="H49" i="15"/>
  <c r="G49" i="15"/>
  <c r="AJ48" i="15"/>
  <c r="AF48" i="15"/>
  <c r="AC48" i="15"/>
  <c r="AB48" i="15"/>
  <c r="AD48" i="15" s="1"/>
  <c r="W48" i="15"/>
  <c r="V48" i="15"/>
  <c r="R48" i="15"/>
  <c r="T48" i="15" s="1"/>
  <c r="AJ47" i="15"/>
  <c r="AF47" i="15"/>
  <c r="AC47" i="15"/>
  <c r="AB47" i="15"/>
  <c r="AD47" i="15" s="1"/>
  <c r="W47" i="15"/>
  <c r="V47" i="15"/>
  <c r="R47" i="15"/>
  <c r="T47" i="15" s="1"/>
  <c r="AJ46" i="15"/>
  <c r="AF46" i="15"/>
  <c r="AC46" i="15"/>
  <c r="AB46" i="15"/>
  <c r="AD46" i="15" s="1"/>
  <c r="W46" i="15"/>
  <c r="V46" i="15"/>
  <c r="R46" i="15"/>
  <c r="T46" i="15" s="1"/>
  <c r="AJ45" i="15"/>
  <c r="AF45" i="15"/>
  <c r="AC45" i="15"/>
  <c r="AB45" i="15"/>
  <c r="AD45" i="15" s="1"/>
  <c r="W45" i="15"/>
  <c r="V45" i="15"/>
  <c r="R45" i="15"/>
  <c r="T45" i="15" s="1"/>
  <c r="AI44" i="15"/>
  <c r="AA44" i="15"/>
  <c r="Z44" i="15"/>
  <c r="Y44" i="15"/>
  <c r="U44" i="15"/>
  <c r="Q44" i="15"/>
  <c r="P44" i="15"/>
  <c r="O44" i="15"/>
  <c r="N44" i="15"/>
  <c r="M44" i="15"/>
  <c r="L44" i="15"/>
  <c r="K44" i="15"/>
  <c r="AC44" i="15" s="1"/>
  <c r="J44" i="15"/>
  <c r="I44" i="15"/>
  <c r="H44" i="15"/>
  <c r="G44" i="15"/>
  <c r="AJ42" i="15"/>
  <c r="AF42" i="15"/>
  <c r="AC42" i="15"/>
  <c r="AB42" i="15"/>
  <c r="AD42" i="15" s="1"/>
  <c r="W42" i="15"/>
  <c r="V42" i="15"/>
  <c r="R42" i="15"/>
  <c r="T42" i="15" s="1"/>
  <c r="AJ41" i="15"/>
  <c r="AF41" i="15"/>
  <c r="AC41" i="15"/>
  <c r="AB41" i="15"/>
  <c r="AD41" i="15" s="1"/>
  <c r="W41" i="15"/>
  <c r="V41" i="15"/>
  <c r="R41" i="15"/>
  <c r="T41" i="15" s="1"/>
  <c r="AJ40" i="15"/>
  <c r="AF40" i="15"/>
  <c r="AC40" i="15"/>
  <c r="AB40" i="15"/>
  <c r="AD40" i="15" s="1"/>
  <c r="W40" i="15"/>
  <c r="V40" i="15"/>
  <c r="R40" i="15"/>
  <c r="T40" i="15" s="1"/>
  <c r="AI39" i="15"/>
  <c r="AA39" i="15"/>
  <c r="Z39" i="15"/>
  <c r="Y39" i="15"/>
  <c r="U39" i="15"/>
  <c r="Q39" i="15"/>
  <c r="P39" i="15"/>
  <c r="O39" i="15"/>
  <c r="N39" i="15"/>
  <c r="M39" i="15"/>
  <c r="L39" i="15"/>
  <c r="K39" i="15"/>
  <c r="J39" i="15"/>
  <c r="I39" i="15"/>
  <c r="H39" i="15"/>
  <c r="G39" i="15"/>
  <c r="AI38" i="15"/>
  <c r="AJ38" i="15" s="1"/>
  <c r="AF38" i="15"/>
  <c r="AC38" i="15"/>
  <c r="AB38" i="15"/>
  <c r="AD38" i="15" s="1"/>
  <c r="W38" i="15"/>
  <c r="V38" i="15"/>
  <c r="R38" i="15"/>
  <c r="T38" i="15" s="1"/>
  <c r="AJ37" i="15"/>
  <c r="AF37" i="15"/>
  <c r="AC37" i="15"/>
  <c r="AB37" i="15"/>
  <c r="AD37" i="15" s="1"/>
  <c r="W37" i="15"/>
  <c r="V37" i="15"/>
  <c r="R37" i="15"/>
  <c r="T37" i="15" s="1"/>
  <c r="AI36" i="15"/>
  <c r="AF36" i="15"/>
  <c r="AC36" i="15"/>
  <c r="AB36" i="15"/>
  <c r="AD36" i="15" s="1"/>
  <c r="W36" i="15"/>
  <c r="V36" i="15"/>
  <c r="R36" i="15"/>
  <c r="T36" i="15" s="1"/>
  <c r="AJ35" i="15"/>
  <c r="AF35" i="15"/>
  <c r="AC35" i="15"/>
  <c r="AB35" i="15"/>
  <c r="AD35" i="15" s="1"/>
  <c r="W35" i="15"/>
  <c r="V35" i="15"/>
  <c r="R35" i="15"/>
  <c r="T35" i="15" s="1"/>
  <c r="AA34" i="15"/>
  <c r="Z34" i="15"/>
  <c r="Y34" i="15"/>
  <c r="U34" i="15"/>
  <c r="Q34" i="15"/>
  <c r="P34" i="15"/>
  <c r="O34" i="15"/>
  <c r="N34" i="15"/>
  <c r="M34" i="15"/>
  <c r="L34" i="15"/>
  <c r="K34" i="15"/>
  <c r="J34" i="15"/>
  <c r="I34" i="15"/>
  <c r="H34" i="15"/>
  <c r="G34" i="15"/>
  <c r="AJ31" i="15"/>
  <c r="AF31" i="15"/>
  <c r="AC31" i="15"/>
  <c r="AB31" i="15"/>
  <c r="AD31" i="15" s="1"/>
  <c r="W31" i="15"/>
  <c r="V31" i="15"/>
  <c r="R31" i="15"/>
  <c r="T31" i="15" s="1"/>
  <c r="AJ30" i="15"/>
  <c r="AF30" i="15"/>
  <c r="AC30" i="15"/>
  <c r="AB30" i="15"/>
  <c r="AD30" i="15" s="1"/>
  <c r="W30" i="15"/>
  <c r="V30" i="15"/>
  <c r="R30" i="15"/>
  <c r="T30" i="15" s="1"/>
  <c r="AI29" i="15"/>
  <c r="AA29" i="15"/>
  <c r="Z29" i="15"/>
  <c r="Y29" i="15"/>
  <c r="U29" i="15"/>
  <c r="Q29" i="15"/>
  <c r="P29" i="15"/>
  <c r="O29" i="15"/>
  <c r="N29" i="15"/>
  <c r="M29" i="15"/>
  <c r="L29" i="15"/>
  <c r="K29" i="15"/>
  <c r="AC29" i="15" s="1"/>
  <c r="J29" i="15"/>
  <c r="I29" i="15"/>
  <c r="H29" i="15"/>
  <c r="G29" i="15"/>
  <c r="AJ28" i="15"/>
  <c r="AF28" i="15"/>
  <c r="AC28" i="15"/>
  <c r="AB28" i="15"/>
  <c r="AD28" i="15" s="1"/>
  <c r="W28" i="15"/>
  <c r="V28" i="15"/>
  <c r="R28" i="15"/>
  <c r="T28" i="15" s="1"/>
  <c r="AJ27" i="15"/>
  <c r="AF27" i="15"/>
  <c r="AC27" i="15"/>
  <c r="AB27" i="15"/>
  <c r="AD27" i="15" s="1"/>
  <c r="W27" i="15"/>
  <c r="V27" i="15"/>
  <c r="R27" i="15"/>
  <c r="T27" i="15" s="1"/>
  <c r="AI26" i="15"/>
  <c r="AA26" i="15"/>
  <c r="Z26" i="15"/>
  <c r="Y26" i="15"/>
  <c r="U26" i="15"/>
  <c r="Q26" i="15"/>
  <c r="P26" i="15"/>
  <c r="O26" i="15"/>
  <c r="N26" i="15"/>
  <c r="M26" i="15"/>
  <c r="L26" i="15"/>
  <c r="K26" i="15"/>
  <c r="J26" i="15"/>
  <c r="I26" i="15"/>
  <c r="H26" i="15"/>
  <c r="G26" i="15"/>
  <c r="AJ24" i="15"/>
  <c r="AF24" i="15"/>
  <c r="AC24" i="15"/>
  <c r="AB24" i="15"/>
  <c r="AD24" i="15" s="1"/>
  <c r="W24" i="15"/>
  <c r="V24" i="15"/>
  <c r="R24" i="15"/>
  <c r="T24" i="15" s="1"/>
  <c r="AJ23" i="15"/>
  <c r="AF23" i="15"/>
  <c r="AC23" i="15"/>
  <c r="AB23" i="15"/>
  <c r="AD23" i="15" s="1"/>
  <c r="W23" i="15"/>
  <c r="V23" i="15"/>
  <c r="R23" i="15"/>
  <c r="T23" i="15" s="1"/>
  <c r="AJ22" i="15"/>
  <c r="AF22" i="15"/>
  <c r="AC22" i="15"/>
  <c r="AB22" i="15"/>
  <c r="AD22" i="15" s="1"/>
  <c r="W22" i="15"/>
  <c r="V22" i="15"/>
  <c r="R22" i="15"/>
  <c r="T22" i="15" s="1"/>
  <c r="AI21" i="15"/>
  <c r="AA21" i="15"/>
  <c r="Z21" i="15"/>
  <c r="Y21" i="15"/>
  <c r="U21" i="15"/>
  <c r="Q21" i="15"/>
  <c r="P21" i="15"/>
  <c r="O21" i="15"/>
  <c r="N21" i="15"/>
  <c r="M21" i="15"/>
  <c r="L21" i="15"/>
  <c r="K21" i="15"/>
  <c r="J21" i="15"/>
  <c r="I21" i="15"/>
  <c r="H21" i="15"/>
  <c r="G21" i="15"/>
  <c r="AF18" i="15"/>
  <c r="AA17" i="15"/>
  <c r="Z17" i="15"/>
  <c r="Y17" i="15"/>
  <c r="Q17" i="15"/>
  <c r="P17" i="15"/>
  <c r="O17" i="15"/>
  <c r="N17" i="15"/>
  <c r="M17" i="15"/>
  <c r="L17" i="15"/>
  <c r="K17" i="15"/>
  <c r="J17" i="15"/>
  <c r="I17" i="15"/>
  <c r="H17" i="15"/>
  <c r="G17" i="15"/>
  <c r="AF13" i="15"/>
  <c r="AF12" i="15"/>
  <c r="AA11" i="15"/>
  <c r="Z11" i="15"/>
  <c r="Y11" i="15"/>
  <c r="U11" i="15"/>
  <c r="Q11" i="15"/>
  <c r="P11" i="15"/>
  <c r="O11" i="15"/>
  <c r="N11" i="15"/>
  <c r="M11" i="15"/>
  <c r="L11" i="15"/>
  <c r="K11" i="15"/>
  <c r="J11" i="15"/>
  <c r="I11" i="15"/>
  <c r="H11" i="15"/>
  <c r="G11" i="15"/>
  <c r="AF7" i="15"/>
  <c r="R7" i="15"/>
  <c r="AB44" i="15" l="1"/>
  <c r="AC60" i="15"/>
  <c r="U278" i="15"/>
  <c r="G209" i="15"/>
  <c r="O209" i="15"/>
  <c r="AJ49" i="15"/>
  <c r="W69" i="15"/>
  <c r="M90" i="15"/>
  <c r="AA163" i="15"/>
  <c r="L199" i="15"/>
  <c r="P199" i="15"/>
  <c r="Z199" i="15"/>
  <c r="G59" i="15"/>
  <c r="G58" i="15" s="1"/>
  <c r="O59" i="15"/>
  <c r="O58" i="15" s="1"/>
  <c r="Z58" i="15"/>
  <c r="J59" i="15"/>
  <c r="N59" i="15"/>
  <c r="N58" i="15" s="1"/>
  <c r="U67" i="15"/>
  <c r="V67" i="15" s="1"/>
  <c r="AJ67" i="15"/>
  <c r="H173" i="15"/>
  <c r="H150" i="15" s="1"/>
  <c r="L173" i="15"/>
  <c r="L273" i="15" s="1"/>
  <c r="L271" i="15" s="1"/>
  <c r="P173" i="15"/>
  <c r="P273" i="15" s="1"/>
  <c r="Z173" i="15"/>
  <c r="Z273" i="15" s="1"/>
  <c r="U190" i="15"/>
  <c r="U181" i="15" s="1"/>
  <c r="H199" i="15"/>
  <c r="M25" i="15"/>
  <c r="Q25" i="15"/>
  <c r="G25" i="15"/>
  <c r="G20" i="15" s="1"/>
  <c r="O25" i="15"/>
  <c r="O20" i="15" s="1"/>
  <c r="N128" i="15"/>
  <c r="N127" i="15" s="1"/>
  <c r="AI128" i="15"/>
  <c r="Y199" i="15"/>
  <c r="J33" i="15"/>
  <c r="U33" i="15"/>
  <c r="V39" i="15"/>
  <c r="M81" i="15"/>
  <c r="M80" i="15" s="1"/>
  <c r="M276" i="15" s="1"/>
  <c r="M275" i="15" s="1"/>
  <c r="I90" i="15"/>
  <c r="Q90" i="15"/>
  <c r="AA90" i="15"/>
  <c r="Q266" i="15"/>
  <c r="W235" i="15"/>
  <c r="O248" i="15"/>
  <c r="AB263" i="15"/>
  <c r="V95" i="15"/>
  <c r="P163" i="15"/>
  <c r="P150" i="15" s="1"/>
  <c r="I173" i="15"/>
  <c r="M173" i="15"/>
  <c r="M273" i="15" s="1"/>
  <c r="Q173" i="15"/>
  <c r="Q273" i="15" s="1"/>
  <c r="Q271" i="15" s="1"/>
  <c r="AA173" i="15"/>
  <c r="AI252" i="15"/>
  <c r="AI17" i="15"/>
  <c r="AB21" i="15"/>
  <c r="AD21" i="15" s="1"/>
  <c r="T268" i="15"/>
  <c r="N90" i="15"/>
  <c r="U90" i="15"/>
  <c r="H90" i="15"/>
  <c r="H89" i="15" s="1"/>
  <c r="L90" i="15"/>
  <c r="L89" i="15" s="1"/>
  <c r="P90" i="15"/>
  <c r="P89" i="15" s="1"/>
  <c r="K98" i="15"/>
  <c r="K109" i="15"/>
  <c r="V109" i="15" s="1"/>
  <c r="G115" i="15"/>
  <c r="G108" i="15" s="1"/>
  <c r="O115" i="15"/>
  <c r="I128" i="15"/>
  <c r="Q128" i="15"/>
  <c r="Q127" i="15" s="1"/>
  <c r="AA128" i="15"/>
  <c r="AA127" i="15" s="1"/>
  <c r="W134" i="15"/>
  <c r="M163" i="15"/>
  <c r="J173" i="15"/>
  <c r="J273" i="15" s="1"/>
  <c r="J271" i="15" s="1"/>
  <c r="U173" i="15"/>
  <c r="U273" i="15" s="1"/>
  <c r="U271" i="15" s="1"/>
  <c r="AI173" i="15"/>
  <c r="O190" i="15"/>
  <c r="AB219" i="15"/>
  <c r="W34" i="15"/>
  <c r="AD44" i="15"/>
  <c r="H59" i="15"/>
  <c r="H58" i="15" s="1"/>
  <c r="L59" i="15"/>
  <c r="L58" i="15" s="1"/>
  <c r="P59" i="15"/>
  <c r="P58" i="15" s="1"/>
  <c r="AJ120" i="15"/>
  <c r="M137" i="15"/>
  <c r="Q137" i="15"/>
  <c r="Z163" i="15"/>
  <c r="Z150" i="15" s="1"/>
  <c r="V196" i="15"/>
  <c r="AJ206" i="15"/>
  <c r="R207" i="15"/>
  <c r="T207" i="15" s="1"/>
  <c r="H232" i="15"/>
  <c r="H149" i="15" s="1"/>
  <c r="P285" i="15"/>
  <c r="L248" i="15"/>
  <c r="P248" i="15"/>
  <c r="P260" i="15" s="1"/>
  <c r="P257" i="15" s="1"/>
  <c r="Z248" i="15"/>
  <c r="Z260" i="15" s="1"/>
  <c r="T250" i="15"/>
  <c r="AC268" i="15"/>
  <c r="AB55" i="15"/>
  <c r="AD55" i="15" s="1"/>
  <c r="L163" i="15"/>
  <c r="L150" i="15" s="1"/>
  <c r="J190" i="15"/>
  <c r="N190" i="15"/>
  <c r="Z190" i="15"/>
  <c r="Z181" i="15" s="1"/>
  <c r="H248" i="15"/>
  <c r="J248" i="15"/>
  <c r="G232" i="15"/>
  <c r="AF235" i="15"/>
  <c r="L33" i="15"/>
  <c r="AJ82" i="15"/>
  <c r="W191" i="15"/>
  <c r="AF191" i="15"/>
  <c r="V11" i="15"/>
  <c r="AI11" i="15"/>
  <c r="AJ11" i="15" s="1"/>
  <c r="H25" i="15"/>
  <c r="H20" i="15" s="1"/>
  <c r="L25" i="15"/>
  <c r="L20" i="15" s="1"/>
  <c r="P25" i="15"/>
  <c r="P20" i="15" s="1"/>
  <c r="Z25" i="15"/>
  <c r="Z20" i="15" s="1"/>
  <c r="N25" i="15"/>
  <c r="N20" i="15" s="1"/>
  <c r="AB82" i="15"/>
  <c r="W99" i="15"/>
  <c r="AB100" i="15"/>
  <c r="AD100" i="15" s="1"/>
  <c r="L266" i="15"/>
  <c r="L115" i="15"/>
  <c r="L108" i="15" s="1"/>
  <c r="P115" i="15"/>
  <c r="N173" i="15"/>
  <c r="N273" i="15" s="1"/>
  <c r="N271" i="15" s="1"/>
  <c r="M190" i="15"/>
  <c r="M181" i="15" s="1"/>
  <c r="Q190" i="15"/>
  <c r="Q181" i="15" s="1"/>
  <c r="AB196" i="15"/>
  <c r="AI235" i="15"/>
  <c r="AJ235" i="15" s="1"/>
  <c r="AF34" i="15"/>
  <c r="U199" i="15"/>
  <c r="H33" i="15"/>
  <c r="P33" i="15"/>
  <c r="AF82" i="15"/>
  <c r="W178" i="15"/>
  <c r="T201" i="15"/>
  <c r="T263" i="15" s="1"/>
  <c r="AB11" i="15"/>
  <c r="K25" i="15"/>
  <c r="K20" i="15" s="1"/>
  <c r="M33" i="15"/>
  <c r="Q33" i="15"/>
  <c r="O43" i="15"/>
  <c r="R55" i="15"/>
  <c r="T55" i="15" s="1"/>
  <c r="N43" i="15"/>
  <c r="H81" i="15"/>
  <c r="H80" i="15" s="1"/>
  <c r="L81" i="15"/>
  <c r="L80" i="15" s="1"/>
  <c r="L276" i="15" s="1"/>
  <c r="L275" i="15" s="1"/>
  <c r="P81" i="15"/>
  <c r="P80" i="15" s="1"/>
  <c r="P276" i="15" s="1"/>
  <c r="P275" i="15" s="1"/>
  <c r="Z81" i="15"/>
  <c r="Z80" i="15" s="1"/>
  <c r="N81" i="15"/>
  <c r="N80" i="15" s="1"/>
  <c r="N276" i="15" s="1"/>
  <c r="V85" i="15"/>
  <c r="AJ85" i="15"/>
  <c r="AB116" i="15"/>
  <c r="AD116" i="15" s="1"/>
  <c r="W120" i="15"/>
  <c r="AF120" i="15"/>
  <c r="AB154" i="15"/>
  <c r="AD154" i="15" s="1"/>
  <c r="K190" i="15"/>
  <c r="H190" i="15"/>
  <c r="H181" i="15" s="1"/>
  <c r="L190" i="15"/>
  <c r="L181" i="15" s="1"/>
  <c r="P190" i="15"/>
  <c r="P181" i="15" s="1"/>
  <c r="W229" i="15"/>
  <c r="W278" i="15"/>
  <c r="R157" i="15"/>
  <c r="T157" i="15" s="1"/>
  <c r="AF157" i="15"/>
  <c r="K269" i="15"/>
  <c r="W269" i="15" s="1"/>
  <c r="V241" i="15"/>
  <c r="V269" i="15" s="1"/>
  <c r="AF49" i="15"/>
  <c r="AF241" i="15"/>
  <c r="AF11" i="15"/>
  <c r="V26" i="15"/>
  <c r="AJ26" i="15"/>
  <c r="W67" i="15"/>
  <c r="AF67" i="15"/>
  <c r="J81" i="15"/>
  <c r="J80" i="15" s="1"/>
  <c r="J276" i="15" s="1"/>
  <c r="AF85" i="15"/>
  <c r="Z90" i="15"/>
  <c r="Z89" i="15" s="1"/>
  <c r="V278" i="15"/>
  <c r="AB95" i="15"/>
  <c r="AD95" i="15" s="1"/>
  <c r="AF100" i="15"/>
  <c r="H115" i="15"/>
  <c r="H108" i="15" s="1"/>
  <c r="AJ130" i="15"/>
  <c r="I137" i="15"/>
  <c r="AB143" i="15"/>
  <c r="AD143" i="15" s="1"/>
  <c r="AB151" i="15"/>
  <c r="AD151" i="15" s="1"/>
  <c r="Q163" i="15"/>
  <c r="Y190" i="15"/>
  <c r="AC190" i="15" s="1"/>
  <c r="K199" i="15"/>
  <c r="M248" i="15"/>
  <c r="M260" i="15" s="1"/>
  <c r="M257" i="15" s="1"/>
  <c r="Q248" i="15"/>
  <c r="Q260" i="15" s="1"/>
  <c r="Q257" i="15" s="1"/>
  <c r="N248" i="15"/>
  <c r="U248" i="15"/>
  <c r="R280" i="15"/>
  <c r="R287" i="15" s="1"/>
  <c r="Q281" i="15"/>
  <c r="R17" i="15"/>
  <c r="T17" i="15" s="1"/>
  <c r="U17" i="15"/>
  <c r="AF26" i="15"/>
  <c r="G33" i="15"/>
  <c r="O33" i="15"/>
  <c r="O32" i="15" s="1"/>
  <c r="G43" i="15"/>
  <c r="AF44" i="15"/>
  <c r="V52" i="15"/>
  <c r="AJ52" i="15"/>
  <c r="V120" i="15"/>
  <c r="AB139" i="15"/>
  <c r="AD139" i="15" s="1"/>
  <c r="M150" i="15"/>
  <c r="G173" i="15"/>
  <c r="G150" i="15" s="1"/>
  <c r="AJ174" i="15"/>
  <c r="O173" i="15"/>
  <c r="O273" i="15" s="1"/>
  <c r="O271" i="15" s="1"/>
  <c r="AJ196" i="15"/>
  <c r="AJ225" i="15"/>
  <c r="AJ229" i="15"/>
  <c r="Y233" i="15"/>
  <c r="Y259" i="15" s="1"/>
  <c r="AB241" i="15"/>
  <c r="AD241" i="15" s="1"/>
  <c r="Q232" i="15"/>
  <c r="AB242" i="15"/>
  <c r="AD242" i="15" s="1"/>
  <c r="AF252" i="15"/>
  <c r="AB109" i="15"/>
  <c r="AD109" i="15" s="1"/>
  <c r="AJ242" i="15"/>
  <c r="R29" i="15"/>
  <c r="T29" i="15" s="1"/>
  <c r="AF52" i="15"/>
  <c r="M271" i="15"/>
  <c r="Q81" i="15"/>
  <c r="Q80" i="15" s="1"/>
  <c r="Q276" i="15" s="1"/>
  <c r="Q275" i="15" s="1"/>
  <c r="R91" i="15"/>
  <c r="T91" i="15" s="1"/>
  <c r="AJ91" i="15"/>
  <c r="L281" i="15"/>
  <c r="P281" i="15"/>
  <c r="Z281" i="15"/>
  <c r="O266" i="15"/>
  <c r="L137" i="15"/>
  <c r="AD196" i="15"/>
  <c r="L260" i="15"/>
  <c r="AF229" i="15"/>
  <c r="AB235" i="15"/>
  <c r="AD235" i="15" s="1"/>
  <c r="AI241" i="15"/>
  <c r="AJ241" i="15" s="1"/>
  <c r="AF242" i="15"/>
  <c r="M262" i="15"/>
  <c r="M261" i="15" s="1"/>
  <c r="AJ39" i="15"/>
  <c r="V49" i="15"/>
  <c r="W95" i="15"/>
  <c r="O281" i="15"/>
  <c r="AF178" i="15"/>
  <c r="AA199" i="15"/>
  <c r="AB207" i="15"/>
  <c r="AD207" i="15" s="1"/>
  <c r="Q269" i="15"/>
  <c r="Q285" i="15" s="1"/>
  <c r="R11" i="15"/>
  <c r="T11" i="15" s="1"/>
  <c r="V21" i="15"/>
  <c r="W21" i="15"/>
  <c r="V29" i="15"/>
  <c r="AJ29" i="15"/>
  <c r="W44" i="15"/>
  <c r="AB76" i="15"/>
  <c r="AD76" i="15" s="1"/>
  <c r="AJ95" i="15"/>
  <c r="W104" i="15"/>
  <c r="AC116" i="15"/>
  <c r="AI151" i="15"/>
  <c r="AJ151" i="15" s="1"/>
  <c r="Q262" i="15"/>
  <c r="Q261" i="15" s="1"/>
  <c r="AB185" i="15"/>
  <c r="AD185" i="15" s="1"/>
  <c r="AA182" i="15"/>
  <c r="AA262" i="15" s="1"/>
  <c r="AA261" i="15" s="1"/>
  <c r="V207" i="15"/>
  <c r="W215" i="15"/>
  <c r="AC220" i="15"/>
  <c r="K219" i="15"/>
  <c r="AF219" i="15" s="1"/>
  <c r="V220" i="15"/>
  <c r="AC280" i="15"/>
  <c r="W280" i="15"/>
  <c r="AC11" i="15"/>
  <c r="AF21" i="15"/>
  <c r="AJ21" i="15"/>
  <c r="AC26" i="15"/>
  <c r="K33" i="15"/>
  <c r="Z33" i="15"/>
  <c r="Y43" i="15"/>
  <c r="AC52" i="15"/>
  <c r="AB52" i="15"/>
  <c r="AD52" i="15" s="1"/>
  <c r="AF55" i="15"/>
  <c r="AJ55" i="15"/>
  <c r="Y59" i="15"/>
  <c r="AF60" i="15"/>
  <c r="AJ76" i="15"/>
  <c r="AI81" i="15"/>
  <c r="AI80" i="15" s="1"/>
  <c r="AC85" i="15"/>
  <c r="AC98" i="15"/>
  <c r="R100" i="15"/>
  <c r="T100" i="15" s="1"/>
  <c r="AA108" i="15"/>
  <c r="R120" i="15"/>
  <c r="G128" i="15"/>
  <c r="G127" i="15" s="1"/>
  <c r="O128" i="15"/>
  <c r="O127" i="15" s="1"/>
  <c r="AA137" i="15"/>
  <c r="Y138" i="15"/>
  <c r="Y137" i="15" s="1"/>
  <c r="AC157" i="15"/>
  <c r="U163" i="15"/>
  <c r="K277" i="15"/>
  <c r="W277" i="15" s="1"/>
  <c r="AJ164" i="15"/>
  <c r="K163" i="15"/>
  <c r="O277" i="15"/>
  <c r="O163" i="15"/>
  <c r="W164" i="15"/>
  <c r="AB164" i="15"/>
  <c r="AD164" i="15" s="1"/>
  <c r="R185" i="15"/>
  <c r="T185" i="15" s="1"/>
  <c r="J182" i="15"/>
  <c r="J181" i="15" s="1"/>
  <c r="AI182" i="15"/>
  <c r="AJ182" i="15" s="1"/>
  <c r="AJ185" i="15"/>
  <c r="AF207" i="15"/>
  <c r="H209" i="15"/>
  <c r="L209" i="15"/>
  <c r="P209" i="15"/>
  <c r="AJ220" i="15"/>
  <c r="AI219" i="15"/>
  <c r="M232" i="15"/>
  <c r="G248" i="15"/>
  <c r="V249" i="15"/>
  <c r="V44" i="15"/>
  <c r="AJ134" i="15"/>
  <c r="W154" i="15"/>
  <c r="AJ178" i="15"/>
  <c r="R215" i="15"/>
  <c r="T215" i="15" s="1"/>
  <c r="J210" i="15"/>
  <c r="R210" i="15" s="1"/>
  <c r="V215" i="15"/>
  <c r="U210" i="15"/>
  <c r="AJ252" i="15"/>
  <c r="W263" i="15"/>
  <c r="AI25" i="15"/>
  <c r="U25" i="15"/>
  <c r="U20" i="15" s="1"/>
  <c r="V55" i="15"/>
  <c r="W55" i="15"/>
  <c r="W76" i="15"/>
  <c r="AD82" i="15"/>
  <c r="G90" i="15"/>
  <c r="G89" i="15" s="1"/>
  <c r="O90" i="15"/>
  <c r="AF95" i="15"/>
  <c r="AB104" i="15"/>
  <c r="AD104" i="15" s="1"/>
  <c r="R130" i="15"/>
  <c r="T130" i="15" s="1"/>
  <c r="AC207" i="15"/>
  <c r="W207" i="15"/>
  <c r="AJ207" i="15"/>
  <c r="AF220" i="15"/>
  <c r="W279" i="15"/>
  <c r="W11" i="15"/>
  <c r="M20" i="15"/>
  <c r="Q20" i="15"/>
  <c r="W26" i="15"/>
  <c r="AC34" i="15"/>
  <c r="V34" i="15"/>
  <c r="R39" i="15"/>
  <c r="T39" i="15" s="1"/>
  <c r="N33" i="15"/>
  <c r="N32" i="15" s="1"/>
  <c r="AC39" i="15"/>
  <c r="K43" i="15"/>
  <c r="AI43" i="15"/>
  <c r="U43" i="15"/>
  <c r="Z43" i="15"/>
  <c r="AJ44" i="15"/>
  <c r="AB49" i="15"/>
  <c r="AD49" i="15" s="1"/>
  <c r="W52" i="15"/>
  <c r="K59" i="15"/>
  <c r="AI59" i="15"/>
  <c r="AJ60" i="15"/>
  <c r="Y81" i="15"/>
  <c r="Y80" i="15" s="1"/>
  <c r="Y276" i="15" s="1"/>
  <c r="W85" i="15"/>
  <c r="R95" i="15"/>
  <c r="T95" i="15" s="1"/>
  <c r="Y115" i="15"/>
  <c r="AB115" i="15" s="1"/>
  <c r="AD115" i="15" s="1"/>
  <c r="I115" i="15"/>
  <c r="I108" i="15" s="1"/>
  <c r="M115" i="15"/>
  <c r="M270" i="15" s="1"/>
  <c r="M267" i="15" s="1"/>
  <c r="Q115" i="15"/>
  <c r="Q108" i="15" s="1"/>
  <c r="AC120" i="15"/>
  <c r="AB120" i="15"/>
  <c r="AD120" i="15" s="1"/>
  <c r="J128" i="15"/>
  <c r="J127" i="15" s="1"/>
  <c r="Z128" i="15"/>
  <c r="Z127" i="15" s="1"/>
  <c r="Z107" i="15" s="1"/>
  <c r="Z15" i="15" s="1"/>
  <c r="R154" i="15"/>
  <c r="T154" i="15" s="1"/>
  <c r="V154" i="15"/>
  <c r="T184" i="15"/>
  <c r="I182" i="15"/>
  <c r="AB215" i="15"/>
  <c r="AD215" i="15" s="1"/>
  <c r="AA210" i="15"/>
  <c r="AB210" i="15" s="1"/>
  <c r="AD210" i="15" s="1"/>
  <c r="AJ216" i="15"/>
  <c r="AI215" i="15"/>
  <c r="AJ215" i="15" s="1"/>
  <c r="P232" i="15"/>
  <c r="P10" i="15" s="1"/>
  <c r="AC235" i="15"/>
  <c r="K233" i="15"/>
  <c r="V235" i="15"/>
  <c r="Z269" i="15"/>
  <c r="Z285" i="15" s="1"/>
  <c r="Z232" i="15"/>
  <c r="W249" i="15"/>
  <c r="AI248" i="15"/>
  <c r="AJ249" i="15"/>
  <c r="AB268" i="15"/>
  <c r="AI154" i="15"/>
  <c r="AJ154" i="15" s="1"/>
  <c r="W160" i="15"/>
  <c r="AF160" i="15"/>
  <c r="AB174" i="15"/>
  <c r="AD174" i="15" s="1"/>
  <c r="W185" i="15"/>
  <c r="AF185" i="15"/>
  <c r="R191" i="15"/>
  <c r="T191" i="15" s="1"/>
  <c r="R196" i="15"/>
  <c r="T196" i="15" s="1"/>
  <c r="M209" i="15"/>
  <c r="Q209" i="15"/>
  <c r="R242" i="15"/>
  <c r="T242" i="15" s="1"/>
  <c r="AF249" i="15"/>
  <c r="Z278" i="15"/>
  <c r="AA278" i="15"/>
  <c r="AB138" i="15"/>
  <c r="AD138" i="15" s="1"/>
  <c r="R174" i="15"/>
  <c r="T174" i="15" s="1"/>
  <c r="AB178" i="15"/>
  <c r="AD178" i="15" s="1"/>
  <c r="P262" i="15"/>
  <c r="P261" i="15" s="1"/>
  <c r="N181" i="15"/>
  <c r="AC191" i="15"/>
  <c r="V191" i="15"/>
  <c r="G190" i="15"/>
  <c r="G181" i="15" s="1"/>
  <c r="W196" i="15"/>
  <c r="G199" i="15"/>
  <c r="G149" i="15" s="1"/>
  <c r="O199" i="15"/>
  <c r="AB200" i="15"/>
  <c r="AD200" i="15" s="1"/>
  <c r="M199" i="15"/>
  <c r="Q199" i="15"/>
  <c r="AF215" i="15"/>
  <c r="AB220" i="15"/>
  <c r="AD220" i="15" s="1"/>
  <c r="V229" i="15"/>
  <c r="AC229" i="15"/>
  <c r="M285" i="15"/>
  <c r="AC242" i="15"/>
  <c r="W242" i="15"/>
  <c r="R249" i="15"/>
  <c r="T249" i="15" s="1"/>
  <c r="M281" i="15"/>
  <c r="M89" i="15"/>
  <c r="AA33" i="15"/>
  <c r="AB34" i="15"/>
  <c r="AD34" i="15" s="1"/>
  <c r="P266" i="15"/>
  <c r="P108" i="15"/>
  <c r="W17" i="15"/>
  <c r="AC17" i="15"/>
  <c r="V17" i="15"/>
  <c r="J25" i="15"/>
  <c r="M43" i="15"/>
  <c r="V70" i="15"/>
  <c r="W70" i="15"/>
  <c r="R76" i="15"/>
  <c r="AJ106" i="15"/>
  <c r="AI104" i="15"/>
  <c r="AJ104" i="15" s="1"/>
  <c r="V143" i="15"/>
  <c r="AC143" i="15"/>
  <c r="W143" i="15"/>
  <c r="AI160" i="15"/>
  <c r="AJ161" i="15"/>
  <c r="Q89" i="15"/>
  <c r="AI34" i="15"/>
  <c r="AJ36" i="15"/>
  <c r="I43" i="15"/>
  <c r="Q43" i="15"/>
  <c r="AJ17" i="15"/>
  <c r="AA25" i="15"/>
  <c r="AA20" i="15" s="1"/>
  <c r="AB26" i="15"/>
  <c r="AD26" i="15" s="1"/>
  <c r="AF29" i="15"/>
  <c r="AB29" i="15"/>
  <c r="AD29" i="15" s="1"/>
  <c r="Y25" i="15"/>
  <c r="AF39" i="15"/>
  <c r="AB39" i="15"/>
  <c r="AD39" i="15" s="1"/>
  <c r="Y33" i="15"/>
  <c r="J43" i="15"/>
  <c r="AB85" i="15"/>
  <c r="AD85" i="15" s="1"/>
  <c r="AA81" i="15"/>
  <c r="R85" i="15"/>
  <c r="T85" i="15" s="1"/>
  <c r="T87" i="15"/>
  <c r="R104" i="15"/>
  <c r="I25" i="15"/>
  <c r="I20" i="15" s="1"/>
  <c r="R44" i="15"/>
  <c r="T44" i="15" s="1"/>
  <c r="R52" i="15"/>
  <c r="T52" i="15" s="1"/>
  <c r="M59" i="15"/>
  <c r="M58" i="15" s="1"/>
  <c r="W258" i="15"/>
  <c r="AC258" i="15"/>
  <c r="G137" i="15"/>
  <c r="V139" i="15"/>
  <c r="AC139" i="15"/>
  <c r="W139" i="15"/>
  <c r="K138" i="15"/>
  <c r="AJ143" i="15"/>
  <c r="AB17" i="15"/>
  <c r="AD17" i="15" s="1"/>
  <c r="AF17" i="15"/>
  <c r="R26" i="15"/>
  <c r="T26" i="15" s="1"/>
  <c r="R34" i="15"/>
  <c r="T34" i="15" s="1"/>
  <c r="J58" i="15"/>
  <c r="R60" i="15"/>
  <c r="T60" i="15" s="1"/>
  <c r="AB67" i="15"/>
  <c r="AD67" i="15" s="1"/>
  <c r="W91" i="15"/>
  <c r="K90" i="15"/>
  <c r="V90" i="15" s="1"/>
  <c r="V91" i="15"/>
  <c r="W29" i="15"/>
  <c r="W39" i="15"/>
  <c r="H43" i="15"/>
  <c r="L43" i="15"/>
  <c r="P43" i="15"/>
  <c r="AA43" i="15"/>
  <c r="R49" i="15"/>
  <c r="T49" i="15" s="1"/>
  <c r="I81" i="15"/>
  <c r="R82" i="15"/>
  <c r="T82" i="15" s="1"/>
  <c r="U81" i="15"/>
  <c r="V82" i="15"/>
  <c r="AB91" i="15"/>
  <c r="AD91" i="15" s="1"/>
  <c r="Y90" i="15"/>
  <c r="AF91" i="15"/>
  <c r="AI90" i="15"/>
  <c r="AI127" i="15"/>
  <c r="AB134" i="15"/>
  <c r="AD134" i="15" s="1"/>
  <c r="AF134" i="15"/>
  <c r="R143" i="15"/>
  <c r="T143" i="15" s="1"/>
  <c r="Z262" i="15"/>
  <c r="Z261" i="15" s="1"/>
  <c r="V200" i="15"/>
  <c r="AC200" i="15"/>
  <c r="W200" i="15"/>
  <c r="R263" i="15"/>
  <c r="R21" i="15"/>
  <c r="T21" i="15" s="1"/>
  <c r="AC21" i="15"/>
  <c r="I33" i="15"/>
  <c r="I59" i="15"/>
  <c r="Q59" i="15"/>
  <c r="Q58" i="15" s="1"/>
  <c r="AA59" i="15"/>
  <c r="AB60" i="15"/>
  <c r="AD60" i="15" s="1"/>
  <c r="R67" i="15"/>
  <c r="T67" i="15" s="1"/>
  <c r="N89" i="15"/>
  <c r="V100" i="15"/>
  <c r="U98" i="15"/>
  <c r="AJ101" i="15"/>
  <c r="AI100" i="15"/>
  <c r="O137" i="15"/>
  <c r="U262" i="15"/>
  <c r="U261" i="15" s="1"/>
  <c r="V182" i="15"/>
  <c r="V262" i="15" s="1"/>
  <c r="AJ193" i="15"/>
  <c r="AI191" i="15"/>
  <c r="AI20" i="15"/>
  <c r="AI58" i="15"/>
  <c r="U89" i="15"/>
  <c r="O89" i="15"/>
  <c r="AC91" i="15"/>
  <c r="K281" i="15"/>
  <c r="W98" i="15"/>
  <c r="Y281" i="15"/>
  <c r="AF98" i="15"/>
  <c r="R112" i="15"/>
  <c r="T112" i="15" s="1"/>
  <c r="V112" i="15"/>
  <c r="W112" i="15"/>
  <c r="J115" i="15"/>
  <c r="J108" i="15" s="1"/>
  <c r="N115" i="15"/>
  <c r="N270" i="15" s="1"/>
  <c r="R116" i="15"/>
  <c r="T116" i="15" s="1"/>
  <c r="AI115" i="15"/>
  <c r="AJ116" i="15"/>
  <c r="AI138" i="15"/>
  <c r="AJ139" i="15"/>
  <c r="AI199" i="15"/>
  <c r="AJ200" i="15"/>
  <c r="AF210" i="15"/>
  <c r="Y209" i="15"/>
  <c r="I209" i="15"/>
  <c r="AB225" i="15"/>
  <c r="AD225" i="15" s="1"/>
  <c r="AA274" i="15"/>
  <c r="AB274" i="15" s="1"/>
  <c r="AC55" i="15"/>
  <c r="AC76" i="15"/>
  <c r="AC104" i="15"/>
  <c r="W118" i="15"/>
  <c r="V118" i="15"/>
  <c r="U116" i="15"/>
  <c r="I127" i="15"/>
  <c r="N260" i="15"/>
  <c r="N257" i="15" s="1"/>
  <c r="N209" i="15"/>
  <c r="AC215" i="15"/>
  <c r="J269" i="15"/>
  <c r="R241" i="15"/>
  <c r="J232" i="15"/>
  <c r="W49" i="15"/>
  <c r="V61" i="15"/>
  <c r="V268" i="15" s="1"/>
  <c r="O276" i="15"/>
  <c r="AC67" i="15"/>
  <c r="P271" i="15"/>
  <c r="Z271" i="15"/>
  <c r="K81" i="15"/>
  <c r="W82" i="15"/>
  <c r="J90" i="15"/>
  <c r="T92" i="15"/>
  <c r="T279" i="15" s="1"/>
  <c r="T278" i="15" s="1"/>
  <c r="I98" i="15"/>
  <c r="AA98" i="15"/>
  <c r="W100" i="15"/>
  <c r="O108" i="15"/>
  <c r="J266" i="15"/>
  <c r="N266" i="15"/>
  <c r="Y266" i="15"/>
  <c r="AB112" i="15"/>
  <c r="AD112" i="15" s="1"/>
  <c r="AF112" i="15"/>
  <c r="AI112" i="15"/>
  <c r="AJ113" i="15"/>
  <c r="K115" i="15"/>
  <c r="W130" i="15"/>
  <c r="K128" i="15"/>
  <c r="U128" i="15"/>
  <c r="V130" i="15"/>
  <c r="AC130" i="15"/>
  <c r="R134" i="15"/>
  <c r="T134" i="15" s="1"/>
  <c r="K262" i="15"/>
  <c r="W182" i="15"/>
  <c r="K181" i="15"/>
  <c r="O260" i="15"/>
  <c r="Z219" i="15"/>
  <c r="Z209" i="15" s="1"/>
  <c r="AA248" i="15"/>
  <c r="AB249" i="15"/>
  <c r="AD249" i="15" s="1"/>
  <c r="W272" i="15"/>
  <c r="AC95" i="15"/>
  <c r="O181" i="15"/>
  <c r="O262" i="15"/>
  <c r="O261" i="15" s="1"/>
  <c r="AA190" i="15"/>
  <c r="AB191" i="15"/>
  <c r="AD191" i="15" s="1"/>
  <c r="V263" i="15"/>
  <c r="U274" i="15"/>
  <c r="V225" i="15"/>
  <c r="V274" i="15" s="1"/>
  <c r="L259" i="15"/>
  <c r="L285" i="15" s="1"/>
  <c r="L232" i="15"/>
  <c r="AC49" i="15"/>
  <c r="U60" i="15"/>
  <c r="R268" i="15"/>
  <c r="W61" i="15"/>
  <c r="Z276" i="15"/>
  <c r="Z275" i="15" s="1"/>
  <c r="V76" i="15"/>
  <c r="V272" i="15" s="1"/>
  <c r="AB272" i="15"/>
  <c r="AF76" i="15"/>
  <c r="AC82" i="15"/>
  <c r="J281" i="15"/>
  <c r="N281" i="15"/>
  <c r="R98" i="15"/>
  <c r="V104" i="15"/>
  <c r="V258" i="15" s="1"/>
  <c r="AB258" i="15"/>
  <c r="AF104" i="15"/>
  <c r="Z266" i="15"/>
  <c r="AF116" i="15"/>
  <c r="T120" i="15"/>
  <c r="H128" i="15"/>
  <c r="H127" i="15" s="1"/>
  <c r="L128" i="15"/>
  <c r="L127" i="15" s="1"/>
  <c r="L270" i="15" s="1"/>
  <c r="L267" i="15" s="1"/>
  <c r="P128" i="15"/>
  <c r="P127" i="15" s="1"/>
  <c r="AB130" i="15"/>
  <c r="AD130" i="15" s="1"/>
  <c r="AF130" i="15"/>
  <c r="Y128" i="15"/>
  <c r="V134" i="15"/>
  <c r="AC134" i="15"/>
  <c r="J137" i="15"/>
  <c r="R139" i="15"/>
  <c r="T139" i="15" s="1"/>
  <c r="AF139" i="15"/>
  <c r="AF143" i="15"/>
  <c r="AC151" i="15"/>
  <c r="W151" i="15"/>
  <c r="V151" i="15"/>
  <c r="I150" i="15"/>
  <c r="L262" i="15"/>
  <c r="L261" i="15" s="1"/>
  <c r="I199" i="15"/>
  <c r="AC210" i="15"/>
  <c r="M266" i="15"/>
  <c r="AF154" i="15"/>
  <c r="R160" i="15"/>
  <c r="T160" i="15" s="1"/>
  <c r="AB160" i="15"/>
  <c r="AD160" i="15" s="1"/>
  <c r="J277" i="15"/>
  <c r="J163" i="15"/>
  <c r="N277" i="15"/>
  <c r="N163" i="15"/>
  <c r="R164" i="15"/>
  <c r="AF164" i="15"/>
  <c r="AC164" i="15"/>
  <c r="AA273" i="15"/>
  <c r="W174" i="15"/>
  <c r="K173" i="15"/>
  <c r="V174" i="15"/>
  <c r="AC174" i="15"/>
  <c r="V178" i="15"/>
  <c r="AC178" i="15"/>
  <c r="R178" i="15"/>
  <c r="T178" i="15" s="1"/>
  <c r="T179" i="15"/>
  <c r="Y182" i="15"/>
  <c r="AC182" i="15" s="1"/>
  <c r="V185" i="15"/>
  <c r="AC185" i="15"/>
  <c r="I190" i="15"/>
  <c r="AF196" i="15"/>
  <c r="AC196" i="15"/>
  <c r="R220" i="15"/>
  <c r="T220" i="15" s="1"/>
  <c r="K274" i="15"/>
  <c r="W225" i="15"/>
  <c r="AF225" i="15"/>
  <c r="AC225" i="15"/>
  <c r="O232" i="15"/>
  <c r="O10" i="15" s="1"/>
  <c r="O259" i="15"/>
  <c r="O285" i="15" s="1"/>
  <c r="Y277" i="15"/>
  <c r="AB277" i="15" s="1"/>
  <c r="J287" i="15"/>
  <c r="J278" i="15"/>
  <c r="N278" i="15"/>
  <c r="N287" i="15"/>
  <c r="R151" i="15"/>
  <c r="T151" i="15" s="1"/>
  <c r="AF151" i="15"/>
  <c r="V160" i="15"/>
  <c r="U157" i="15"/>
  <c r="AC160" i="15"/>
  <c r="AB163" i="15"/>
  <c r="AI163" i="15"/>
  <c r="Y173" i="15"/>
  <c r="AF174" i="15"/>
  <c r="J199" i="15"/>
  <c r="N199" i="15"/>
  <c r="R200" i="15"/>
  <c r="T200" i="15" s="1"/>
  <c r="AF200" i="15"/>
  <c r="AA232" i="15"/>
  <c r="AA259" i="15"/>
  <c r="Y278" i="15"/>
  <c r="AC279" i="15"/>
  <c r="W220" i="15"/>
  <c r="R229" i="15"/>
  <c r="T229" i="15" s="1"/>
  <c r="I232" i="15"/>
  <c r="I248" i="15"/>
  <c r="R252" i="15"/>
  <c r="T252" i="15" s="1"/>
  <c r="AB252" i="15"/>
  <c r="AD252" i="15" s="1"/>
  <c r="AA157" i="15"/>
  <c r="AA266" i="15" s="1"/>
  <c r="V164" i="15"/>
  <c r="V277" i="15" s="1"/>
  <c r="N262" i="15"/>
  <c r="N261" i="15" s="1"/>
  <c r="R182" i="15"/>
  <c r="V210" i="15"/>
  <c r="AB229" i="15"/>
  <c r="AD229" i="15" s="1"/>
  <c r="U259" i="15"/>
  <c r="U285" i="15" s="1"/>
  <c r="V233" i="15"/>
  <c r="V259" i="15" s="1"/>
  <c r="U232" i="15"/>
  <c r="AJ234" i="15"/>
  <c r="N269" i="15"/>
  <c r="N285" i="15" s="1"/>
  <c r="N232" i="15"/>
  <c r="W252" i="15"/>
  <c r="V252" i="15"/>
  <c r="K248" i="15"/>
  <c r="AC252" i="15"/>
  <c r="W233" i="15"/>
  <c r="K232" i="15"/>
  <c r="R233" i="15"/>
  <c r="R259" i="15" s="1"/>
  <c r="R235" i="15"/>
  <c r="T235" i="15" s="1"/>
  <c r="W241" i="15"/>
  <c r="AC241" i="15"/>
  <c r="J259" i="15"/>
  <c r="J285" i="15" s="1"/>
  <c r="Y269" i="15"/>
  <c r="AB269" i="15" s="1"/>
  <c r="V242" i="15"/>
  <c r="Y248" i="15"/>
  <c r="K259" i="15"/>
  <c r="AB280" i="15"/>
  <c r="AA287" i="15"/>
  <c r="AB287" i="15" s="1"/>
  <c r="R225" i="15"/>
  <c r="AB279" i="15"/>
  <c r="K287" i="15"/>
  <c r="AF109" i="15" l="1"/>
  <c r="Z10" i="15"/>
  <c r="K266" i="15"/>
  <c r="Q150" i="15"/>
  <c r="Q148" i="15" s="1"/>
  <c r="V190" i="15"/>
  <c r="AJ219" i="15"/>
  <c r="AA270" i="15"/>
  <c r="AA267" i="15" s="1"/>
  <c r="V25" i="15"/>
  <c r="W163" i="15"/>
  <c r="O275" i="15"/>
  <c r="Y108" i="15"/>
  <c r="AB108" i="15" s="1"/>
  <c r="AD108" i="15" s="1"/>
  <c r="W109" i="15"/>
  <c r="W190" i="15"/>
  <c r="AB199" i="15"/>
  <c r="AD199" i="15" s="1"/>
  <c r="J150" i="15"/>
  <c r="R109" i="15"/>
  <c r="R266" i="15" s="1"/>
  <c r="AI233" i="15"/>
  <c r="AI232" i="15" s="1"/>
  <c r="AJ232" i="15" s="1"/>
  <c r="AA209" i="15"/>
  <c r="P270" i="15"/>
  <c r="P267" i="15" s="1"/>
  <c r="AC109" i="15"/>
  <c r="H32" i="15"/>
  <c r="H19" i="15" s="1"/>
  <c r="H14" i="15" s="1"/>
  <c r="J32" i="15"/>
  <c r="M32" i="15"/>
  <c r="M265" i="15" s="1"/>
  <c r="Q107" i="15"/>
  <c r="Q15" i="15" s="1"/>
  <c r="AC199" i="15"/>
  <c r="AD163" i="15"/>
  <c r="AC233" i="15"/>
  <c r="AB233" i="15"/>
  <c r="AD233" i="15" s="1"/>
  <c r="J209" i="15"/>
  <c r="N108" i="15"/>
  <c r="N107" i="15" s="1"/>
  <c r="N15" i="15" s="1"/>
  <c r="O270" i="15"/>
  <c r="O267" i="15" s="1"/>
  <c r="AJ59" i="15"/>
  <c r="AJ25" i="15"/>
  <c r="V163" i="15"/>
  <c r="AA107" i="15"/>
  <c r="AA15" i="15" s="1"/>
  <c r="R33" i="15"/>
  <c r="T33" i="15" s="1"/>
  <c r="M147" i="15"/>
  <c r="M16" i="15" s="1"/>
  <c r="G32" i="15"/>
  <c r="R173" i="15"/>
  <c r="R273" i="15" s="1"/>
  <c r="AJ81" i="15"/>
  <c r="R25" i="15"/>
  <c r="M10" i="15"/>
  <c r="H10" i="15"/>
  <c r="L148" i="15"/>
  <c r="AJ173" i="15"/>
  <c r="Y232" i="15"/>
  <c r="AF233" i="15"/>
  <c r="O150" i="15"/>
  <c r="O148" i="15" s="1"/>
  <c r="R278" i="15"/>
  <c r="R190" i="15"/>
  <c r="T190" i="15" s="1"/>
  <c r="AC163" i="15"/>
  <c r="G10" i="15"/>
  <c r="U260" i="15"/>
  <c r="AC266" i="15"/>
  <c r="K149" i="15"/>
  <c r="AF190" i="15"/>
  <c r="N150" i="15"/>
  <c r="Q270" i="15"/>
  <c r="Q286" i="15" s="1"/>
  <c r="U209" i="15"/>
  <c r="L32" i="15"/>
  <c r="L265" i="15" s="1"/>
  <c r="L264" i="15" s="1"/>
  <c r="W199" i="15"/>
  <c r="Q32" i="15"/>
  <c r="Q265" i="15" s="1"/>
  <c r="K32" i="15"/>
  <c r="K265" i="15" s="1"/>
  <c r="O265" i="15"/>
  <c r="O264" i="15" s="1"/>
  <c r="AB266" i="15"/>
  <c r="U150" i="15"/>
  <c r="U147" i="15" s="1"/>
  <c r="K209" i="15"/>
  <c r="R209" i="15" s="1"/>
  <c r="T209" i="15" s="1"/>
  <c r="O107" i="15"/>
  <c r="O15" i="15" s="1"/>
  <c r="M19" i="15"/>
  <c r="M14" i="15" s="1"/>
  <c r="M9" i="15" s="1"/>
  <c r="V248" i="15"/>
  <c r="V285" i="15"/>
  <c r="AF199" i="15"/>
  <c r="V199" i="15"/>
  <c r="R281" i="15"/>
  <c r="W210" i="15"/>
  <c r="P32" i="15"/>
  <c r="P19" i="15" s="1"/>
  <c r="P14" i="15" s="1"/>
  <c r="P9" i="15" s="1"/>
  <c r="V33" i="15"/>
  <c r="W33" i="15"/>
  <c r="R219" i="15"/>
  <c r="T219" i="15" s="1"/>
  <c r="H147" i="15"/>
  <c r="H16" i="15" s="1"/>
  <c r="G107" i="15"/>
  <c r="G15" i="15" s="1"/>
  <c r="N267" i="15"/>
  <c r="H107" i="15"/>
  <c r="H15" i="15" s="1"/>
  <c r="J260" i="15"/>
  <c r="T173" i="15"/>
  <c r="T273" i="15" s="1"/>
  <c r="AB43" i="15"/>
  <c r="AD43" i="15" s="1"/>
  <c r="G19" i="15"/>
  <c r="G14" i="15" s="1"/>
  <c r="G9" i="15" s="1"/>
  <c r="H148" i="15"/>
  <c r="AJ43" i="15"/>
  <c r="AB137" i="15"/>
  <c r="AD137" i="15" s="1"/>
  <c r="J262" i="15"/>
  <c r="J261" i="15" s="1"/>
  <c r="Q19" i="15"/>
  <c r="Q14" i="15" s="1"/>
  <c r="Q9" i="15" s="1"/>
  <c r="W25" i="15"/>
  <c r="M286" i="15"/>
  <c r="G148" i="15"/>
  <c r="O19" i="15"/>
  <c r="O14" i="15" s="1"/>
  <c r="O9" i="15" s="1"/>
  <c r="J20" i="15"/>
  <c r="M148" i="15"/>
  <c r="P265" i="15"/>
  <c r="P284" i="15" s="1"/>
  <c r="O149" i="15"/>
  <c r="AF81" i="15"/>
  <c r="Z32" i="15"/>
  <c r="AB182" i="15"/>
  <c r="AD182" i="15" s="1"/>
  <c r="AJ163" i="15"/>
  <c r="M149" i="15"/>
  <c r="AF163" i="15"/>
  <c r="Z148" i="15"/>
  <c r="O257" i="15"/>
  <c r="AC43" i="15"/>
  <c r="W43" i="15"/>
  <c r="AC219" i="15"/>
  <c r="W219" i="15"/>
  <c r="V219" i="15"/>
  <c r="V261" i="15"/>
  <c r="R81" i="15"/>
  <c r="T81" i="15" s="1"/>
  <c r="AC59" i="15"/>
  <c r="K58" i="15"/>
  <c r="Z149" i="15"/>
  <c r="AF59" i="15"/>
  <c r="Y58" i="15"/>
  <c r="AF58" i="15" s="1"/>
  <c r="M108" i="15"/>
  <c r="M107" i="15" s="1"/>
  <c r="M15" i="15" s="1"/>
  <c r="L147" i="15"/>
  <c r="L16" i="15" s="1"/>
  <c r="AB248" i="15"/>
  <c r="AD248" i="15" s="1"/>
  <c r="AJ58" i="15"/>
  <c r="K10" i="15"/>
  <c r="L107" i="15"/>
  <c r="L15" i="15" s="1"/>
  <c r="Q149" i="15"/>
  <c r="Q10" i="15"/>
  <c r="V43" i="15"/>
  <c r="U32" i="15"/>
  <c r="AI210" i="15"/>
  <c r="P149" i="15"/>
  <c r="AF43" i="15"/>
  <c r="N147" i="15"/>
  <c r="N16" i="15" s="1"/>
  <c r="N148" i="15"/>
  <c r="AC269" i="15"/>
  <c r="AC278" i="15"/>
  <c r="AB278" i="15"/>
  <c r="AB232" i="15"/>
  <c r="AD232" i="15" s="1"/>
  <c r="AA149" i="15"/>
  <c r="AA10" i="15"/>
  <c r="R199" i="15"/>
  <c r="T199" i="15" s="1"/>
  <c r="J149" i="15"/>
  <c r="J10" i="15"/>
  <c r="R277" i="15"/>
  <c r="T164" i="15"/>
  <c r="T277" i="15" s="1"/>
  <c r="AA181" i="15"/>
  <c r="AB190" i="15"/>
  <c r="AD190" i="15" s="1"/>
  <c r="W262" i="15"/>
  <c r="K261" i="15"/>
  <c r="AC128" i="15"/>
  <c r="K127" i="15"/>
  <c r="AJ127" i="15" s="1"/>
  <c r="W128" i="15"/>
  <c r="I107" i="15"/>
  <c r="AJ115" i="15"/>
  <c r="AC281" i="15"/>
  <c r="W138" i="15"/>
  <c r="K137" i="15"/>
  <c r="AC138" i="15"/>
  <c r="AC259" i="15"/>
  <c r="W259" i="15"/>
  <c r="K285" i="15"/>
  <c r="AC248" i="15"/>
  <c r="W248" i="15"/>
  <c r="K260" i="15"/>
  <c r="AJ248" i="15"/>
  <c r="Z147" i="15"/>
  <c r="Z16" i="15" s="1"/>
  <c r="Z8" i="15" s="1"/>
  <c r="AJ191" i="15"/>
  <c r="AI190" i="15"/>
  <c r="N265" i="15"/>
  <c r="N19" i="15"/>
  <c r="N14" i="15" s="1"/>
  <c r="N9" i="15" s="1"/>
  <c r="W20" i="15"/>
  <c r="V20" i="15"/>
  <c r="V232" i="15"/>
  <c r="U10" i="15"/>
  <c r="V10" i="15" s="1"/>
  <c r="U149" i="15"/>
  <c r="AA260" i="15"/>
  <c r="R262" i="15"/>
  <c r="R261" i="15" s="1"/>
  <c r="T182" i="15"/>
  <c r="T262" i="15" s="1"/>
  <c r="T261" i="15" s="1"/>
  <c r="AC277" i="15"/>
  <c r="V157" i="15"/>
  <c r="V266" i="15" s="1"/>
  <c r="W157" i="15"/>
  <c r="L286" i="15"/>
  <c r="AC173" i="15"/>
  <c r="K273" i="15"/>
  <c r="W173" i="15"/>
  <c r="V173" i="15"/>
  <c r="V273" i="15" s="1"/>
  <c r="V271" i="15" s="1"/>
  <c r="AF138" i="15"/>
  <c r="AF128" i="15"/>
  <c r="Y127" i="15"/>
  <c r="Y107" i="15" s="1"/>
  <c r="AD219" i="15"/>
  <c r="R181" i="15"/>
  <c r="J275" i="15"/>
  <c r="R248" i="15"/>
  <c r="R260" i="15" s="1"/>
  <c r="O286" i="15"/>
  <c r="W181" i="15"/>
  <c r="AB128" i="15"/>
  <c r="AD128" i="15" s="1"/>
  <c r="AJ112" i="15"/>
  <c r="AI109" i="15"/>
  <c r="AA281" i="15"/>
  <c r="AB281" i="15" s="1"/>
  <c r="AB98" i="15"/>
  <c r="AD98" i="15" s="1"/>
  <c r="AA89" i="15"/>
  <c r="R269" i="15"/>
  <c r="T241" i="15"/>
  <c r="T269" i="15" s="1"/>
  <c r="N286" i="15"/>
  <c r="AJ199" i="15"/>
  <c r="P148" i="15"/>
  <c r="P147" i="15"/>
  <c r="P16" i="15" s="1"/>
  <c r="I32" i="15"/>
  <c r="AJ128" i="15"/>
  <c r="R59" i="15"/>
  <c r="T59" i="15" s="1"/>
  <c r="J257" i="15"/>
  <c r="AA80" i="15"/>
  <c r="AB81" i="15"/>
  <c r="AD81" i="15" s="1"/>
  <c r="R43" i="15"/>
  <c r="T43" i="15" s="1"/>
  <c r="AJ160" i="15"/>
  <c r="AI157" i="15"/>
  <c r="G147" i="15"/>
  <c r="G16" i="15" s="1"/>
  <c r="P107" i="15"/>
  <c r="P15" i="15" s="1"/>
  <c r="R274" i="15"/>
  <c r="T225" i="15"/>
  <c r="T274" i="15" s="1"/>
  <c r="Y285" i="15"/>
  <c r="Y273" i="15"/>
  <c r="Y271" i="15" s="1"/>
  <c r="AF173" i="15"/>
  <c r="Y150" i="15"/>
  <c r="AB173" i="15"/>
  <c r="AD173" i="15" s="1"/>
  <c r="K108" i="15"/>
  <c r="AF108" i="15" s="1"/>
  <c r="AC115" i="15"/>
  <c r="U257" i="15"/>
  <c r="AA58" i="15"/>
  <c r="AB58" i="15" s="1"/>
  <c r="AD58" i="15" s="1"/>
  <c r="AB59" i="15"/>
  <c r="AD59" i="15" s="1"/>
  <c r="U80" i="15"/>
  <c r="V81" i="15"/>
  <c r="R20" i="15"/>
  <c r="J265" i="15"/>
  <c r="AJ34" i="15"/>
  <c r="AI33" i="15"/>
  <c r="R272" i="15"/>
  <c r="R271" i="15" s="1"/>
  <c r="T76" i="15"/>
  <c r="T272" i="15" s="1"/>
  <c r="AC232" i="15"/>
  <c r="AF232" i="15"/>
  <c r="W232" i="15"/>
  <c r="AJ233" i="15"/>
  <c r="AA285" i="15"/>
  <c r="AB259" i="15"/>
  <c r="I149" i="15"/>
  <c r="I10" i="15"/>
  <c r="R138" i="15"/>
  <c r="T138" i="15" s="1"/>
  <c r="AA271" i="15"/>
  <c r="L149" i="15"/>
  <c r="L10" i="15"/>
  <c r="R90" i="15"/>
  <c r="T90" i="15" s="1"/>
  <c r="J89" i="15"/>
  <c r="J19" i="15" s="1"/>
  <c r="R232" i="15"/>
  <c r="T232" i="15" s="1"/>
  <c r="V116" i="15"/>
  <c r="U115" i="15"/>
  <c r="W115" i="15" s="1"/>
  <c r="AI137" i="15"/>
  <c r="AJ138" i="15"/>
  <c r="AJ20" i="15"/>
  <c r="AJ100" i="15"/>
  <c r="AI98" i="15"/>
  <c r="AJ98" i="15" s="1"/>
  <c r="Y89" i="15"/>
  <c r="AF90" i="15"/>
  <c r="AC287" i="15"/>
  <c r="W287" i="15"/>
  <c r="AF248" i="15"/>
  <c r="V260" i="15"/>
  <c r="V257" i="15" s="1"/>
  <c r="AA150" i="15"/>
  <c r="AB157" i="15"/>
  <c r="AD157" i="15" s="1"/>
  <c r="T233" i="15"/>
  <c r="T259" i="15" s="1"/>
  <c r="AB209" i="15"/>
  <c r="AD209" i="15" s="1"/>
  <c r="N149" i="15"/>
  <c r="N10" i="15"/>
  <c r="J147" i="15"/>
  <c r="AC274" i="15"/>
  <c r="W274" i="15"/>
  <c r="I181" i="15"/>
  <c r="Y181" i="15"/>
  <c r="AF181" i="15" s="1"/>
  <c r="AF182" i="15"/>
  <c r="Y262" i="15"/>
  <c r="AC262" i="15" s="1"/>
  <c r="R163" i="15"/>
  <c r="T163" i="15" s="1"/>
  <c r="W60" i="15"/>
  <c r="U59" i="15"/>
  <c r="V60" i="15"/>
  <c r="T210" i="15"/>
  <c r="Z270" i="15"/>
  <c r="Z267" i="15" s="1"/>
  <c r="V138" i="15"/>
  <c r="U127" i="15"/>
  <c r="V127" i="15" s="1"/>
  <c r="V128" i="15"/>
  <c r="W116" i="15"/>
  <c r="J107" i="15"/>
  <c r="Z257" i="15"/>
  <c r="L257" i="15"/>
  <c r="T98" i="15"/>
  <c r="T281" i="15" s="1"/>
  <c r="I89" i="15"/>
  <c r="AC81" i="15"/>
  <c r="W81" i="15"/>
  <c r="K80" i="15"/>
  <c r="AF80" i="15" s="1"/>
  <c r="Y275" i="15"/>
  <c r="N275" i="15"/>
  <c r="Y260" i="15"/>
  <c r="J270" i="15"/>
  <c r="J267" i="15" s="1"/>
  <c r="R115" i="15"/>
  <c r="V181" i="15"/>
  <c r="R128" i="15"/>
  <c r="T128" i="15" s="1"/>
  <c r="U281" i="15"/>
  <c r="W281" i="15" s="1"/>
  <c r="V98" i="15"/>
  <c r="V281" i="15" s="1"/>
  <c r="I58" i="15"/>
  <c r="AJ90" i="15"/>
  <c r="I80" i="15"/>
  <c r="AC90" i="15"/>
  <c r="W90" i="15"/>
  <c r="K89" i="15"/>
  <c r="U266" i="15"/>
  <c r="T25" i="15"/>
  <c r="R258" i="15"/>
  <c r="T104" i="15"/>
  <c r="T258" i="15" s="1"/>
  <c r="AF33" i="15"/>
  <c r="Y32" i="15"/>
  <c r="AC33" i="15"/>
  <c r="AF25" i="15"/>
  <c r="Y20" i="15"/>
  <c r="AB20" i="15" s="1"/>
  <c r="AD20" i="15" s="1"/>
  <c r="AC25" i="15"/>
  <c r="AB25" i="15"/>
  <c r="AD25" i="15" s="1"/>
  <c r="AF115" i="15"/>
  <c r="K150" i="15"/>
  <c r="AB90" i="15"/>
  <c r="AD90" i="15" s="1"/>
  <c r="AA32" i="15"/>
  <c r="AB33" i="15"/>
  <c r="AD33" i="15" s="1"/>
  <c r="Q147" i="15" l="1"/>
  <c r="Q16" i="15" s="1"/>
  <c r="O284" i="15"/>
  <c r="J148" i="15"/>
  <c r="O147" i="15"/>
  <c r="O16" i="15" s="1"/>
  <c r="O6" i="15" s="1"/>
  <c r="G8" i="15"/>
  <c r="L284" i="15"/>
  <c r="T109" i="15"/>
  <c r="T266" i="15" s="1"/>
  <c r="AC209" i="15"/>
  <c r="P264" i="15"/>
  <c r="H9" i="15"/>
  <c r="H6" i="15"/>
  <c r="K270" i="15"/>
  <c r="K267" i="15" s="1"/>
  <c r="L19" i="15"/>
  <c r="L14" i="15" s="1"/>
  <c r="L9" i="15" s="1"/>
  <c r="P286" i="15"/>
  <c r="P283" i="15" s="1"/>
  <c r="M8" i="15"/>
  <c r="M255" i="15" s="1"/>
  <c r="M12" i="15" s="1"/>
  <c r="M18" i="15" s="1"/>
  <c r="AF209" i="15"/>
  <c r="W209" i="15"/>
  <c r="AB32" i="15"/>
  <c r="T248" i="15"/>
  <c r="T260" i="15" s="1"/>
  <c r="T257" i="15" s="1"/>
  <c r="R32" i="15"/>
  <c r="T32" i="15" s="1"/>
  <c r="Q6" i="15"/>
  <c r="V209" i="15"/>
  <c r="Y10" i="15"/>
  <c r="Y149" i="15"/>
  <c r="AB149" i="15" s="1"/>
  <c r="AD149" i="15" s="1"/>
  <c r="AF32" i="15"/>
  <c r="AJ137" i="15"/>
  <c r="AB271" i="15"/>
  <c r="AB273" i="15"/>
  <c r="T271" i="15"/>
  <c r="U148" i="15"/>
  <c r="V149" i="15"/>
  <c r="O283" i="15"/>
  <c r="V32" i="15"/>
  <c r="L8" i="15"/>
  <c r="Q267" i="15"/>
  <c r="H8" i="15"/>
  <c r="T285" i="15"/>
  <c r="N8" i="15"/>
  <c r="N255" i="15" s="1"/>
  <c r="N12" i="15" s="1"/>
  <c r="N18" i="15" s="1"/>
  <c r="AD32" i="15"/>
  <c r="Q8" i="15"/>
  <c r="R137" i="15"/>
  <c r="T137" i="15" s="1"/>
  <c r="AF137" i="15"/>
  <c r="O8" i="15"/>
  <c r="V265" i="15"/>
  <c r="V264" i="15" s="1"/>
  <c r="W10" i="15"/>
  <c r="Z19" i="15"/>
  <c r="Z14" i="15" s="1"/>
  <c r="Z9" i="15" s="1"/>
  <c r="Z6" i="15" s="1"/>
  <c r="Z265" i="15"/>
  <c r="G6" i="15"/>
  <c r="AI209" i="15"/>
  <c r="AJ209" i="15" s="1"/>
  <c r="AJ210" i="15"/>
  <c r="AC58" i="15"/>
  <c r="R58" i="15"/>
  <c r="T58" i="15" s="1"/>
  <c r="AI89" i="15"/>
  <c r="AJ89" i="15" s="1"/>
  <c r="T181" i="15"/>
  <c r="R265" i="15"/>
  <c r="R264" i="15" s="1"/>
  <c r="W32" i="15"/>
  <c r="J286" i="15"/>
  <c r="AB181" i="15"/>
  <c r="AD181" i="15" s="1"/>
  <c r="U265" i="15"/>
  <c r="U264" i="15" s="1"/>
  <c r="W89" i="15"/>
  <c r="AC89" i="15"/>
  <c r="J16" i="15"/>
  <c r="J14" i="15"/>
  <c r="AF150" i="15"/>
  <c r="Y148" i="15"/>
  <c r="Y147" i="15"/>
  <c r="AJ157" i="15"/>
  <c r="AI150" i="15"/>
  <c r="I147" i="15"/>
  <c r="AB260" i="15"/>
  <c r="AA286" i="15"/>
  <c r="AA257" i="15"/>
  <c r="K19" i="15"/>
  <c r="R19" i="15" s="1"/>
  <c r="W260" i="15"/>
  <c r="K286" i="15"/>
  <c r="AC260" i="15"/>
  <c r="K257" i="15"/>
  <c r="R149" i="15"/>
  <c r="T149" i="15" s="1"/>
  <c r="T115" i="15"/>
  <c r="J264" i="15"/>
  <c r="J284" i="15"/>
  <c r="AA265" i="15"/>
  <c r="AC32" i="15"/>
  <c r="I19" i="15"/>
  <c r="Q264" i="15"/>
  <c r="Q284" i="15"/>
  <c r="Q283" i="15" s="1"/>
  <c r="W149" i="15"/>
  <c r="L283" i="15"/>
  <c r="W150" i="15"/>
  <c r="K148" i="15"/>
  <c r="AC150" i="15"/>
  <c r="K147" i="15"/>
  <c r="Y265" i="15"/>
  <c r="AC265" i="15" s="1"/>
  <c r="Y19" i="15"/>
  <c r="AF20" i="15"/>
  <c r="W266" i="15"/>
  <c r="J15" i="15"/>
  <c r="V59" i="15"/>
  <c r="U58" i="15"/>
  <c r="W59" i="15"/>
  <c r="R150" i="15"/>
  <c r="T150" i="15" s="1"/>
  <c r="Z286" i="15"/>
  <c r="AB150" i="15"/>
  <c r="AD150" i="15" s="1"/>
  <c r="AA147" i="15"/>
  <c r="AA148" i="15"/>
  <c r="R89" i="15"/>
  <c r="T89" i="15" s="1"/>
  <c r="AB285" i="15"/>
  <c r="AI32" i="15"/>
  <c r="AJ33" i="15"/>
  <c r="V89" i="15"/>
  <c r="AB89" i="15"/>
  <c r="AD89" i="15" s="1"/>
  <c r="AI108" i="15"/>
  <c r="AJ109" i="15"/>
  <c r="AC181" i="15"/>
  <c r="AF127" i="15"/>
  <c r="AB127" i="15"/>
  <c r="AD127" i="15" s="1"/>
  <c r="Y270" i="15"/>
  <c r="I148" i="15"/>
  <c r="T20" i="15"/>
  <c r="K264" i="15"/>
  <c r="W127" i="15"/>
  <c r="AC127" i="15"/>
  <c r="R127" i="15"/>
  <c r="T127" i="15" s="1"/>
  <c r="V150" i="15"/>
  <c r="R257" i="15"/>
  <c r="AC108" i="15"/>
  <c r="K107" i="15"/>
  <c r="AF107" i="15" s="1"/>
  <c r="M264" i="15"/>
  <c r="M284" i="15"/>
  <c r="M283" i="15" s="1"/>
  <c r="AI149" i="15"/>
  <c r="AJ149" i="15" s="1"/>
  <c r="N264" i="15"/>
  <c r="N284" i="15"/>
  <c r="N283" i="15" s="1"/>
  <c r="W261" i="15"/>
  <c r="Y261" i="15"/>
  <c r="AB261" i="15" s="1"/>
  <c r="AB262" i="15"/>
  <c r="R285" i="15"/>
  <c r="AI181" i="15"/>
  <c r="AJ181" i="15" s="1"/>
  <c r="AJ190" i="15"/>
  <c r="Y257" i="15"/>
  <c r="AC80" i="15"/>
  <c r="W80" i="15"/>
  <c r="K276" i="15"/>
  <c r="AJ80" i="15"/>
  <c r="R80" i="15"/>
  <c r="R276" i="15" s="1"/>
  <c r="R275" i="15" s="1"/>
  <c r="R108" i="15"/>
  <c r="T108" i="15" s="1"/>
  <c r="AF89" i="15"/>
  <c r="U270" i="15"/>
  <c r="U267" i="15" s="1"/>
  <c r="V115" i="15"/>
  <c r="U108" i="15"/>
  <c r="AA19" i="15"/>
  <c r="V80" i="15"/>
  <c r="V276" i="15" s="1"/>
  <c r="V275" i="15" s="1"/>
  <c r="U276" i="15"/>
  <c r="P8" i="15"/>
  <c r="Y15" i="15"/>
  <c r="AB15" i="15" s="1"/>
  <c r="AD15" i="15" s="1"/>
  <c r="AB80" i="15"/>
  <c r="AD80" i="15" s="1"/>
  <c r="AA276" i="15"/>
  <c r="AB107" i="15"/>
  <c r="AD107" i="15" s="1"/>
  <c r="AI10" i="15"/>
  <c r="AJ10" i="15" s="1"/>
  <c r="W273" i="15"/>
  <c r="AC273" i="15"/>
  <c r="K271" i="15"/>
  <c r="AC20" i="15"/>
  <c r="AC285" i="15"/>
  <c r="W285" i="15"/>
  <c r="P6" i="15"/>
  <c r="AC137" i="15"/>
  <c r="W137" i="15"/>
  <c r="V137" i="15"/>
  <c r="I15" i="15"/>
  <c r="V147" i="15"/>
  <c r="U16" i="15"/>
  <c r="R10" i="15"/>
  <c r="T10" i="15" s="1"/>
  <c r="AC270" i="15" l="1"/>
  <c r="L255" i="15"/>
  <c r="L12" i="15" s="1"/>
  <c r="T265" i="15"/>
  <c r="T264" i="15" s="1"/>
  <c r="M6" i="15"/>
  <c r="W265" i="15"/>
  <c r="AF149" i="15"/>
  <c r="AC149" i="15"/>
  <c r="AF10" i="15"/>
  <c r="AC10" i="15"/>
  <c r="AB10" i="15"/>
  <c r="N6" i="15"/>
  <c r="AC261" i="15"/>
  <c r="AB148" i="15"/>
  <c r="AD148" i="15" s="1"/>
  <c r="J283" i="15"/>
  <c r="W270" i="15"/>
  <c r="Z284" i="15"/>
  <c r="Z283" i="15" s="1"/>
  <c r="Z264" i="15"/>
  <c r="AA14" i="15"/>
  <c r="AB19" i="15"/>
  <c r="AD19" i="15" s="1"/>
  <c r="W267" i="15"/>
  <c r="W264" i="15"/>
  <c r="AF19" i="15"/>
  <c r="Y14" i="15"/>
  <c r="AC148" i="15"/>
  <c r="W148" i="15"/>
  <c r="AA264" i="15"/>
  <c r="AB265" i="15"/>
  <c r="AA284" i="15"/>
  <c r="J6" i="15"/>
  <c r="J9" i="15"/>
  <c r="AA275" i="15"/>
  <c r="AB275" i="15" s="1"/>
  <c r="AB276" i="15"/>
  <c r="V108" i="15"/>
  <c r="U107" i="15"/>
  <c r="AC107" i="15"/>
  <c r="K15" i="15"/>
  <c r="AF15" i="15" s="1"/>
  <c r="AF147" i="15"/>
  <c r="Y16" i="15"/>
  <c r="U275" i="15"/>
  <c r="U284" i="15"/>
  <c r="V270" i="15"/>
  <c r="AC276" i="15"/>
  <c r="W276" i="15"/>
  <c r="K275" i="15"/>
  <c r="Y286" i="15"/>
  <c r="AB286" i="15" s="1"/>
  <c r="R284" i="15"/>
  <c r="AI107" i="15"/>
  <c r="AJ108" i="15"/>
  <c r="AB147" i="15"/>
  <c r="AD147" i="15" s="1"/>
  <c r="AA16" i="15"/>
  <c r="V284" i="15"/>
  <c r="R15" i="15"/>
  <c r="T15" i="15" s="1"/>
  <c r="J8" i="15"/>
  <c r="U286" i="15"/>
  <c r="W286" i="15" s="1"/>
  <c r="W147" i="15"/>
  <c r="K16" i="15"/>
  <c r="R16" i="15" s="1"/>
  <c r="AC147" i="15"/>
  <c r="T19" i="15"/>
  <c r="I14" i="15"/>
  <c r="T270" i="15"/>
  <c r="T267" i="15" s="1"/>
  <c r="AC257" i="15"/>
  <c r="W257" i="15"/>
  <c r="AC19" i="15"/>
  <c r="K14" i="15"/>
  <c r="R14" i="15" s="1"/>
  <c r="I16" i="15"/>
  <c r="AF148" i="15"/>
  <c r="V58" i="15"/>
  <c r="U19" i="15"/>
  <c r="W58" i="15"/>
  <c r="L18" i="15"/>
  <c r="R18" i="15" s="1"/>
  <c r="R12" i="15"/>
  <c r="T80" i="15"/>
  <c r="T276" i="15" s="1"/>
  <c r="Y267" i="15"/>
  <c r="AB267" i="15" s="1"/>
  <c r="AB270" i="15"/>
  <c r="AJ32" i="15"/>
  <c r="AI19" i="15"/>
  <c r="Y264" i="15"/>
  <c r="AC264" i="15" s="1"/>
  <c r="Y284" i="15"/>
  <c r="R148" i="15"/>
  <c r="T148" i="15" s="1"/>
  <c r="W271" i="15"/>
  <c r="AC271" i="15"/>
  <c r="Y8" i="15"/>
  <c r="V148" i="15"/>
  <c r="W108" i="15"/>
  <c r="K284" i="15"/>
  <c r="R107" i="15"/>
  <c r="T107" i="15" s="1"/>
  <c r="L6" i="15"/>
  <c r="R270" i="15"/>
  <c r="AB257" i="15"/>
  <c r="AJ150" i="15"/>
  <c r="AI147" i="15"/>
  <c r="AI148" i="15"/>
  <c r="AJ148" i="15" s="1"/>
  <c r="R147" i="15"/>
  <c r="T147" i="15" s="1"/>
  <c r="Y283" i="15" l="1"/>
  <c r="T16" i="15"/>
  <c r="AC286" i="15"/>
  <c r="AF16" i="15"/>
  <c r="U283" i="15"/>
  <c r="AB264" i="15"/>
  <c r="W284" i="15"/>
  <c r="AC284" i="15"/>
  <c r="K283" i="15"/>
  <c r="AJ107" i="15"/>
  <c r="AI15" i="15"/>
  <c r="AJ19" i="15"/>
  <c r="AI14" i="15"/>
  <c r="T275" i="15"/>
  <c r="T284" i="15"/>
  <c r="K6" i="15"/>
  <c r="R6" i="15" s="1"/>
  <c r="K9" i="15"/>
  <c r="R9" i="15" s="1"/>
  <c r="AC14" i="15"/>
  <c r="T286" i="15"/>
  <c r="I8" i="15"/>
  <c r="AC15" i="15"/>
  <c r="K8" i="15"/>
  <c r="AB284" i="15"/>
  <c r="AA283" i="15"/>
  <c r="AB283" i="15" s="1"/>
  <c r="AB14" i="15"/>
  <c r="AD14" i="15" s="1"/>
  <c r="AA9" i="15"/>
  <c r="I6" i="15"/>
  <c r="T14" i="15"/>
  <c r="I9" i="15"/>
  <c r="R267" i="15"/>
  <c r="R286" i="15"/>
  <c r="R283" i="15" s="1"/>
  <c r="AB16" i="15"/>
  <c r="AD16" i="15" s="1"/>
  <c r="AA8" i="15"/>
  <c r="U15" i="15"/>
  <c r="V107" i="15"/>
  <c r="AI16" i="15"/>
  <c r="AJ16" i="15" s="1"/>
  <c r="AJ147" i="15"/>
  <c r="U14" i="15"/>
  <c r="V19" i="15"/>
  <c r="W19" i="15"/>
  <c r="AC16" i="15"/>
  <c r="W16" i="15"/>
  <c r="W275" i="15"/>
  <c r="AC275" i="15"/>
  <c r="V267" i="15"/>
  <c r="V286" i="15"/>
  <c r="V283" i="15" s="1"/>
  <c r="W107" i="15"/>
  <c r="AF14" i="15"/>
  <c r="Y9" i="15"/>
  <c r="AC267" i="15"/>
  <c r="V16" i="15"/>
  <c r="T283" i="15" l="1"/>
  <c r="AF9" i="15"/>
  <c r="T9" i="15"/>
  <c r="Y6" i="15"/>
  <c r="AF6" i="15" s="1"/>
  <c r="AC6" i="15"/>
  <c r="AC8" i="15"/>
  <c r="W283" i="15"/>
  <c r="AC283" i="15"/>
  <c r="AB9" i="15"/>
  <c r="AJ15" i="15"/>
  <c r="AI8" i="15"/>
  <c r="V14" i="15"/>
  <c r="U9" i="15"/>
  <c r="V9" i="15" s="1"/>
  <c r="U8" i="15"/>
  <c r="V15" i="15"/>
  <c r="R8" i="15"/>
  <c r="T8" i="15" s="1"/>
  <c r="AB6" i="15"/>
  <c r="AA6" i="15"/>
  <c r="AB8" i="15"/>
  <c r="AF8" i="15"/>
  <c r="W14" i="15"/>
  <c r="W15" i="15"/>
  <c r="AC9" i="15"/>
  <c r="AI9" i="15"/>
  <c r="AJ9" i="15" s="1"/>
  <c r="AJ14" i="15"/>
  <c r="T6" i="15" l="1"/>
  <c r="W6" i="15"/>
  <c r="W9" i="15"/>
  <c r="AD6" i="15"/>
  <c r="AI6" i="15"/>
  <c r="AJ6" i="15" s="1"/>
  <c r="AJ8" i="15"/>
  <c r="U255" i="15"/>
  <c r="U12" i="15" s="1"/>
  <c r="U18" i="15" s="1"/>
  <c r="V8" i="15"/>
  <c r="W8" i="15"/>
  <c r="W255" i="15" l="1"/>
  <c r="U6" i="15"/>
  <c r="V255" i="15"/>
  <c r="V6" i="15"/>
  <c r="AG38" i="13" l="1"/>
  <c r="AG23" i="13"/>
  <c r="AG261" i="13" l="1"/>
  <c r="AF261" i="13"/>
  <c r="O261" i="13"/>
  <c r="O260" i="13" s="1"/>
  <c r="J261" i="13"/>
  <c r="AQ261" i="13" s="1"/>
  <c r="AS261" i="13" s="1"/>
  <c r="H261" i="13"/>
  <c r="F261" i="13"/>
  <c r="AL260" i="13"/>
  <c r="AD260" i="13"/>
  <c r="AD259" i="13" s="1"/>
  <c r="AC260" i="13"/>
  <c r="AC259" i="13" s="1"/>
  <c r="AB260" i="13"/>
  <c r="AB259" i="13" s="1"/>
  <c r="AA260" i="13"/>
  <c r="Z260" i="13"/>
  <c r="Z259" i="13" s="1"/>
  <c r="U260" i="13"/>
  <c r="U259" i="13" s="1"/>
  <c r="P260" i="13"/>
  <c r="P259" i="13" s="1"/>
  <c r="M260" i="13"/>
  <c r="M259" i="13" s="1"/>
  <c r="L260" i="13"/>
  <c r="L259" i="13" s="1"/>
  <c r="H260" i="13"/>
  <c r="H259" i="13" s="1"/>
  <c r="F260" i="13"/>
  <c r="F259" i="13" s="1"/>
  <c r="O259" i="13"/>
  <c r="AG258" i="13"/>
  <c r="AF258" i="13"/>
  <c r="O258" i="13"/>
  <c r="O257" i="13" s="1"/>
  <c r="O256" i="13" s="1"/>
  <c r="J258" i="13"/>
  <c r="N258" i="13" s="1"/>
  <c r="H258" i="13"/>
  <c r="F258" i="13"/>
  <c r="F257" i="13" s="1"/>
  <c r="F256" i="13" s="1"/>
  <c r="AL257" i="13"/>
  <c r="AL256" i="13" s="1"/>
  <c r="AC257" i="13"/>
  <c r="AB257" i="13"/>
  <c r="AB256" i="13" s="1"/>
  <c r="AA257" i="13"/>
  <c r="AA256" i="13" s="1"/>
  <c r="Z257" i="13"/>
  <c r="Z256" i="13" s="1"/>
  <c r="U257" i="13"/>
  <c r="U256" i="13" s="1"/>
  <c r="P257" i="13"/>
  <c r="P256" i="13" s="1"/>
  <c r="M257" i="13"/>
  <c r="L257" i="13"/>
  <c r="L256" i="13" s="1"/>
  <c r="J257" i="13"/>
  <c r="H257" i="13"/>
  <c r="H256" i="13" s="1"/>
  <c r="AD256" i="13"/>
  <c r="AC256" i="13"/>
  <c r="J256" i="13"/>
  <c r="AG255" i="13"/>
  <c r="AF255" i="13"/>
  <c r="M255" i="13"/>
  <c r="M254" i="13" s="1"/>
  <c r="J255" i="13"/>
  <c r="H255" i="13"/>
  <c r="H254" i="13" s="1"/>
  <c r="F255" i="13"/>
  <c r="F254" i="13" s="1"/>
  <c r="AD254" i="13"/>
  <c r="AC254" i="13"/>
  <c r="AB254" i="13"/>
  <c r="AA254" i="13"/>
  <c r="Z254" i="13"/>
  <c r="U254" i="13"/>
  <c r="P254" i="13"/>
  <c r="O254" i="13"/>
  <c r="L254" i="13"/>
  <c r="AG253" i="13"/>
  <c r="AF253" i="13"/>
  <c r="J253" i="13"/>
  <c r="V253" i="13" s="1"/>
  <c r="X253" i="13" s="1"/>
  <c r="H253" i="13"/>
  <c r="F253" i="13"/>
  <c r="AG252" i="13"/>
  <c r="AF252" i="13"/>
  <c r="M252" i="13"/>
  <c r="J252" i="13"/>
  <c r="H252" i="13"/>
  <c r="F252" i="13"/>
  <c r="AD251" i="13"/>
  <c r="AD250" i="13" s="1"/>
  <c r="AC251" i="13"/>
  <c r="AB251" i="13"/>
  <c r="AA251" i="13"/>
  <c r="Z251" i="13"/>
  <c r="U251" i="13"/>
  <c r="P251" i="13"/>
  <c r="O251" i="13"/>
  <c r="M251" i="13"/>
  <c r="M250" i="13" s="1"/>
  <c r="L251" i="13"/>
  <c r="AB250" i="13"/>
  <c r="AG249" i="13"/>
  <c r="AF249" i="13"/>
  <c r="J249" i="13"/>
  <c r="N249" i="13" s="1"/>
  <c r="Y249" i="13" s="1"/>
  <c r="H249" i="13"/>
  <c r="F249" i="13"/>
  <c r="AG248" i="13"/>
  <c r="AE248" i="13" s="1"/>
  <c r="AF248" i="13"/>
  <c r="J248" i="13"/>
  <c r="N248" i="13" s="1"/>
  <c r="H248" i="13"/>
  <c r="F248" i="13"/>
  <c r="AG247" i="13"/>
  <c r="AE247" i="13" s="1"/>
  <c r="AF247" i="13"/>
  <c r="J247" i="13"/>
  <c r="H247" i="13"/>
  <c r="F247" i="13"/>
  <c r="AG246" i="13"/>
  <c r="AF246" i="13"/>
  <c r="J246" i="13"/>
  <c r="Q246" i="13" s="1"/>
  <c r="S246" i="13" s="1"/>
  <c r="H246" i="13"/>
  <c r="F246" i="13"/>
  <c r="AG245" i="13"/>
  <c r="AF245" i="13"/>
  <c r="AD245" i="13"/>
  <c r="AD243" i="13" s="1"/>
  <c r="J245" i="13"/>
  <c r="H245" i="13"/>
  <c r="F245" i="13"/>
  <c r="AC244" i="13"/>
  <c r="AB244" i="13"/>
  <c r="AA244" i="13"/>
  <c r="Z244" i="13"/>
  <c r="O244" i="13"/>
  <c r="M244" i="13"/>
  <c r="M243" i="13" s="1"/>
  <c r="L244" i="13"/>
  <c r="L243" i="13" s="1"/>
  <c r="AC243" i="13"/>
  <c r="AB243" i="13"/>
  <c r="AA243" i="13"/>
  <c r="Z243" i="13"/>
  <c r="U243" i="13"/>
  <c r="P243" i="13"/>
  <c r="O243" i="13"/>
  <c r="AG242" i="13"/>
  <c r="AF242" i="13"/>
  <c r="O242" i="13"/>
  <c r="M242" i="13"/>
  <c r="J242" i="13"/>
  <c r="H242" i="13"/>
  <c r="F242" i="13"/>
  <c r="AG241" i="13"/>
  <c r="AF241" i="13"/>
  <c r="J241" i="13"/>
  <c r="Q241" i="13" s="1"/>
  <c r="S241" i="13" s="1"/>
  <c r="H241" i="13"/>
  <c r="F241" i="13"/>
  <c r="AG240" i="13"/>
  <c r="AF240" i="13"/>
  <c r="J240" i="13"/>
  <c r="N240" i="13" s="1"/>
  <c r="H240" i="13"/>
  <c r="F240" i="13"/>
  <c r="AG239" i="13"/>
  <c r="AF239" i="13"/>
  <c r="J239" i="13"/>
  <c r="N239" i="13" s="1"/>
  <c r="H239" i="13"/>
  <c r="F239" i="13"/>
  <c r="AG238" i="13"/>
  <c r="AF238" i="13"/>
  <c r="M238" i="13"/>
  <c r="M237" i="13" s="1"/>
  <c r="J238" i="13"/>
  <c r="V238" i="13" s="1"/>
  <c r="X238" i="13" s="1"/>
  <c r="H238" i="13"/>
  <c r="F238" i="13"/>
  <c r="AD237" i="13"/>
  <c r="AD235" i="13" s="1"/>
  <c r="AC237" i="13"/>
  <c r="AB237" i="13"/>
  <c r="AA237" i="13"/>
  <c r="AA235" i="13" s="1"/>
  <c r="Z237" i="13"/>
  <c r="Z235" i="13" s="1"/>
  <c r="O237" i="13"/>
  <c r="L237" i="13"/>
  <c r="L235" i="13" s="1"/>
  <c r="AG236" i="13"/>
  <c r="AE236" i="13" s="1"/>
  <c r="AF236" i="13"/>
  <c r="M236" i="13"/>
  <c r="J236" i="13"/>
  <c r="H236" i="13"/>
  <c r="F236" i="13"/>
  <c r="AC235" i="13"/>
  <c r="AB235" i="13"/>
  <c r="U235" i="13"/>
  <c r="P235" i="13"/>
  <c r="O235" i="13"/>
  <c r="AG233" i="13"/>
  <c r="AE233" i="13" s="1"/>
  <c r="AF233" i="13"/>
  <c r="J233" i="13"/>
  <c r="H233" i="13"/>
  <c r="F233" i="13"/>
  <c r="AG232" i="13"/>
  <c r="AE232" i="13" s="1"/>
  <c r="AF232" i="13"/>
  <c r="M232" i="13"/>
  <c r="M231" i="13" s="1"/>
  <c r="J232" i="13"/>
  <c r="AH232" i="13" s="1"/>
  <c r="AJ232" i="13" s="1"/>
  <c r="H232" i="13"/>
  <c r="F232" i="13"/>
  <c r="AD231" i="13"/>
  <c r="AC231" i="13"/>
  <c r="AB231" i="13"/>
  <c r="AA231" i="13"/>
  <c r="Z231" i="13"/>
  <c r="U231" i="13"/>
  <c r="P231" i="13"/>
  <c r="O231" i="13"/>
  <c r="L231" i="13"/>
  <c r="AG230" i="13"/>
  <c r="AF230" i="13"/>
  <c r="J230" i="13"/>
  <c r="V230" i="13" s="1"/>
  <c r="X230" i="13" s="1"/>
  <c r="H230" i="13"/>
  <c r="F230" i="13"/>
  <c r="AG229" i="13"/>
  <c r="AF229" i="13"/>
  <c r="J229" i="13"/>
  <c r="V229" i="13" s="1"/>
  <c r="X229" i="13" s="1"/>
  <c r="H229" i="13"/>
  <c r="F229" i="13"/>
  <c r="AG228" i="13"/>
  <c r="AF228" i="13"/>
  <c r="J228" i="13"/>
  <c r="V228" i="13" s="1"/>
  <c r="X228" i="13" s="1"/>
  <c r="H228" i="13"/>
  <c r="F228" i="13"/>
  <c r="AD227" i="13"/>
  <c r="AC227" i="13"/>
  <c r="AB227" i="13"/>
  <c r="AA227" i="13"/>
  <c r="Z227" i="13"/>
  <c r="U227" i="13"/>
  <c r="P227" i="13"/>
  <c r="O227" i="13"/>
  <c r="M227" i="13"/>
  <c r="L227" i="13"/>
  <c r="AG226" i="13"/>
  <c r="AE226" i="13" s="1"/>
  <c r="AF226" i="13"/>
  <c r="J226" i="13"/>
  <c r="N226" i="13" s="1"/>
  <c r="T226" i="13" s="1"/>
  <c r="H226" i="13"/>
  <c r="F226" i="13"/>
  <c r="AG225" i="13"/>
  <c r="AE225" i="13" s="1"/>
  <c r="AF225" i="13"/>
  <c r="J225" i="13"/>
  <c r="N225" i="13" s="1"/>
  <c r="H225" i="13"/>
  <c r="F225" i="13"/>
  <c r="AG224" i="13"/>
  <c r="AE224" i="13" s="1"/>
  <c r="AF224" i="13"/>
  <c r="J224" i="13"/>
  <c r="H224" i="13"/>
  <c r="F224" i="13"/>
  <c r="AG223" i="13"/>
  <c r="AF223" i="13"/>
  <c r="J223" i="13"/>
  <c r="H223" i="13"/>
  <c r="F223" i="13"/>
  <c r="AD222" i="13"/>
  <c r="AD221" i="13" s="1"/>
  <c r="AC222" i="13"/>
  <c r="AC221" i="13" s="1"/>
  <c r="AB222" i="13"/>
  <c r="AB221" i="13" s="1"/>
  <c r="AA222" i="13"/>
  <c r="AA221" i="13" s="1"/>
  <c r="Z222" i="13"/>
  <c r="Z221" i="13" s="1"/>
  <c r="U222" i="13"/>
  <c r="P222" i="13"/>
  <c r="P221" i="13" s="1"/>
  <c r="O222" i="13"/>
  <c r="O221" i="13" s="1"/>
  <c r="M222" i="13"/>
  <c r="M221" i="13" s="1"/>
  <c r="L222" i="13"/>
  <c r="L221" i="13" s="1"/>
  <c r="U221" i="13"/>
  <c r="AG220" i="13"/>
  <c r="AE220" i="13" s="1"/>
  <c r="AF220" i="13"/>
  <c r="J220" i="13"/>
  <c r="H220" i="13"/>
  <c r="F220" i="13"/>
  <c r="AG219" i="13"/>
  <c r="AF219" i="13"/>
  <c r="J219" i="13"/>
  <c r="H219" i="13"/>
  <c r="F219" i="13"/>
  <c r="AD218" i="13"/>
  <c r="AC218" i="13"/>
  <c r="AC214" i="13" s="1"/>
  <c r="AB218" i="13"/>
  <c r="AB214" i="13" s="1"/>
  <c r="AA218" i="13"/>
  <c r="AA214" i="13" s="1"/>
  <c r="Z218" i="13"/>
  <c r="Z214" i="13" s="1"/>
  <c r="U218" i="13"/>
  <c r="U214" i="13" s="1"/>
  <c r="P218" i="13"/>
  <c r="P214" i="13" s="1"/>
  <c r="O218" i="13"/>
  <c r="O214" i="13" s="1"/>
  <c r="AG217" i="13"/>
  <c r="AF217" i="13"/>
  <c r="J217" i="13"/>
  <c r="H217" i="13"/>
  <c r="F217" i="13"/>
  <c r="AG216" i="13"/>
  <c r="AE216" i="13" s="1"/>
  <c r="AF216" i="13"/>
  <c r="J216" i="13"/>
  <c r="Q216" i="13" s="1"/>
  <c r="S216" i="13" s="1"/>
  <c r="H216" i="13"/>
  <c r="F216" i="13"/>
  <c r="AG215" i="13"/>
  <c r="AF215" i="13"/>
  <c r="J215" i="13"/>
  <c r="H215" i="13"/>
  <c r="F215" i="13"/>
  <c r="AD214" i="13"/>
  <c r="M214" i="13"/>
  <c r="L214" i="13"/>
  <c r="AG212" i="13"/>
  <c r="AF212" i="13"/>
  <c r="J212" i="13"/>
  <c r="J211" i="13" s="1"/>
  <c r="H212" i="13"/>
  <c r="H211" i="13" s="1"/>
  <c r="F212" i="13"/>
  <c r="F211" i="13" s="1"/>
  <c r="AD211" i="13"/>
  <c r="AC211" i="13"/>
  <c r="AB211" i="13"/>
  <c r="AA211" i="13"/>
  <c r="Z211" i="13"/>
  <c r="U211" i="13"/>
  <c r="P211" i="13"/>
  <c r="O211" i="13"/>
  <c r="M211" i="13"/>
  <c r="L211" i="13"/>
  <c r="AG210" i="13"/>
  <c r="AF210" i="13"/>
  <c r="J210" i="13"/>
  <c r="Q210" i="13" s="1"/>
  <c r="S210" i="13" s="1"/>
  <c r="H210" i="13"/>
  <c r="F210" i="13"/>
  <c r="AG209" i="13"/>
  <c r="AE209" i="13" s="1"/>
  <c r="AF209" i="13"/>
  <c r="J209" i="13"/>
  <c r="N209" i="13" s="1"/>
  <c r="Y209" i="13" s="1"/>
  <c r="H209" i="13"/>
  <c r="F209" i="13"/>
  <c r="AG208" i="13"/>
  <c r="AF208" i="13"/>
  <c r="J208" i="13"/>
  <c r="V208" i="13" s="1"/>
  <c r="X208" i="13" s="1"/>
  <c r="H208" i="13"/>
  <c r="F208" i="13"/>
  <c r="AG207" i="13"/>
  <c r="AF207" i="13"/>
  <c r="J207" i="13"/>
  <c r="Q207" i="13" s="1"/>
  <c r="S207" i="13" s="1"/>
  <c r="H207" i="13"/>
  <c r="F207" i="13"/>
  <c r="AG206" i="13"/>
  <c r="AE206" i="13" s="1"/>
  <c r="AF206" i="13"/>
  <c r="J206" i="13"/>
  <c r="V206" i="13" s="1"/>
  <c r="X206" i="13" s="1"/>
  <c r="H206" i="13"/>
  <c r="F206" i="13"/>
  <c r="AG205" i="13"/>
  <c r="AF205" i="13"/>
  <c r="M205" i="13"/>
  <c r="M204" i="13" s="1"/>
  <c r="J205" i="13"/>
  <c r="V205" i="13" s="1"/>
  <c r="X205" i="13" s="1"/>
  <c r="H205" i="13"/>
  <c r="F205" i="13"/>
  <c r="AD204" i="13"/>
  <c r="AD203" i="13" s="1"/>
  <c r="AC204" i="13"/>
  <c r="AB204" i="13"/>
  <c r="AA204" i="13"/>
  <c r="Z204" i="13"/>
  <c r="U204" i="13"/>
  <c r="P204" i="13"/>
  <c r="O204" i="13"/>
  <c r="O203" i="13" s="1"/>
  <c r="L204" i="13"/>
  <c r="AA203" i="13"/>
  <c r="M203" i="13"/>
  <c r="AG202" i="13"/>
  <c r="AE202" i="13" s="1"/>
  <c r="AF202" i="13"/>
  <c r="X202" i="13"/>
  <c r="J202" i="13"/>
  <c r="N202" i="13" s="1"/>
  <c r="T202" i="13" s="1"/>
  <c r="H202" i="13"/>
  <c r="F202" i="13"/>
  <c r="AG201" i="13"/>
  <c r="AE201" i="13" s="1"/>
  <c r="AF201" i="13"/>
  <c r="J201" i="13"/>
  <c r="N201" i="13" s="1"/>
  <c r="H201" i="13"/>
  <c r="F201" i="13"/>
  <c r="AF200" i="13"/>
  <c r="AD200" i="13"/>
  <c r="O200" i="13"/>
  <c r="M200" i="13"/>
  <c r="L200" i="13"/>
  <c r="AG199" i="13"/>
  <c r="AF199" i="13"/>
  <c r="J199" i="13"/>
  <c r="V199" i="13" s="1"/>
  <c r="X199" i="13" s="1"/>
  <c r="H199" i="13"/>
  <c r="F199" i="13"/>
  <c r="AG198" i="13"/>
  <c r="AF198" i="13"/>
  <c r="J198" i="13"/>
  <c r="Q198" i="13" s="1"/>
  <c r="S198" i="13" s="1"/>
  <c r="H198" i="13"/>
  <c r="F198" i="13"/>
  <c r="AG197" i="13"/>
  <c r="AE197" i="13" s="1"/>
  <c r="AF197" i="13"/>
  <c r="J197" i="13"/>
  <c r="H197" i="13"/>
  <c r="F197" i="13"/>
  <c r="AG196" i="13"/>
  <c r="AF196" i="13"/>
  <c r="M196" i="13"/>
  <c r="J196" i="13"/>
  <c r="V196" i="13" s="1"/>
  <c r="X196" i="13" s="1"/>
  <c r="H196" i="13"/>
  <c r="F196" i="13"/>
  <c r="AD195" i="13"/>
  <c r="AC195" i="13"/>
  <c r="AC194" i="13" s="1"/>
  <c r="AB195" i="13"/>
  <c r="AA195" i="13"/>
  <c r="Z195" i="13"/>
  <c r="U195" i="13"/>
  <c r="P195" i="13"/>
  <c r="O195" i="13"/>
  <c r="M195" i="13"/>
  <c r="L195" i="13"/>
  <c r="AB194" i="13"/>
  <c r="AA194" i="13"/>
  <c r="AG193" i="13"/>
  <c r="AF193" i="13"/>
  <c r="J193" i="13"/>
  <c r="V193" i="13" s="1"/>
  <c r="X193" i="13" s="1"/>
  <c r="H193" i="13"/>
  <c r="F193" i="13"/>
  <c r="Z192" i="13"/>
  <c r="AF192" i="13" s="1"/>
  <c r="J192" i="13"/>
  <c r="H192" i="13"/>
  <c r="F192" i="13"/>
  <c r="AG191" i="13"/>
  <c r="AE191" i="13" s="1"/>
  <c r="AF191" i="13"/>
  <c r="J191" i="13"/>
  <c r="H191" i="13"/>
  <c r="F191" i="13"/>
  <c r="AG190" i="13"/>
  <c r="AE190" i="13" s="1"/>
  <c r="AF190" i="13"/>
  <c r="J190" i="13"/>
  <c r="N190" i="13" s="1"/>
  <c r="H190" i="13"/>
  <c r="H189" i="13" s="1"/>
  <c r="F190" i="13"/>
  <c r="AD189" i="13"/>
  <c r="AD186" i="13" s="1"/>
  <c r="AC189" i="13"/>
  <c r="AC186" i="13" s="1"/>
  <c r="AB189" i="13"/>
  <c r="AB186" i="13" s="1"/>
  <c r="AA189" i="13"/>
  <c r="AA186" i="13" s="1"/>
  <c r="Z189" i="13"/>
  <c r="U189" i="13"/>
  <c r="P189" i="13"/>
  <c r="O189" i="13"/>
  <c r="O186" i="13" s="1"/>
  <c r="M189" i="13"/>
  <c r="L189" i="13"/>
  <c r="L186" i="13" s="1"/>
  <c r="AG188" i="13"/>
  <c r="AE188" i="13" s="1"/>
  <c r="AF188" i="13"/>
  <c r="M188" i="13"/>
  <c r="M186" i="13" s="1"/>
  <c r="J188" i="13"/>
  <c r="Q188" i="13" s="1"/>
  <c r="S188" i="13" s="1"/>
  <c r="H188" i="13"/>
  <c r="F188" i="13"/>
  <c r="AG187" i="13"/>
  <c r="AF187" i="13"/>
  <c r="J187" i="13"/>
  <c r="V187" i="13" s="1"/>
  <c r="X187" i="13" s="1"/>
  <c r="H187" i="13"/>
  <c r="F187" i="13"/>
  <c r="AG184" i="13"/>
  <c r="AF184" i="13"/>
  <c r="J184" i="13"/>
  <c r="Q184" i="13" s="1"/>
  <c r="S184" i="13" s="1"/>
  <c r="H184" i="13"/>
  <c r="F184" i="13"/>
  <c r="AG183" i="13"/>
  <c r="AF183" i="13"/>
  <c r="J183" i="13"/>
  <c r="N183" i="13" s="1"/>
  <c r="H183" i="13"/>
  <c r="F183" i="13"/>
  <c r="AD182" i="13"/>
  <c r="AC182" i="13"/>
  <c r="AB182" i="13"/>
  <c r="AA182" i="13"/>
  <c r="Z182" i="13"/>
  <c r="U182" i="13"/>
  <c r="P182" i="13"/>
  <c r="O182" i="13"/>
  <c r="M182" i="13"/>
  <c r="L182" i="13"/>
  <c r="AG181" i="13"/>
  <c r="AE181" i="13" s="1"/>
  <c r="AF181" i="13"/>
  <c r="M181" i="13"/>
  <c r="J181" i="13"/>
  <c r="H181" i="13"/>
  <c r="F181" i="13"/>
  <c r="AG180" i="13"/>
  <c r="AE180" i="13" s="1"/>
  <c r="AF180" i="13"/>
  <c r="J180" i="13"/>
  <c r="Q180" i="13" s="1"/>
  <c r="S180" i="13" s="1"/>
  <c r="H180" i="13"/>
  <c r="F180" i="13"/>
  <c r="AG179" i="13"/>
  <c r="AE179" i="13" s="1"/>
  <c r="AF179" i="13"/>
  <c r="J179" i="13"/>
  <c r="N179" i="13" s="1"/>
  <c r="Y179" i="13" s="1"/>
  <c r="H179" i="13"/>
  <c r="F179" i="13"/>
  <c r="AD178" i="13"/>
  <c r="AC178" i="13"/>
  <c r="AB178" i="13"/>
  <c r="AA178" i="13"/>
  <c r="Z178" i="13"/>
  <c r="U178" i="13"/>
  <c r="P178" i="13"/>
  <c r="O178" i="13"/>
  <c r="M178" i="13"/>
  <c r="L178" i="13"/>
  <c r="AG176" i="13"/>
  <c r="AE176" i="13" s="1"/>
  <c r="AF176" i="13"/>
  <c r="J176" i="13"/>
  <c r="Q176" i="13" s="1"/>
  <c r="S176" i="13" s="1"/>
  <c r="H176" i="13"/>
  <c r="F176" i="13"/>
  <c r="AG175" i="13"/>
  <c r="AF175" i="13"/>
  <c r="M175" i="13"/>
  <c r="J175" i="13"/>
  <c r="V175" i="13" s="1"/>
  <c r="X175" i="13" s="1"/>
  <c r="H175" i="13"/>
  <c r="F175" i="13"/>
  <c r="AG174" i="13"/>
  <c r="AE174" i="13" s="1"/>
  <c r="AF174" i="13"/>
  <c r="J174" i="13"/>
  <c r="Q174" i="13" s="1"/>
  <c r="S174" i="13" s="1"/>
  <c r="H174" i="13"/>
  <c r="F174" i="13"/>
  <c r="AG173" i="13"/>
  <c r="AE173" i="13" s="1"/>
  <c r="AF173" i="13"/>
  <c r="J173" i="13"/>
  <c r="N173" i="13" s="1"/>
  <c r="H173" i="13"/>
  <c r="F173" i="13"/>
  <c r="AG172" i="13"/>
  <c r="AE172" i="13" s="1"/>
  <c r="AF172" i="13"/>
  <c r="J172" i="13"/>
  <c r="H172" i="13"/>
  <c r="F172" i="13"/>
  <c r="AG171" i="13"/>
  <c r="AF171" i="13"/>
  <c r="J171" i="13"/>
  <c r="V171" i="13" s="1"/>
  <c r="X171" i="13" s="1"/>
  <c r="H171" i="13"/>
  <c r="F171" i="13"/>
  <c r="AG170" i="13"/>
  <c r="AE170" i="13" s="1"/>
  <c r="AF170" i="13"/>
  <c r="J170" i="13"/>
  <c r="V170" i="13" s="1"/>
  <c r="X170" i="13" s="1"/>
  <c r="H170" i="13"/>
  <c r="F170" i="13"/>
  <c r="AG169" i="13"/>
  <c r="AE169" i="13" s="1"/>
  <c r="AF169" i="13"/>
  <c r="J169" i="13"/>
  <c r="Q169" i="13" s="1"/>
  <c r="S169" i="13" s="1"/>
  <c r="H169" i="13"/>
  <c r="F169" i="13"/>
  <c r="AD168" i="13"/>
  <c r="AD167" i="13" s="1"/>
  <c r="AC168" i="13"/>
  <c r="AC167" i="13" s="1"/>
  <c r="AB168" i="13"/>
  <c r="AA168" i="13"/>
  <c r="Z168" i="13"/>
  <c r="U168" i="13"/>
  <c r="U167" i="13" s="1"/>
  <c r="P168" i="13"/>
  <c r="P167" i="13" s="1"/>
  <c r="O168" i="13"/>
  <c r="O167" i="13" s="1"/>
  <c r="M168" i="13"/>
  <c r="L168" i="13"/>
  <c r="L167" i="13" s="1"/>
  <c r="AB167" i="13"/>
  <c r="AA167" i="13"/>
  <c r="AG166" i="13"/>
  <c r="AH166" i="13" s="1"/>
  <c r="AJ166" i="13" s="1"/>
  <c r="AF166" i="13"/>
  <c r="J166" i="13"/>
  <c r="V166" i="13" s="1"/>
  <c r="X166" i="13" s="1"/>
  <c r="H166" i="13"/>
  <c r="F166" i="13"/>
  <c r="AG165" i="13"/>
  <c r="AF165" i="13"/>
  <c r="J165" i="13"/>
  <c r="H165" i="13"/>
  <c r="F165" i="13"/>
  <c r="AD164" i="13"/>
  <c r="AD161" i="13" s="1"/>
  <c r="AC164" i="13"/>
  <c r="AC161" i="13" s="1"/>
  <c r="AB164" i="13"/>
  <c r="AB161" i="13" s="1"/>
  <c r="AA164" i="13"/>
  <c r="AA161" i="13" s="1"/>
  <c r="Z164" i="13"/>
  <c r="O164" i="13"/>
  <c r="O161" i="13" s="1"/>
  <c r="AG163" i="13"/>
  <c r="AE163" i="13" s="1"/>
  <c r="AF163" i="13"/>
  <c r="J163" i="13"/>
  <c r="V163" i="13" s="1"/>
  <c r="X163" i="13" s="1"/>
  <c r="H163" i="13"/>
  <c r="F163" i="13"/>
  <c r="AG162" i="13"/>
  <c r="AE162" i="13" s="1"/>
  <c r="AF162" i="13"/>
  <c r="J162" i="13"/>
  <c r="V162" i="13" s="1"/>
  <c r="X162" i="13" s="1"/>
  <c r="H162" i="13"/>
  <c r="F162" i="13"/>
  <c r="U161" i="13"/>
  <c r="P161" i="13"/>
  <c r="M161" i="13"/>
  <c r="L161" i="13"/>
  <c r="AJ160" i="13"/>
  <c r="AG160" i="13"/>
  <c r="AF160" i="13"/>
  <c r="X160" i="13"/>
  <c r="S160" i="13"/>
  <c r="J160" i="13"/>
  <c r="H160" i="13"/>
  <c r="F160" i="13"/>
  <c r="AG159" i="13"/>
  <c r="AE159" i="13" s="1"/>
  <c r="AF159" i="13"/>
  <c r="J159" i="13"/>
  <c r="Q159" i="13" s="1"/>
  <c r="S159" i="13" s="1"/>
  <c r="H159" i="13"/>
  <c r="F159" i="13"/>
  <c r="AD158" i="13"/>
  <c r="AC158" i="13"/>
  <c r="AB158" i="13"/>
  <c r="AA158" i="13"/>
  <c r="Z158" i="13"/>
  <c r="U158" i="13"/>
  <c r="P158" i="13"/>
  <c r="O158" i="13"/>
  <c r="AG157" i="13"/>
  <c r="AE157" i="13" s="1"/>
  <c r="AF157" i="13"/>
  <c r="J157" i="13"/>
  <c r="N157" i="13" s="1"/>
  <c r="H157" i="13"/>
  <c r="F157" i="13"/>
  <c r="AG156" i="13"/>
  <c r="AF156" i="13"/>
  <c r="J156" i="13"/>
  <c r="Q156" i="13" s="1"/>
  <c r="S156" i="13" s="1"/>
  <c r="H156" i="13"/>
  <c r="F156" i="13"/>
  <c r="AD155" i="13"/>
  <c r="AC155" i="13"/>
  <c r="AB155" i="13"/>
  <c r="AA155" i="13"/>
  <c r="Z155" i="13"/>
  <c r="U155" i="13"/>
  <c r="P155" i="13"/>
  <c r="O155" i="13"/>
  <c r="M155" i="13"/>
  <c r="L155" i="13"/>
  <c r="AP151" i="13"/>
  <c r="AP14" i="13" s="1"/>
  <c r="AL151" i="13"/>
  <c r="AL14" i="13" s="1"/>
  <c r="AQ150" i="13"/>
  <c r="AS150" i="13" s="1"/>
  <c r="AM150" i="13"/>
  <c r="AO150" i="13" s="1"/>
  <c r="AG150" i="13"/>
  <c r="AH150" i="13" s="1"/>
  <c r="AJ150" i="13" s="1"/>
  <c r="AF150" i="13"/>
  <c r="V150" i="13"/>
  <c r="X150" i="13" s="1"/>
  <c r="Q150" i="13"/>
  <c r="S150" i="13" s="1"/>
  <c r="O150" i="13"/>
  <c r="O149" i="13" s="1"/>
  <c r="O148" i="13" s="1"/>
  <c r="N150" i="13"/>
  <c r="T150" i="13" s="1"/>
  <c r="AP149" i="13"/>
  <c r="AL149" i="13"/>
  <c r="AL148" i="13" s="1"/>
  <c r="AD149" i="13"/>
  <c r="AC149" i="13"/>
  <c r="AC148" i="13" s="1"/>
  <c r="AB149" i="13"/>
  <c r="AB148" i="13" s="1"/>
  <c r="AA149" i="13"/>
  <c r="AA148" i="13" s="1"/>
  <c r="Z149" i="13"/>
  <c r="U149" i="13"/>
  <c r="P149" i="13"/>
  <c r="M149" i="13"/>
  <c r="L149" i="13"/>
  <c r="L148" i="13" s="1"/>
  <c r="J149" i="13"/>
  <c r="J148" i="13" s="1"/>
  <c r="H149" i="13"/>
  <c r="H148" i="13" s="1"/>
  <c r="F149" i="13"/>
  <c r="F148" i="13" s="1"/>
  <c r="U148" i="13"/>
  <c r="AJ147" i="13"/>
  <c r="AG147" i="13"/>
  <c r="AF147" i="13"/>
  <c r="X147" i="13"/>
  <c r="S147" i="13"/>
  <c r="N147" i="13"/>
  <c r="Y147" i="13" s="1"/>
  <c r="H147" i="13"/>
  <c r="M146" i="13"/>
  <c r="AG145" i="13"/>
  <c r="AF145" i="13"/>
  <c r="V145" i="13"/>
  <c r="X145" i="13" s="1"/>
  <c r="Q145" i="13"/>
  <c r="S145" i="13" s="1"/>
  <c r="L145" i="13"/>
  <c r="L143" i="13" s="1"/>
  <c r="H145" i="13"/>
  <c r="AG144" i="13"/>
  <c r="AF144" i="13"/>
  <c r="V144" i="13"/>
  <c r="X144" i="13" s="1"/>
  <c r="Q144" i="13"/>
  <c r="S144" i="13" s="1"/>
  <c r="N144" i="13"/>
  <c r="Y144" i="13" s="1"/>
  <c r="AD143" i="13"/>
  <c r="AC143" i="13"/>
  <c r="AB143" i="13"/>
  <c r="AA143" i="13"/>
  <c r="Z143" i="13"/>
  <c r="U143" i="13"/>
  <c r="P143" i="13"/>
  <c r="O143" i="13"/>
  <c r="J143" i="13"/>
  <c r="F143" i="13"/>
  <c r="AG142" i="13"/>
  <c r="AF142" i="13"/>
  <c r="V142" i="13"/>
  <c r="X142" i="13" s="1"/>
  <c r="Q142" i="13"/>
  <c r="S142" i="13" s="1"/>
  <c r="N142" i="13"/>
  <c r="H142" i="13"/>
  <c r="AG141" i="13"/>
  <c r="AH141" i="13" s="1"/>
  <c r="AJ141" i="13" s="1"/>
  <c r="AF141" i="13"/>
  <c r="V141" i="13"/>
  <c r="X141" i="13" s="1"/>
  <c r="Q141" i="13"/>
  <c r="S141" i="13" s="1"/>
  <c r="N141" i="13"/>
  <c r="AG140" i="13"/>
  <c r="AF140" i="13"/>
  <c r="V140" i="13"/>
  <c r="X140" i="13" s="1"/>
  <c r="Q140" i="13"/>
  <c r="S140" i="13" s="1"/>
  <c r="N140" i="13"/>
  <c r="Y140" i="13" s="1"/>
  <c r="AD139" i="13"/>
  <c r="AD138" i="13" s="1"/>
  <c r="AC139" i="13"/>
  <c r="AC138" i="13" s="1"/>
  <c r="AB139" i="13"/>
  <c r="AB138" i="13" s="1"/>
  <c r="AA139" i="13"/>
  <c r="AA138" i="13" s="1"/>
  <c r="AA137" i="13" s="1"/>
  <c r="Z139" i="13"/>
  <c r="Z138" i="13" s="1"/>
  <c r="U139" i="13"/>
  <c r="U138" i="13" s="1"/>
  <c r="P139" i="13"/>
  <c r="O139" i="13"/>
  <c r="O138" i="13" s="1"/>
  <c r="M139" i="13"/>
  <c r="M138" i="13" s="1"/>
  <c r="L139" i="13"/>
  <c r="L138" i="13" s="1"/>
  <c r="J139" i="13"/>
  <c r="H139" i="13"/>
  <c r="F139" i="13"/>
  <c r="F138" i="13"/>
  <c r="AG136" i="13"/>
  <c r="AF136" i="13"/>
  <c r="V136" i="13"/>
  <c r="X136" i="13" s="1"/>
  <c r="Q136" i="13"/>
  <c r="S136" i="13" s="1"/>
  <c r="N136" i="13"/>
  <c r="Y136" i="13" s="1"/>
  <c r="H136" i="13"/>
  <c r="AG135" i="13"/>
  <c r="AE135" i="13" s="1"/>
  <c r="AF135" i="13"/>
  <c r="V135" i="13"/>
  <c r="X135" i="13" s="1"/>
  <c r="Q135" i="13"/>
  <c r="S135" i="13" s="1"/>
  <c r="N135" i="13"/>
  <c r="T135" i="13" s="1"/>
  <c r="H135" i="13"/>
  <c r="AD134" i="13"/>
  <c r="AC134" i="13"/>
  <c r="AB134" i="13"/>
  <c r="AA134" i="13"/>
  <c r="V134" i="13"/>
  <c r="X134" i="13" s="1"/>
  <c r="Q134" i="13"/>
  <c r="S134" i="13" s="1"/>
  <c r="O134" i="13"/>
  <c r="N134" i="13"/>
  <c r="AG133" i="13"/>
  <c r="AH133" i="13" s="1"/>
  <c r="AJ133" i="13" s="1"/>
  <c r="AF133" i="13"/>
  <c r="V133" i="13"/>
  <c r="X133" i="13" s="1"/>
  <c r="AE133" i="13" s="1"/>
  <c r="Q133" i="13"/>
  <c r="S133" i="13" s="1"/>
  <c r="N133" i="13"/>
  <c r="T133" i="13" s="1"/>
  <c r="H133" i="13"/>
  <c r="AJ132" i="13"/>
  <c r="AG132" i="13"/>
  <c r="AF132" i="13"/>
  <c r="X132" i="13"/>
  <c r="S132" i="13"/>
  <c r="N132" i="13"/>
  <c r="Y132" i="13" s="1"/>
  <c r="AJ131" i="13"/>
  <c r="AG131" i="13"/>
  <c r="AF131" i="13"/>
  <c r="X131" i="13"/>
  <c r="S131" i="13"/>
  <c r="N131" i="13"/>
  <c r="Y131" i="13" s="1"/>
  <c r="AJ130" i="13"/>
  <c r="AD130" i="13"/>
  <c r="AC130" i="13"/>
  <c r="AB130" i="13"/>
  <c r="AA130" i="13"/>
  <c r="Z130" i="13"/>
  <c r="Z128" i="13" s="1"/>
  <c r="Z127" i="13" s="1"/>
  <c r="X130" i="13"/>
  <c r="U130" i="13"/>
  <c r="S130" i="13"/>
  <c r="P130" i="13"/>
  <c r="O130" i="13"/>
  <c r="M130" i="13"/>
  <c r="M128" i="13" s="1"/>
  <c r="M127" i="13" s="1"/>
  <c r="L130" i="13"/>
  <c r="L128" i="13" s="1"/>
  <c r="L127" i="13" s="1"/>
  <c r="J130" i="13"/>
  <c r="H130" i="13"/>
  <c r="F130" i="13"/>
  <c r="F128" i="13" s="1"/>
  <c r="AG129" i="13"/>
  <c r="AF129" i="13"/>
  <c r="V129" i="13"/>
  <c r="X129" i="13" s="1"/>
  <c r="Q129" i="13"/>
  <c r="S129" i="13" s="1"/>
  <c r="N129" i="13"/>
  <c r="T129" i="13" s="1"/>
  <c r="H129" i="13"/>
  <c r="G128" i="13"/>
  <c r="H127" i="13"/>
  <c r="AG126" i="13"/>
  <c r="AE126" i="13" s="1"/>
  <c r="AF126" i="13"/>
  <c r="H126" i="13"/>
  <c r="J126" i="13" s="1"/>
  <c r="AJ125" i="13"/>
  <c r="AG125" i="13"/>
  <c r="AF125" i="13"/>
  <c r="X125" i="13"/>
  <c r="S125" i="13"/>
  <c r="N125" i="13"/>
  <c r="Y125" i="13" s="1"/>
  <c r="AJ124" i="13"/>
  <c r="AD124" i="13"/>
  <c r="AC124" i="13"/>
  <c r="AB124" i="13"/>
  <c r="AA124" i="13"/>
  <c r="Z124" i="13"/>
  <c r="X124" i="13"/>
  <c r="U124" i="13"/>
  <c r="S124" i="13"/>
  <c r="P124" i="13"/>
  <c r="L124" i="13"/>
  <c r="J124" i="13"/>
  <c r="N124" i="13" s="1"/>
  <c r="H124" i="13"/>
  <c r="AH123" i="13"/>
  <c r="AJ123" i="13" s="1"/>
  <c r="V123" i="13"/>
  <c r="X123" i="13" s="1"/>
  <c r="Q123" i="13"/>
  <c r="S123" i="13" s="1"/>
  <c r="N123" i="13"/>
  <c r="Y123" i="13" s="1"/>
  <c r="H123" i="13"/>
  <c r="AG122" i="13"/>
  <c r="AE122" i="13" s="1"/>
  <c r="AF122" i="13"/>
  <c r="V122" i="13"/>
  <c r="X122" i="13" s="1"/>
  <c r="Q122" i="13"/>
  <c r="S122" i="13" s="1"/>
  <c r="N122" i="13"/>
  <c r="H122" i="13"/>
  <c r="AG121" i="13"/>
  <c r="AF121" i="13"/>
  <c r="V121" i="13"/>
  <c r="X121" i="13" s="1"/>
  <c r="Q121" i="13"/>
  <c r="S121" i="13" s="1"/>
  <c r="N121" i="13"/>
  <c r="T121" i="13" s="1"/>
  <c r="H121" i="13"/>
  <c r="AG120" i="13"/>
  <c r="AE120" i="13" s="1"/>
  <c r="AF120" i="13"/>
  <c r="V120" i="13"/>
  <c r="X120" i="13" s="1"/>
  <c r="Q120" i="13"/>
  <c r="S120" i="13" s="1"/>
  <c r="N120" i="13"/>
  <c r="Y120" i="13" s="1"/>
  <c r="H120" i="13"/>
  <c r="AD119" i="13"/>
  <c r="AC119" i="13"/>
  <c r="AB119" i="13"/>
  <c r="AA119" i="13"/>
  <c r="Z119" i="13"/>
  <c r="O119" i="13"/>
  <c r="M119" i="13"/>
  <c r="L119" i="13"/>
  <c r="J119" i="13"/>
  <c r="V119" i="13" s="1"/>
  <c r="X119" i="13" s="1"/>
  <c r="F119" i="13"/>
  <c r="AJ118" i="13"/>
  <c r="AG118" i="13"/>
  <c r="AF118" i="13"/>
  <c r="X118" i="13"/>
  <c r="S118" i="13"/>
  <c r="N118" i="13"/>
  <c r="AG117" i="13"/>
  <c r="AF117" i="13"/>
  <c r="V117" i="13"/>
  <c r="X117" i="13" s="1"/>
  <c r="Q117" i="13"/>
  <c r="S117" i="13" s="1"/>
  <c r="N117" i="13"/>
  <c r="H117" i="13"/>
  <c r="AG116" i="13"/>
  <c r="AE116" i="13" s="1"/>
  <c r="AF116" i="13"/>
  <c r="V116" i="13"/>
  <c r="X116" i="13" s="1"/>
  <c r="Q116" i="13"/>
  <c r="S116" i="13" s="1"/>
  <c r="N116" i="13"/>
  <c r="Y116" i="13" s="1"/>
  <c r="H116" i="13"/>
  <c r="AD115" i="13"/>
  <c r="AC115" i="13"/>
  <c r="AB115" i="13"/>
  <c r="AA115" i="13"/>
  <c r="Z115" i="13"/>
  <c r="U115" i="13"/>
  <c r="V115" i="13" s="1"/>
  <c r="X115" i="13" s="1"/>
  <c r="P115" i="13"/>
  <c r="Q115" i="13" s="1"/>
  <c r="S115" i="13" s="1"/>
  <c r="O115" i="13"/>
  <c r="M115" i="13"/>
  <c r="L115" i="13"/>
  <c r="F115" i="13"/>
  <c r="H114" i="13"/>
  <c r="AG113" i="13"/>
  <c r="AH113" i="13" s="1"/>
  <c r="AJ113" i="13" s="1"/>
  <c r="AF113" i="13"/>
  <c r="V113" i="13"/>
  <c r="X113" i="13" s="1"/>
  <c r="Q113" i="13"/>
  <c r="S113" i="13" s="1"/>
  <c r="N113" i="13"/>
  <c r="T113" i="13" s="1"/>
  <c r="AG112" i="13"/>
  <c r="AF112" i="13"/>
  <c r="V112" i="13"/>
  <c r="X112" i="13" s="1"/>
  <c r="Q112" i="13"/>
  <c r="S112" i="13" s="1"/>
  <c r="M112" i="13"/>
  <c r="N112" i="13" s="1"/>
  <c r="Y112" i="13" s="1"/>
  <c r="AD111" i="13"/>
  <c r="AD108" i="13" s="1"/>
  <c r="AC111" i="13"/>
  <c r="AC108" i="13" s="1"/>
  <c r="AB111" i="13"/>
  <c r="AB108" i="13" s="1"/>
  <c r="AA111" i="13"/>
  <c r="AA108" i="13" s="1"/>
  <c r="Z111" i="13"/>
  <c r="O111" i="13"/>
  <c r="O108" i="13" s="1"/>
  <c r="L111" i="13"/>
  <c r="L108" i="13" s="1"/>
  <c r="J111" i="13"/>
  <c r="J108" i="13" s="1"/>
  <c r="H111" i="13"/>
  <c r="G111" i="13"/>
  <c r="F111" i="13"/>
  <c r="F108" i="13" s="1"/>
  <c r="AG110" i="13"/>
  <c r="AH110" i="13" s="1"/>
  <c r="AJ110" i="13" s="1"/>
  <c r="AF110" i="13"/>
  <c r="V110" i="13"/>
  <c r="X110" i="13" s="1"/>
  <c r="Q110" i="13"/>
  <c r="S110" i="13" s="1"/>
  <c r="N110" i="13"/>
  <c r="T110" i="13" s="1"/>
  <c r="H110" i="13"/>
  <c r="AG109" i="13"/>
  <c r="AE109" i="13" s="1"/>
  <c r="AF109" i="13"/>
  <c r="V109" i="13"/>
  <c r="X109" i="13" s="1"/>
  <c r="Q109" i="13"/>
  <c r="S109" i="13" s="1"/>
  <c r="M109" i="13"/>
  <c r="N109" i="13" s="1"/>
  <c r="T109" i="13" s="1"/>
  <c r="H109" i="13"/>
  <c r="U108" i="13"/>
  <c r="P108" i="13"/>
  <c r="AG105" i="13"/>
  <c r="AE105" i="13" s="1"/>
  <c r="AF105" i="13"/>
  <c r="V105" i="13"/>
  <c r="X105" i="13" s="1"/>
  <c r="Q105" i="13"/>
  <c r="S105" i="13" s="1"/>
  <c r="O105" i="13"/>
  <c r="O104" i="13" s="1"/>
  <c r="O103" i="13" s="1"/>
  <c r="N105" i="13"/>
  <c r="Y105" i="13" s="1"/>
  <c r="AD104" i="13"/>
  <c r="AC104" i="13"/>
  <c r="AC103" i="13" s="1"/>
  <c r="AB104" i="13"/>
  <c r="AB103" i="13" s="1"/>
  <c r="AA104" i="13"/>
  <c r="Z104" i="13"/>
  <c r="Z103" i="13" s="1"/>
  <c r="U104" i="13"/>
  <c r="U103" i="13" s="1"/>
  <c r="P104" i="13"/>
  <c r="P103" i="13" s="1"/>
  <c r="M104" i="13"/>
  <c r="M103" i="13" s="1"/>
  <c r="L104" i="13"/>
  <c r="L103" i="13" s="1"/>
  <c r="J104" i="13"/>
  <c r="H104" i="13"/>
  <c r="H103" i="13" s="1"/>
  <c r="F104" i="13"/>
  <c r="F103" i="13" s="1"/>
  <c r="AD103" i="13"/>
  <c r="AG102" i="13"/>
  <c r="AE102" i="13" s="1"/>
  <c r="AF102" i="13"/>
  <c r="J102" i="13"/>
  <c r="AG101" i="13"/>
  <c r="AE101" i="13" s="1"/>
  <c r="AF101" i="13"/>
  <c r="J101" i="13"/>
  <c r="AD100" i="13"/>
  <c r="AC100" i="13"/>
  <c r="AB100" i="13"/>
  <c r="AA100" i="13"/>
  <c r="Z100" i="13"/>
  <c r="U100" i="13"/>
  <c r="P100" i="13"/>
  <c r="O100" i="13"/>
  <c r="M100" i="13"/>
  <c r="L100" i="13"/>
  <c r="H100" i="13"/>
  <c r="F100" i="13"/>
  <c r="AG99" i="13"/>
  <c r="AE99" i="13" s="1"/>
  <c r="AF99" i="13"/>
  <c r="J99" i="13"/>
  <c r="AG98" i="13"/>
  <c r="AE98" i="13" s="1"/>
  <c r="AF98" i="13"/>
  <c r="J98" i="13"/>
  <c r="AG97" i="13"/>
  <c r="AE97" i="13" s="1"/>
  <c r="AF97" i="13"/>
  <c r="J97" i="13"/>
  <c r="AD96" i="13"/>
  <c r="AD94" i="13" s="1"/>
  <c r="AC96" i="13"/>
  <c r="AC94" i="13" s="1"/>
  <c r="AB96" i="13"/>
  <c r="AB94" i="13" s="1"/>
  <c r="AA96" i="13"/>
  <c r="Z96" i="13"/>
  <c r="U96" i="13"/>
  <c r="U94" i="13" s="1"/>
  <c r="P96" i="13"/>
  <c r="P94" i="13" s="1"/>
  <c r="O96" i="13"/>
  <c r="O94" i="13" s="1"/>
  <c r="M96" i="13"/>
  <c r="M94" i="13" s="1"/>
  <c r="L96" i="13"/>
  <c r="L94" i="13" s="1"/>
  <c r="H96" i="13"/>
  <c r="H94" i="13" s="1"/>
  <c r="F96" i="13"/>
  <c r="F94" i="13" s="1"/>
  <c r="Z95" i="13"/>
  <c r="J95" i="13"/>
  <c r="Q95" i="13" s="1"/>
  <c r="S95" i="13" s="1"/>
  <c r="AG93" i="13"/>
  <c r="AF93" i="13"/>
  <c r="J93" i="13"/>
  <c r="Q93" i="13" s="1"/>
  <c r="S93" i="13" s="1"/>
  <c r="AG92" i="13"/>
  <c r="AF92" i="13"/>
  <c r="J92" i="13"/>
  <c r="V92" i="13" s="1"/>
  <c r="X92" i="13" s="1"/>
  <c r="AD91" i="13"/>
  <c r="AC91" i="13"/>
  <c r="AB91" i="13"/>
  <c r="AA91" i="13"/>
  <c r="Z91" i="13"/>
  <c r="O91" i="13"/>
  <c r="M91" i="13"/>
  <c r="L91" i="13"/>
  <c r="H91" i="13"/>
  <c r="F91" i="13"/>
  <c r="AG90" i="13"/>
  <c r="AF90" i="13"/>
  <c r="J90" i="13"/>
  <c r="Q90" i="13" s="1"/>
  <c r="S90" i="13" s="1"/>
  <c r="AJ89" i="13"/>
  <c r="AG89" i="13"/>
  <c r="AF89" i="13"/>
  <c r="X89" i="13"/>
  <c r="S89" i="13"/>
  <c r="N89" i="13"/>
  <c r="Y89" i="13" s="1"/>
  <c r="AG88" i="13"/>
  <c r="AH88" i="13" s="1"/>
  <c r="AJ88" i="13" s="1"/>
  <c r="AF88" i="13"/>
  <c r="U88" i="13"/>
  <c r="V88" i="13" s="1"/>
  <c r="X88" i="13" s="1"/>
  <c r="Q88" i="13"/>
  <c r="S88" i="13" s="1"/>
  <c r="N88" i="13"/>
  <c r="T88" i="13" s="1"/>
  <c r="AD87" i="13"/>
  <c r="AC87" i="13"/>
  <c r="AB87" i="13"/>
  <c r="AA87" i="13"/>
  <c r="AA86" i="13" s="1"/>
  <c r="Z87" i="13"/>
  <c r="U87" i="13"/>
  <c r="P87" i="13"/>
  <c r="P86" i="13" s="1"/>
  <c r="O87" i="13"/>
  <c r="M87" i="13"/>
  <c r="L87" i="13"/>
  <c r="J87" i="13"/>
  <c r="H87" i="13"/>
  <c r="F87" i="13"/>
  <c r="AG84" i="13"/>
  <c r="AH84" i="13" s="1"/>
  <c r="AJ84" i="13" s="1"/>
  <c r="AF84" i="13"/>
  <c r="V84" i="13"/>
  <c r="X84" i="13" s="1"/>
  <c r="Q84" i="13"/>
  <c r="S84" i="13" s="1"/>
  <c r="N84" i="13"/>
  <c r="Y84" i="13" s="1"/>
  <c r="AG83" i="13"/>
  <c r="AE83" i="13" s="1"/>
  <c r="AF83" i="13"/>
  <c r="V83" i="13"/>
  <c r="X83" i="13" s="1"/>
  <c r="Q83" i="13"/>
  <c r="S83" i="13" s="1"/>
  <c r="N83" i="13"/>
  <c r="AG82" i="13"/>
  <c r="AE82" i="13" s="1"/>
  <c r="AF82" i="13"/>
  <c r="V82" i="13"/>
  <c r="X82" i="13" s="1"/>
  <c r="Q82" i="13"/>
  <c r="S82" i="13" s="1"/>
  <c r="N82" i="13"/>
  <c r="T82" i="13" s="1"/>
  <c r="AD81" i="13"/>
  <c r="AC81" i="13"/>
  <c r="AB81" i="13"/>
  <c r="AA81" i="13"/>
  <c r="Z81" i="13"/>
  <c r="U81" i="13"/>
  <c r="P81" i="13"/>
  <c r="O81" i="13"/>
  <c r="M81" i="13"/>
  <c r="L81" i="13"/>
  <c r="J81" i="13"/>
  <c r="H81" i="13"/>
  <c r="F81" i="13"/>
  <c r="AG80" i="13"/>
  <c r="AF80" i="13"/>
  <c r="V80" i="13"/>
  <c r="X80" i="13" s="1"/>
  <c r="Q80" i="13"/>
  <c r="S80" i="13" s="1"/>
  <c r="M80" i="13"/>
  <c r="N80" i="13" s="1"/>
  <c r="AG79" i="13"/>
  <c r="AH79" i="13" s="1"/>
  <c r="AJ79" i="13" s="1"/>
  <c r="AF79" i="13"/>
  <c r="V79" i="13"/>
  <c r="X79" i="13" s="1"/>
  <c r="Q79" i="13"/>
  <c r="S79" i="13" s="1"/>
  <c r="M79" i="13"/>
  <c r="AD78" i="13"/>
  <c r="AC78" i="13"/>
  <c r="AB78" i="13"/>
  <c r="AA78" i="13"/>
  <c r="Z78" i="13"/>
  <c r="Z77" i="13" s="1"/>
  <c r="U78" i="13"/>
  <c r="U77" i="13" s="1"/>
  <c r="U76" i="13" s="1"/>
  <c r="P78" i="13"/>
  <c r="O78" i="13"/>
  <c r="L78" i="13"/>
  <c r="J78" i="13"/>
  <c r="H78" i="13"/>
  <c r="F78" i="13"/>
  <c r="AD77" i="13"/>
  <c r="AD76" i="13" s="1"/>
  <c r="AG75" i="13"/>
  <c r="AF75" i="13"/>
  <c r="V75" i="13"/>
  <c r="X75" i="13" s="1"/>
  <c r="Q75" i="13"/>
  <c r="S75" i="13" s="1"/>
  <c r="M75" i="13"/>
  <c r="AJ74" i="13"/>
  <c r="AG74" i="13"/>
  <c r="AE74" i="13" s="1"/>
  <c r="AF74" i="13"/>
  <c r="X74" i="13"/>
  <c r="S74" i="13"/>
  <c r="N74" i="13"/>
  <c r="AJ73" i="13"/>
  <c r="AG73" i="13"/>
  <c r="AF73" i="13"/>
  <c r="X73" i="13"/>
  <c r="S73" i="13"/>
  <c r="N73" i="13"/>
  <c r="T73" i="13" s="1"/>
  <c r="AD72" i="13"/>
  <c r="AC72" i="13"/>
  <c r="AB72" i="13"/>
  <c r="AA72" i="13"/>
  <c r="Z72" i="13"/>
  <c r="U72" i="13"/>
  <c r="P72" i="13"/>
  <c r="O72" i="13"/>
  <c r="L72" i="13"/>
  <c r="J72" i="13"/>
  <c r="H72" i="13"/>
  <c r="F72" i="13"/>
  <c r="AG71" i="13"/>
  <c r="AF71" i="13"/>
  <c r="V71" i="13"/>
  <c r="X71" i="13" s="1"/>
  <c r="Q71" i="13"/>
  <c r="S71" i="13" s="1"/>
  <c r="N71" i="13"/>
  <c r="Y71" i="13" s="1"/>
  <c r="AJ70" i="13"/>
  <c r="AG70" i="13"/>
  <c r="AF70" i="13"/>
  <c r="X70" i="13"/>
  <c r="S70" i="13"/>
  <c r="N70" i="13"/>
  <c r="T70" i="13" s="1"/>
  <c r="AG69" i="13"/>
  <c r="AH69" i="13" s="1"/>
  <c r="AJ69" i="13" s="1"/>
  <c r="AF69" i="13"/>
  <c r="V69" i="13"/>
  <c r="X69" i="13" s="1"/>
  <c r="Q69" i="13"/>
  <c r="S69" i="13" s="1"/>
  <c r="N69" i="13"/>
  <c r="AJ68" i="13"/>
  <c r="AG68" i="13"/>
  <c r="AF68" i="13"/>
  <c r="X68" i="13"/>
  <c r="S68" i="13"/>
  <c r="N68" i="13"/>
  <c r="T68" i="13" s="1"/>
  <c r="AG67" i="13"/>
  <c r="AF67" i="13"/>
  <c r="V67" i="13"/>
  <c r="X67" i="13" s="1"/>
  <c r="Q67" i="13"/>
  <c r="S67" i="13" s="1"/>
  <c r="N67" i="13"/>
  <c r="Y67" i="13" s="1"/>
  <c r="AG66" i="13"/>
  <c r="AF66" i="13"/>
  <c r="V66" i="13"/>
  <c r="X66" i="13" s="1"/>
  <c r="Q66" i="13"/>
  <c r="S66" i="13" s="1"/>
  <c r="N66" i="13"/>
  <c r="AG65" i="13"/>
  <c r="AE65" i="13" s="1"/>
  <c r="AF65" i="13"/>
  <c r="H65" i="13"/>
  <c r="F65" i="13"/>
  <c r="F63" i="13" s="1"/>
  <c r="AG64" i="13"/>
  <c r="AF64" i="13"/>
  <c r="V64" i="13"/>
  <c r="X64" i="13" s="1"/>
  <c r="Q64" i="13"/>
  <c r="S64" i="13" s="1"/>
  <c r="N64" i="13"/>
  <c r="T64" i="13" s="1"/>
  <c r="AD63" i="13"/>
  <c r="AC63" i="13"/>
  <c r="AB63" i="13"/>
  <c r="AA63" i="13"/>
  <c r="Z63" i="13"/>
  <c r="U63" i="13"/>
  <c r="P63" i="13"/>
  <c r="O63" i="13"/>
  <c r="M63" i="13"/>
  <c r="L63" i="13"/>
  <c r="AG62" i="13"/>
  <c r="AE62" i="13" s="1"/>
  <c r="AF62" i="13"/>
  <c r="V62" i="13"/>
  <c r="X62" i="13" s="1"/>
  <c r="Q62" i="13"/>
  <c r="S62" i="13" s="1"/>
  <c r="N62" i="13"/>
  <c r="T62" i="13" s="1"/>
  <c r="V61" i="13"/>
  <c r="Q61" i="13"/>
  <c r="N61" i="13"/>
  <c r="AK61" i="13" s="1"/>
  <c r="AG60" i="13"/>
  <c r="AF60" i="13"/>
  <c r="V60" i="13"/>
  <c r="X60" i="13" s="1"/>
  <c r="Q60" i="13"/>
  <c r="S60" i="13" s="1"/>
  <c r="N60" i="13"/>
  <c r="AG59" i="13"/>
  <c r="AE59" i="13" s="1"/>
  <c r="AF59" i="13"/>
  <c r="V59" i="13"/>
  <c r="X59" i="13" s="1"/>
  <c r="Q59" i="13"/>
  <c r="S59" i="13" s="1"/>
  <c r="N59" i="13"/>
  <c r="T59" i="13" s="1"/>
  <c r="AG58" i="13"/>
  <c r="AF58" i="13"/>
  <c r="M58" i="13"/>
  <c r="H58" i="13"/>
  <c r="F58" i="13"/>
  <c r="AG57" i="13"/>
  <c r="AF57" i="13"/>
  <c r="V57" i="13"/>
  <c r="X57" i="13" s="1"/>
  <c r="Q57" i="13"/>
  <c r="S57" i="13" s="1"/>
  <c r="N57" i="13"/>
  <c r="Y57" i="13" s="1"/>
  <c r="AD56" i="13"/>
  <c r="AC56" i="13"/>
  <c r="AB56" i="13"/>
  <c r="AA56" i="13"/>
  <c r="AA55" i="13" s="1"/>
  <c r="Z56" i="13"/>
  <c r="U56" i="13"/>
  <c r="P56" i="13"/>
  <c r="O56" i="13"/>
  <c r="O55" i="13" s="1"/>
  <c r="M56" i="13"/>
  <c r="L56" i="13"/>
  <c r="F56" i="13"/>
  <c r="AC55" i="13"/>
  <c r="AC54" i="13" s="1"/>
  <c r="I55" i="13"/>
  <c r="I54" i="13" s="1"/>
  <c r="I15" i="13" s="1"/>
  <c r="AG53" i="13"/>
  <c r="AF53" i="13"/>
  <c r="J53" i="13"/>
  <c r="H53" i="13"/>
  <c r="H51" i="13" s="1"/>
  <c r="AG52" i="13"/>
  <c r="AG51" i="13" s="1"/>
  <c r="AF52" i="13"/>
  <c r="V52" i="13"/>
  <c r="X52" i="13" s="1"/>
  <c r="Q52" i="13"/>
  <c r="S52" i="13" s="1"/>
  <c r="N52" i="13"/>
  <c r="Y52" i="13" s="1"/>
  <c r="AD51" i="13"/>
  <c r="AC51" i="13"/>
  <c r="AB51" i="13"/>
  <c r="AA51" i="13"/>
  <c r="Z51" i="13"/>
  <c r="U51" i="13"/>
  <c r="P51" i="13"/>
  <c r="O51" i="13"/>
  <c r="M51" i="13"/>
  <c r="L51" i="13"/>
  <c r="F51" i="13"/>
  <c r="AG50" i="13"/>
  <c r="AE50" i="13" s="1"/>
  <c r="AF50" i="13"/>
  <c r="V50" i="13"/>
  <c r="X50" i="13" s="1"/>
  <c r="Q50" i="13"/>
  <c r="S50" i="13" s="1"/>
  <c r="N50" i="13"/>
  <c r="T50" i="13" s="1"/>
  <c r="AJ49" i="13"/>
  <c r="AG49" i="13"/>
  <c r="AF49" i="13"/>
  <c r="X49" i="13"/>
  <c r="S49" i="13"/>
  <c r="N49" i="13"/>
  <c r="T49" i="13" s="1"/>
  <c r="AC48" i="13"/>
  <c r="AB48" i="13"/>
  <c r="AA48" i="13"/>
  <c r="Z48" i="13"/>
  <c r="U48" i="13"/>
  <c r="O48" i="13"/>
  <c r="M48" i="13"/>
  <c r="L48" i="13"/>
  <c r="J48" i="13"/>
  <c r="Q48" i="13" s="1"/>
  <c r="S48" i="13" s="1"/>
  <c r="H48" i="13"/>
  <c r="F48" i="13"/>
  <c r="AJ47" i="13"/>
  <c r="AG47" i="13"/>
  <c r="AF47" i="13"/>
  <c r="X47" i="13"/>
  <c r="S47" i="13"/>
  <c r="N47" i="13"/>
  <c r="Y47" i="13" s="1"/>
  <c r="AJ46" i="13"/>
  <c r="AG46" i="13"/>
  <c r="AF46" i="13"/>
  <c r="AE46" i="13"/>
  <c r="X46" i="13"/>
  <c r="S46" i="13"/>
  <c r="M46" i="13"/>
  <c r="M45" i="13" s="1"/>
  <c r="N45" i="13" s="1"/>
  <c r="AJ45" i="13"/>
  <c r="AD45" i="13"/>
  <c r="AC45" i="13"/>
  <c r="AB45" i="13"/>
  <c r="AA45" i="13"/>
  <c r="Z45" i="13"/>
  <c r="X45" i="13"/>
  <c r="U45" i="13"/>
  <c r="S45" i="13"/>
  <c r="P45" i="13"/>
  <c r="O45" i="13"/>
  <c r="L45" i="13"/>
  <c r="AG44" i="13"/>
  <c r="AE44" i="13" s="1"/>
  <c r="AF44" i="13"/>
  <c r="V44" i="13"/>
  <c r="X44" i="13" s="1"/>
  <c r="Q44" i="13"/>
  <c r="S44" i="13" s="1"/>
  <c r="N44" i="13"/>
  <c r="T44" i="13" s="1"/>
  <c r="AJ43" i="13"/>
  <c r="AG43" i="13"/>
  <c r="AE43" i="13" s="1"/>
  <c r="AF43" i="13"/>
  <c r="X43" i="13"/>
  <c r="S43" i="13"/>
  <c r="N43" i="13"/>
  <c r="T43" i="13" s="1"/>
  <c r="AG42" i="13"/>
  <c r="AE42" i="13" s="1"/>
  <c r="AF42" i="13"/>
  <c r="V42" i="13"/>
  <c r="X42" i="13" s="1"/>
  <c r="Q42" i="13"/>
  <c r="S42" i="13" s="1"/>
  <c r="M42" i="13"/>
  <c r="N42" i="13" s="1"/>
  <c r="AJ41" i="13"/>
  <c r="AG41" i="13"/>
  <c r="AF41" i="13"/>
  <c r="X41" i="13"/>
  <c r="S41" i="13"/>
  <c r="N41" i="13"/>
  <c r="T41" i="13" s="1"/>
  <c r="AD40" i="13"/>
  <c r="AC40" i="13"/>
  <c r="AB40" i="13"/>
  <c r="AA40" i="13"/>
  <c r="Z40" i="13"/>
  <c r="U40" i="13"/>
  <c r="P40" i="13"/>
  <c r="O40" i="13"/>
  <c r="L40" i="13"/>
  <c r="J40" i="13"/>
  <c r="H40" i="13"/>
  <c r="F40" i="13"/>
  <c r="AF38" i="13"/>
  <c r="J38" i="13"/>
  <c r="AH38" i="13" s="1"/>
  <c r="AJ38" i="13" s="1"/>
  <c r="H38" i="13"/>
  <c r="AG37" i="13"/>
  <c r="AF37" i="13"/>
  <c r="J37" i="13"/>
  <c r="Q37" i="13" s="1"/>
  <c r="S37" i="13" s="1"/>
  <c r="H37" i="13"/>
  <c r="AG36" i="13"/>
  <c r="AE36" i="13" s="1"/>
  <c r="AF36" i="13"/>
  <c r="J36" i="13"/>
  <c r="Q36" i="13" s="1"/>
  <c r="S36" i="13" s="1"/>
  <c r="H36" i="13"/>
  <c r="AC35" i="13"/>
  <c r="AB35" i="13"/>
  <c r="AA35" i="13"/>
  <c r="Z35" i="13"/>
  <c r="U35" i="13"/>
  <c r="P35" i="13"/>
  <c r="O35" i="13"/>
  <c r="M35" i="13"/>
  <c r="L35" i="13"/>
  <c r="F35" i="13"/>
  <c r="J35" i="13" s="1"/>
  <c r="AG34" i="13"/>
  <c r="AE34" i="13" s="1"/>
  <c r="AF34" i="13"/>
  <c r="M34" i="13"/>
  <c r="J34" i="13"/>
  <c r="H34" i="13"/>
  <c r="AG33" i="13"/>
  <c r="AE33" i="13" s="1"/>
  <c r="AF33" i="13"/>
  <c r="M33" i="13"/>
  <c r="J33" i="13"/>
  <c r="H33" i="13"/>
  <c r="AG32" i="13"/>
  <c r="AF32" i="13"/>
  <c r="J32" i="13"/>
  <c r="V32" i="13" s="1"/>
  <c r="X32" i="13" s="1"/>
  <c r="H32" i="13"/>
  <c r="AG31" i="13"/>
  <c r="AF31" i="13"/>
  <c r="J31" i="13"/>
  <c r="V31" i="13" s="1"/>
  <c r="X31" i="13" s="1"/>
  <c r="H31" i="13"/>
  <c r="AC30" i="13"/>
  <c r="AC29" i="13" s="1"/>
  <c r="AB30" i="13"/>
  <c r="AA30" i="13"/>
  <c r="AA29" i="13" s="1"/>
  <c r="Z30" i="13"/>
  <c r="U30" i="13"/>
  <c r="P30" i="13"/>
  <c r="O30" i="13"/>
  <c r="O29" i="13" s="1"/>
  <c r="L30" i="13"/>
  <c r="F30" i="13"/>
  <c r="F29" i="13" s="1"/>
  <c r="AJ27" i="13"/>
  <c r="AG27" i="13"/>
  <c r="AF27" i="13"/>
  <c r="X27" i="13"/>
  <c r="S27" i="13"/>
  <c r="N27" i="13"/>
  <c r="Y27" i="13" s="1"/>
  <c r="AG26" i="13"/>
  <c r="AF26" i="13"/>
  <c r="V26" i="13"/>
  <c r="X26" i="13" s="1"/>
  <c r="Q26" i="13"/>
  <c r="S26" i="13" s="1"/>
  <c r="N26" i="13"/>
  <c r="Y26" i="13" s="1"/>
  <c r="Z25" i="13"/>
  <c r="AG25" i="13" s="1"/>
  <c r="U25" i="13"/>
  <c r="P25" i="13"/>
  <c r="O25" i="13"/>
  <c r="L25" i="13"/>
  <c r="J25" i="13"/>
  <c r="J21" i="13" s="1"/>
  <c r="H25" i="13"/>
  <c r="F25" i="13"/>
  <c r="AG24" i="13"/>
  <c r="AH24" i="13" s="1"/>
  <c r="AJ24" i="13" s="1"/>
  <c r="AF24" i="13"/>
  <c r="V24" i="13"/>
  <c r="X24" i="13" s="1"/>
  <c r="Q24" i="13"/>
  <c r="S24" i="13" s="1"/>
  <c r="N24" i="13"/>
  <c r="Y24" i="13" s="1"/>
  <c r="AE23" i="13"/>
  <c r="AF23" i="13"/>
  <c r="V23" i="13"/>
  <c r="X23" i="13" s="1"/>
  <c r="Q23" i="13"/>
  <c r="S23" i="13" s="1"/>
  <c r="N23" i="13"/>
  <c r="T23" i="13" s="1"/>
  <c r="AC22" i="13"/>
  <c r="AB22" i="13"/>
  <c r="AB21" i="13" s="1"/>
  <c r="AA22" i="13"/>
  <c r="AA21" i="13" s="1"/>
  <c r="Z22" i="13"/>
  <c r="U22" i="13"/>
  <c r="P22" i="13"/>
  <c r="O22" i="13"/>
  <c r="O21" i="13" s="1"/>
  <c r="L22" i="13"/>
  <c r="J22" i="13"/>
  <c r="N22" i="13" s="1"/>
  <c r="H22" i="13"/>
  <c r="H21" i="13" s="1"/>
  <c r="F22" i="13"/>
  <c r="AC21" i="13"/>
  <c r="M21" i="13"/>
  <c r="AJ20" i="13"/>
  <c r="AG20" i="13"/>
  <c r="AE20" i="13" s="1"/>
  <c r="AF20" i="13"/>
  <c r="X20" i="13"/>
  <c r="N20" i="13"/>
  <c r="T20" i="13" s="1"/>
  <c r="AG19" i="13"/>
  <c r="AE19" i="13" s="1"/>
  <c r="AF19" i="13"/>
  <c r="J19" i="13"/>
  <c r="N19" i="13" s="1"/>
  <c r="AJ18" i="13"/>
  <c r="AG18" i="13"/>
  <c r="AF18" i="13"/>
  <c r="X18" i="13"/>
  <c r="S18" i="13"/>
  <c r="N18" i="13"/>
  <c r="Y18" i="13" s="1"/>
  <c r="AD17" i="13"/>
  <c r="AC17" i="13"/>
  <c r="AB17" i="13"/>
  <c r="AA17" i="13"/>
  <c r="Z17" i="13"/>
  <c r="U17" i="13"/>
  <c r="P17" i="13"/>
  <c r="O17" i="13"/>
  <c r="M17" i="13"/>
  <c r="L17" i="13"/>
  <c r="H17" i="13"/>
  <c r="F17" i="13"/>
  <c r="AD16" i="13"/>
  <c r="AP13" i="13"/>
  <c r="AL13" i="13"/>
  <c r="AP12" i="13"/>
  <c r="AL12" i="13"/>
  <c r="AP10" i="13"/>
  <c r="AL10" i="13"/>
  <c r="AP9" i="13"/>
  <c r="AL9" i="13"/>
  <c r="AP8" i="13"/>
  <c r="AL8" i="13"/>
  <c r="AB203" i="13" l="1"/>
  <c r="T105" i="13"/>
  <c r="Z21" i="13"/>
  <c r="T26" i="13"/>
  <c r="O77" i="13"/>
  <c r="O76" i="13" s="1"/>
  <c r="AB128" i="13"/>
  <c r="AB127" i="13" s="1"/>
  <c r="M167" i="13"/>
  <c r="N169" i="13"/>
  <c r="AD177" i="13"/>
  <c r="AD154" i="13" s="1"/>
  <c r="V241" i="13"/>
  <c r="X241" i="13" s="1"/>
  <c r="AB137" i="13"/>
  <c r="P203" i="13"/>
  <c r="AE110" i="13"/>
  <c r="N87" i="13"/>
  <c r="AB86" i="13"/>
  <c r="F155" i="13"/>
  <c r="H158" i="13"/>
  <c r="AA185" i="13"/>
  <c r="AG227" i="13"/>
  <c r="H231" i="13"/>
  <c r="L250" i="13"/>
  <c r="AF48" i="13"/>
  <c r="L77" i="13"/>
  <c r="L76" i="13" s="1"/>
  <c r="AG104" i="13"/>
  <c r="AG103" i="13" s="1"/>
  <c r="AE103" i="13" s="1"/>
  <c r="AA177" i="13"/>
  <c r="P177" i="13"/>
  <c r="H182" i="13"/>
  <c r="AC185" i="13"/>
  <c r="M194" i="13"/>
  <c r="AD194" i="13"/>
  <c r="Z203" i="13"/>
  <c r="H30" i="13"/>
  <c r="AH50" i="13"/>
  <c r="AJ50" i="13" s="1"/>
  <c r="AF63" i="13"/>
  <c r="Q72" i="13"/>
  <c r="S72" i="13" s="1"/>
  <c r="V95" i="13"/>
  <c r="X95" i="13" s="1"/>
  <c r="AG139" i="13"/>
  <c r="AH139" i="13" s="1"/>
  <c r="AJ139" i="13" s="1"/>
  <c r="T147" i="13"/>
  <c r="V169" i="13"/>
  <c r="X169" i="13" s="1"/>
  <c r="AB177" i="13"/>
  <c r="AB154" i="13" s="1"/>
  <c r="H178" i="13"/>
  <c r="H177" i="13" s="1"/>
  <c r="AB185" i="13"/>
  <c r="L194" i="13"/>
  <c r="L185" i="13" s="1"/>
  <c r="F200" i="13"/>
  <c r="AG48" i="13"/>
  <c r="AE48" i="13" s="1"/>
  <c r="U55" i="13"/>
  <c r="AD114" i="13"/>
  <c r="AD107" i="13" s="1"/>
  <c r="T136" i="13"/>
  <c r="F137" i="13"/>
  <c r="AK141" i="13"/>
  <c r="AE141" i="13"/>
  <c r="AK190" i="13"/>
  <c r="AD185" i="13"/>
  <c r="M16" i="13"/>
  <c r="Q25" i="13"/>
  <c r="S25" i="13" s="1"/>
  <c r="AF45" i="13"/>
  <c r="AD39" i="13"/>
  <c r="AD28" i="13" s="1"/>
  <c r="N48" i="13"/>
  <c r="Y48" i="13" s="1"/>
  <c r="H86" i="13"/>
  <c r="H85" i="13" s="1"/>
  <c r="T89" i="13"/>
  <c r="H143" i="13"/>
  <c r="V188" i="13"/>
  <c r="X188" i="13" s="1"/>
  <c r="Q206" i="13"/>
  <c r="S206" i="13" s="1"/>
  <c r="L203" i="13"/>
  <c r="F222" i="13"/>
  <c r="F221" i="13" s="1"/>
  <c r="Q229" i="13"/>
  <c r="S229" i="13" s="1"/>
  <c r="Q239" i="13"/>
  <c r="S239" i="13" s="1"/>
  <c r="N21" i="13"/>
  <c r="U203" i="13"/>
  <c r="AB29" i="13"/>
  <c r="AG40" i="13"/>
  <c r="AH44" i="13"/>
  <c r="AJ44" i="13" s="1"/>
  <c r="O54" i="13"/>
  <c r="V93" i="13"/>
  <c r="X93" i="13" s="1"/>
  <c r="L177" i="13"/>
  <c r="L154" i="13" s="1"/>
  <c r="N196" i="13"/>
  <c r="Y196" i="13" s="1"/>
  <c r="AC213" i="13"/>
  <c r="AC234" i="13"/>
  <c r="Q19" i="13"/>
  <c r="S19" i="13" s="1"/>
  <c r="Z16" i="13"/>
  <c r="AE24" i="13"/>
  <c r="H35" i="13"/>
  <c r="AE41" i="13"/>
  <c r="AE49" i="13"/>
  <c r="T52" i="13"/>
  <c r="Y73" i="13"/>
  <c r="F86" i="13"/>
  <c r="F85" i="13" s="1"/>
  <c r="M86" i="13"/>
  <c r="M85" i="13" s="1"/>
  <c r="AF87" i="13"/>
  <c r="J91" i="13"/>
  <c r="N91" i="13" s="1"/>
  <c r="Y91" i="13" s="1"/>
  <c r="AF91" i="13"/>
  <c r="AD86" i="13"/>
  <c r="AD85" i="13" s="1"/>
  <c r="P114" i="13"/>
  <c r="P107" i="13" s="1"/>
  <c r="T116" i="13"/>
  <c r="L114" i="13"/>
  <c r="L107" i="13" s="1"/>
  <c r="T123" i="13"/>
  <c r="AB114" i="13"/>
  <c r="AB107" i="13" s="1"/>
  <c r="AB106" i="13" s="1"/>
  <c r="AB13" i="13" s="1"/>
  <c r="O128" i="13"/>
  <c r="O127" i="13" s="1"/>
  <c r="AQ149" i="13"/>
  <c r="AS149" i="13" s="1"/>
  <c r="F158" i="13"/>
  <c r="N170" i="13"/>
  <c r="T170" i="13" s="1"/>
  <c r="Q175" i="13"/>
  <c r="S175" i="13" s="1"/>
  <c r="AK183" i="13"/>
  <c r="F189" i="13"/>
  <c r="F186" i="13" s="1"/>
  <c r="H222" i="13"/>
  <c r="H221" i="13" s="1"/>
  <c r="J227" i="13"/>
  <c r="N227" i="13" s="1"/>
  <c r="T227" i="13" s="1"/>
  <c r="AG231" i="13"/>
  <c r="AE231" i="13" s="1"/>
  <c r="N241" i="13"/>
  <c r="T241" i="13" s="1"/>
  <c r="P21" i="13"/>
  <c r="P16" i="13" s="1"/>
  <c r="AA54" i="13"/>
  <c r="N92" i="13"/>
  <c r="T92" i="13" s="1"/>
  <c r="Q171" i="13"/>
  <c r="S171" i="13" s="1"/>
  <c r="AC177" i="13"/>
  <c r="AC154" i="13" s="1"/>
  <c r="U213" i="13"/>
  <c r="N246" i="13"/>
  <c r="Y246" i="13" s="1"/>
  <c r="AP6" i="13"/>
  <c r="N25" i="13"/>
  <c r="T25" i="13" s="1"/>
  <c r="AK27" i="13"/>
  <c r="Q38" i="13"/>
  <c r="S38" i="13" s="1"/>
  <c r="Y45" i="13"/>
  <c r="L39" i="13"/>
  <c r="AH62" i="13"/>
  <c r="AJ62" i="13" s="1"/>
  <c r="T67" i="13"/>
  <c r="H77" i="13"/>
  <c r="H76" i="13" s="1"/>
  <c r="N81" i="13"/>
  <c r="Y81" i="13" s="1"/>
  <c r="AE84" i="13"/>
  <c r="AC114" i="13"/>
  <c r="AC107" i="13" s="1"/>
  <c r="T120" i="13"/>
  <c r="AF134" i="13"/>
  <c r="V159" i="13"/>
  <c r="X159" i="13" s="1"/>
  <c r="AH165" i="13"/>
  <c r="AJ165" i="13" s="1"/>
  <c r="Q166" i="13"/>
  <c r="S166" i="13" s="1"/>
  <c r="F168" i="13"/>
  <c r="F167" i="13" s="1"/>
  <c r="V179" i="13"/>
  <c r="X179" i="13" s="1"/>
  <c r="Q196" i="13"/>
  <c r="S196" i="13" s="1"/>
  <c r="Q205" i="13"/>
  <c r="S205" i="13" s="1"/>
  <c r="AD213" i="13"/>
  <c r="Q228" i="13"/>
  <c r="S228" i="13" s="1"/>
  <c r="H237" i="13"/>
  <c r="AH247" i="13"/>
  <c r="AJ247" i="13" s="1"/>
  <c r="T240" i="13"/>
  <c r="Y240" i="13"/>
  <c r="AD128" i="13"/>
  <c r="AD127" i="13" s="1"/>
  <c r="AK20" i="13"/>
  <c r="T22" i="13"/>
  <c r="V22" i="13"/>
  <c r="X22" i="13" s="1"/>
  <c r="AK24" i="13"/>
  <c r="T27" i="13"/>
  <c r="AF30" i="13"/>
  <c r="Q32" i="13"/>
  <c r="S32" i="13" s="1"/>
  <c r="AF40" i="13"/>
  <c r="M55" i="13"/>
  <c r="Z55" i="13"/>
  <c r="Z54" i="13" s="1"/>
  <c r="T57" i="13"/>
  <c r="Y59" i="13"/>
  <c r="Y68" i="13"/>
  <c r="Y70" i="13"/>
  <c r="V72" i="13"/>
  <c r="X72" i="13" s="1"/>
  <c r="AG81" i="13"/>
  <c r="V90" i="13"/>
  <c r="X90" i="13" s="1"/>
  <c r="Q92" i="13"/>
  <c r="S92" i="13" s="1"/>
  <c r="N93" i="13"/>
  <c r="V104" i="13"/>
  <c r="X104" i="13" s="1"/>
  <c r="AK123" i="13"/>
  <c r="AC128" i="13"/>
  <c r="AC127" i="13" s="1"/>
  <c r="AF143" i="13"/>
  <c r="AK147" i="13"/>
  <c r="V156" i="13"/>
  <c r="X156" i="13" s="1"/>
  <c r="J158" i="13"/>
  <c r="N158" i="13" s="1"/>
  <c r="T158" i="13" s="1"/>
  <c r="AH170" i="13"/>
  <c r="AJ170" i="13" s="1"/>
  <c r="N171" i="13"/>
  <c r="T171" i="13" s="1"/>
  <c r="N175" i="13"/>
  <c r="T175" i="13" s="1"/>
  <c r="V184" i="13"/>
  <c r="X184" i="13" s="1"/>
  <c r="J189" i="13"/>
  <c r="N189" i="13" s="1"/>
  <c r="AG200" i="13"/>
  <c r="N206" i="13"/>
  <c r="Y206" i="13" s="1"/>
  <c r="AB234" i="13"/>
  <c r="AB153" i="13" s="1"/>
  <c r="AB10" i="13" s="1"/>
  <c r="AC250" i="13"/>
  <c r="F251" i="13"/>
  <c r="F250" i="13" s="1"/>
  <c r="Q257" i="13"/>
  <c r="S257" i="13" s="1"/>
  <c r="AG100" i="13"/>
  <c r="AE100" i="13" s="1"/>
  <c r="V256" i="13"/>
  <c r="X256" i="13" s="1"/>
  <c r="Z29" i="13"/>
  <c r="AF29" i="13" s="1"/>
  <c r="M30" i="13"/>
  <c r="M29" i="13" s="1"/>
  <c r="N35" i="13"/>
  <c r="Y35" i="13" s="1"/>
  <c r="AH36" i="13"/>
  <c r="AJ36" i="13" s="1"/>
  <c r="H39" i="13"/>
  <c r="P39" i="13"/>
  <c r="AB39" i="13"/>
  <c r="V48" i="13"/>
  <c r="X48" i="13" s="1"/>
  <c r="T61" i="13"/>
  <c r="T71" i="13"/>
  <c r="F77" i="13"/>
  <c r="F76" i="13" s="1"/>
  <c r="AH82" i="13"/>
  <c r="AJ82" i="13" s="1"/>
  <c r="M111" i="13"/>
  <c r="O114" i="13"/>
  <c r="O107" i="13" s="1"/>
  <c r="Z114" i="13"/>
  <c r="T140" i="13"/>
  <c r="AK140" i="13"/>
  <c r="T141" i="13"/>
  <c r="H155" i="13"/>
  <c r="H164" i="13"/>
  <c r="Q173" i="13"/>
  <c r="S173" i="13" s="1"/>
  <c r="AK173" i="13"/>
  <c r="N174" i="13"/>
  <c r="T174" i="13" s="1"/>
  <c r="F178" i="13"/>
  <c r="AH180" i="13"/>
  <c r="AJ180" i="13" s="1"/>
  <c r="AF182" i="13"/>
  <c r="Q183" i="13"/>
  <c r="S183" i="13" s="1"/>
  <c r="N184" i="13"/>
  <c r="AK184" i="13" s="1"/>
  <c r="AG182" i="13"/>
  <c r="AE182" i="13" s="1"/>
  <c r="Y190" i="13"/>
  <c r="AH190" i="13"/>
  <c r="AJ190" i="13" s="1"/>
  <c r="N198" i="13"/>
  <c r="V239" i="13"/>
  <c r="X239" i="13" s="1"/>
  <c r="AF257" i="13"/>
  <c r="AM257" i="13"/>
  <c r="AO257" i="13" s="1"/>
  <c r="AM258" i="13"/>
  <c r="AO258" i="13" s="1"/>
  <c r="T18" i="13"/>
  <c r="P77" i="13"/>
  <c r="AB77" i="13"/>
  <c r="AB76" i="13" s="1"/>
  <c r="AG96" i="13"/>
  <c r="AE96" i="13" s="1"/>
  <c r="AF104" i="13"/>
  <c r="T112" i="13"/>
  <c r="F114" i="13"/>
  <c r="T132" i="13"/>
  <c r="O137" i="13"/>
  <c r="AC137" i="13"/>
  <c r="T144" i="13"/>
  <c r="AP148" i="13"/>
  <c r="AQ148" i="13" s="1"/>
  <c r="AS148" i="13" s="1"/>
  <c r="AH156" i="13"/>
  <c r="AJ156" i="13" s="1"/>
  <c r="AG168" i="13"/>
  <c r="AG167" i="13" s="1"/>
  <c r="V173" i="13"/>
  <c r="X173" i="13" s="1"/>
  <c r="V174" i="13"/>
  <c r="X174" i="13" s="1"/>
  <c r="AH174" i="13"/>
  <c r="AJ174" i="13" s="1"/>
  <c r="V183" i="13"/>
  <c r="X183" i="13" s="1"/>
  <c r="AC203" i="13"/>
  <c r="AC153" i="13" s="1"/>
  <c r="AC10" i="13" s="1"/>
  <c r="Y226" i="13"/>
  <c r="AG243" i="13"/>
  <c r="O250" i="13"/>
  <c r="AF254" i="13"/>
  <c r="AM256" i="13"/>
  <c r="AO256" i="13" s="1"/>
  <c r="Q258" i="13"/>
  <c r="S258" i="13" s="1"/>
  <c r="T42" i="13"/>
  <c r="Y42" i="13"/>
  <c r="O16" i="13"/>
  <c r="T91" i="13"/>
  <c r="AC16" i="13"/>
  <c r="Q53" i="13"/>
  <c r="S53" i="13" s="1"/>
  <c r="V53" i="13"/>
  <c r="X53" i="13" s="1"/>
  <c r="J58" i="13"/>
  <c r="AH58" i="13" s="1"/>
  <c r="AJ58" i="13" s="1"/>
  <c r="H56" i="13"/>
  <c r="AH80" i="13"/>
  <c r="AJ80" i="13" s="1"/>
  <c r="AG78" i="13"/>
  <c r="AE80" i="13"/>
  <c r="AH81" i="13"/>
  <c r="AJ81" i="13" s="1"/>
  <c r="AB85" i="13"/>
  <c r="Y117" i="13"/>
  <c r="T117" i="13"/>
  <c r="Y135" i="13"/>
  <c r="J138" i="13"/>
  <c r="J137" i="13" s="1"/>
  <c r="N139" i="13"/>
  <c r="Y139" i="13" s="1"/>
  <c r="Q139" i="13"/>
  <c r="S139" i="13" s="1"/>
  <c r="P138" i="13"/>
  <c r="P137" i="13" s="1"/>
  <c r="AE212" i="13"/>
  <c r="AG211" i="13"/>
  <c r="AA213" i="13"/>
  <c r="Q224" i="13"/>
  <c r="S224" i="13" s="1"/>
  <c r="V224" i="13"/>
  <c r="X224" i="13" s="1"/>
  <c r="AE242" i="13"/>
  <c r="AH242" i="13"/>
  <c r="AJ242" i="13" s="1"/>
  <c r="AH261" i="13"/>
  <c r="AJ261" i="13" s="1"/>
  <c r="AE261" i="13"/>
  <c r="F21" i="13"/>
  <c r="F16" i="13" s="1"/>
  <c r="Y22" i="13"/>
  <c r="T24" i="13"/>
  <c r="AH25" i="13"/>
  <c r="AJ25" i="13" s="1"/>
  <c r="AK26" i="13"/>
  <c r="N31" i="13"/>
  <c r="T31" i="13" s="1"/>
  <c r="V38" i="13"/>
  <c r="X38" i="13" s="1"/>
  <c r="M40" i="13"/>
  <c r="N40" i="13" s="1"/>
  <c r="T40" i="13" s="1"/>
  <c r="AK44" i="13"/>
  <c r="N46" i="13"/>
  <c r="T46" i="13" s="1"/>
  <c r="AK50" i="13"/>
  <c r="J51" i="13"/>
  <c r="V51" i="13" s="1"/>
  <c r="X51" i="13" s="1"/>
  <c r="AF56" i="13"/>
  <c r="Y64" i="13"/>
  <c r="N75" i="13"/>
  <c r="M72" i="13"/>
  <c r="N72" i="13" s="1"/>
  <c r="Y72" i="13" s="1"/>
  <c r="J77" i="13"/>
  <c r="Q77" i="13" s="1"/>
  <c r="S77" i="13" s="1"/>
  <c r="V81" i="13"/>
  <c r="X81" i="13" s="1"/>
  <c r="AC86" i="13"/>
  <c r="AC85" i="13" s="1"/>
  <c r="AK88" i="13"/>
  <c r="AE88" i="13"/>
  <c r="AE92" i="13"/>
  <c r="AH92" i="13"/>
  <c r="AJ92" i="13" s="1"/>
  <c r="AE104" i="13"/>
  <c r="M108" i="13"/>
  <c r="N108" i="13" s="1"/>
  <c r="V111" i="13"/>
  <c r="X111" i="13" s="1"/>
  <c r="AG111" i="13"/>
  <c r="AG108" i="13" s="1"/>
  <c r="AH108" i="13" s="1"/>
  <c r="AJ108" i="13" s="1"/>
  <c r="Y121" i="13"/>
  <c r="Y122" i="13"/>
  <c r="T122" i="13"/>
  <c r="AK129" i="13"/>
  <c r="AE129" i="13"/>
  <c r="AK132" i="13"/>
  <c r="AE132" i="13"/>
  <c r="Y134" i="13"/>
  <c r="T134" i="13"/>
  <c r="AH140" i="13"/>
  <c r="AJ140" i="13" s="1"/>
  <c r="AE140" i="13"/>
  <c r="Y150" i="13"/>
  <c r="AG155" i="13"/>
  <c r="AE155" i="13" s="1"/>
  <c r="AE156" i="13"/>
  <c r="Q157" i="13"/>
  <c r="S157" i="13" s="1"/>
  <c r="V157" i="13"/>
  <c r="X157" i="13" s="1"/>
  <c r="AH157" i="13"/>
  <c r="AJ157" i="13" s="1"/>
  <c r="H161" i="13"/>
  <c r="Q170" i="13"/>
  <c r="S170" i="13" s="1"/>
  <c r="J168" i="13"/>
  <c r="N168" i="13" s="1"/>
  <c r="T168" i="13" s="1"/>
  <c r="T173" i="13"/>
  <c r="Y173" i="13"/>
  <c r="AH175" i="13"/>
  <c r="AJ175" i="13" s="1"/>
  <c r="AE175" i="13"/>
  <c r="U177" i="13"/>
  <c r="U154" i="13" s="1"/>
  <c r="AE200" i="13"/>
  <c r="AH205" i="13"/>
  <c r="AJ205" i="13" s="1"/>
  <c r="AG204" i="13"/>
  <c r="AE205" i="13"/>
  <c r="AE223" i="13"/>
  <c r="AG222" i="13"/>
  <c r="N224" i="13"/>
  <c r="Y224" i="13" s="1"/>
  <c r="AF231" i="13"/>
  <c r="O234" i="13"/>
  <c r="O153" i="13" s="1"/>
  <c r="O10" i="13" s="1"/>
  <c r="M235" i="13"/>
  <c r="M234" i="13" s="1"/>
  <c r="V240" i="13"/>
  <c r="X240" i="13" s="1"/>
  <c r="Q240" i="13"/>
  <c r="S240" i="13" s="1"/>
  <c r="V257" i="13"/>
  <c r="X257" i="13" s="1"/>
  <c r="AF17" i="13"/>
  <c r="L21" i="13"/>
  <c r="L16" i="13" s="1"/>
  <c r="AE27" i="13"/>
  <c r="Q31" i="13"/>
  <c r="S31" i="13" s="1"/>
  <c r="Y44" i="13"/>
  <c r="T47" i="13"/>
  <c r="Y50" i="13"/>
  <c r="AK52" i="13"/>
  <c r="AE52" i="13"/>
  <c r="AH52" i="13"/>
  <c r="AJ52" i="13" s="1"/>
  <c r="AE57" i="13"/>
  <c r="AH57" i="13"/>
  <c r="AJ57" i="13" s="1"/>
  <c r="AH67" i="13"/>
  <c r="AJ67" i="13" s="1"/>
  <c r="AE67" i="13"/>
  <c r="AE90" i="13"/>
  <c r="AE93" i="13"/>
  <c r="AH93" i="13"/>
  <c r="AJ93" i="13" s="1"/>
  <c r="AF95" i="13"/>
  <c r="AG95" i="13"/>
  <c r="AE95" i="13" s="1"/>
  <c r="Z94" i="13"/>
  <c r="Y118" i="13"/>
  <c r="T118" i="13"/>
  <c r="AK118" i="13"/>
  <c r="I148" i="13"/>
  <c r="N149" i="13"/>
  <c r="M148" i="13"/>
  <c r="N148" i="13" s="1"/>
  <c r="Y148" i="13" s="1"/>
  <c r="AM148" i="13"/>
  <c r="AO148" i="13" s="1"/>
  <c r="T157" i="13"/>
  <c r="Y157" i="13"/>
  <c r="V165" i="13"/>
  <c r="X165" i="13" s="1"/>
  <c r="J164" i="13"/>
  <c r="N164" i="13" s="1"/>
  <c r="T164" i="13" s="1"/>
  <c r="Q165" i="13"/>
  <c r="S165" i="13" s="1"/>
  <c r="T169" i="13"/>
  <c r="Y169" i="13"/>
  <c r="Q172" i="13"/>
  <c r="S172" i="13" s="1"/>
  <c r="N172" i="13"/>
  <c r="T172" i="13" s="1"/>
  <c r="M177" i="13"/>
  <c r="Z177" i="13"/>
  <c r="H186" i="13"/>
  <c r="V197" i="13"/>
  <c r="X197" i="13" s="1"/>
  <c r="Q197" i="13"/>
  <c r="S197" i="13" s="1"/>
  <c r="N197" i="13"/>
  <c r="T197" i="13" s="1"/>
  <c r="J195" i="13"/>
  <c r="N195" i="13" s="1"/>
  <c r="M213" i="13"/>
  <c r="T239" i="13"/>
  <c r="Y239" i="13"/>
  <c r="AE255" i="13"/>
  <c r="AG254" i="13"/>
  <c r="AE254" i="13" s="1"/>
  <c r="AF256" i="13"/>
  <c r="AG260" i="13"/>
  <c r="AM261" i="13"/>
  <c r="AO261" i="13" s="1"/>
  <c r="Q261" i="13"/>
  <c r="S261" i="13" s="1"/>
  <c r="J260" i="13"/>
  <c r="AM260" i="13" s="1"/>
  <c r="AO260" i="13" s="1"/>
  <c r="V261" i="13"/>
  <c r="X261" i="13" s="1"/>
  <c r="AB16" i="13"/>
  <c r="U21" i="13"/>
  <c r="AF25" i="13"/>
  <c r="L29" i="13"/>
  <c r="N36" i="13"/>
  <c r="AK36" i="13" s="1"/>
  <c r="N38" i="13"/>
  <c r="AK38" i="13" s="1"/>
  <c r="O39" i="13"/>
  <c r="O28" i="13" s="1"/>
  <c r="Y41" i="13"/>
  <c r="AK42" i="13"/>
  <c r="Y43" i="13"/>
  <c r="T48" i="13"/>
  <c r="AA39" i="13"/>
  <c r="AA28" i="13" s="1"/>
  <c r="Y49" i="13"/>
  <c r="L55" i="13"/>
  <c r="L54" i="13" s="1"/>
  <c r="AK67" i="13"/>
  <c r="N79" i="13"/>
  <c r="AK79" i="13" s="1"/>
  <c r="M78" i="13"/>
  <c r="M77" i="13" s="1"/>
  <c r="M76" i="13" s="1"/>
  <c r="Y83" i="13"/>
  <c r="T83" i="13"/>
  <c r="Z86" i="13"/>
  <c r="Y88" i="13"/>
  <c r="AH90" i="13"/>
  <c r="AJ90" i="13" s="1"/>
  <c r="T93" i="13"/>
  <c r="Y93" i="13"/>
  <c r="AK113" i="13"/>
  <c r="AE113" i="13"/>
  <c r="Y129" i="13"/>
  <c r="F106" i="13"/>
  <c r="F13" i="13" s="1"/>
  <c r="AM149" i="13"/>
  <c r="AO149" i="13" s="1"/>
  <c r="AK150" i="13"/>
  <c r="AE150" i="13"/>
  <c r="AG149" i="13"/>
  <c r="AE149" i="13" s="1"/>
  <c r="AH159" i="13"/>
  <c r="AJ159" i="13" s="1"/>
  <c r="N160" i="13"/>
  <c r="AK160" i="13" s="1"/>
  <c r="AF164" i="13"/>
  <c r="AG164" i="13"/>
  <c r="AF168" i="13"/>
  <c r="Y171" i="13"/>
  <c r="AE171" i="13"/>
  <c r="Q187" i="13"/>
  <c r="S187" i="13" s="1"/>
  <c r="N187" i="13"/>
  <c r="AK187" i="13" s="1"/>
  <c r="O194" i="13"/>
  <c r="O185" i="13" s="1"/>
  <c r="J200" i="13"/>
  <c r="N200" i="13" s="1"/>
  <c r="Y200" i="13" s="1"/>
  <c r="M153" i="13"/>
  <c r="M10" i="13" s="1"/>
  <c r="H204" i="13"/>
  <c r="H203" i="13" s="1"/>
  <c r="P213" i="13"/>
  <c r="H218" i="13"/>
  <c r="AF222" i="13"/>
  <c r="F231" i="13"/>
  <c r="H235" i="13"/>
  <c r="Q238" i="13"/>
  <c r="S238" i="13" s="1"/>
  <c r="J237" i="13"/>
  <c r="J235" i="13" s="1"/>
  <c r="V235" i="13" s="1"/>
  <c r="X235" i="13" s="1"/>
  <c r="N238" i="13"/>
  <c r="AK238" i="13" s="1"/>
  <c r="AH238" i="13"/>
  <c r="AJ238" i="13" s="1"/>
  <c r="AH240" i="13"/>
  <c r="AJ240" i="13" s="1"/>
  <c r="Q242" i="13"/>
  <c r="S242" i="13" s="1"/>
  <c r="N242" i="13"/>
  <c r="V242" i="13"/>
  <c r="X242" i="13" s="1"/>
  <c r="AL259" i="13"/>
  <c r="N261" i="13"/>
  <c r="AK261" i="13" s="1"/>
  <c r="AD55" i="13"/>
  <c r="AD54" i="13" s="1"/>
  <c r="AF72" i="13"/>
  <c r="AC77" i="13"/>
  <c r="AC76" i="13" s="1"/>
  <c r="L86" i="13"/>
  <c r="L85" i="13" s="1"/>
  <c r="M154" i="13"/>
  <c r="AF155" i="13"/>
  <c r="O177" i="13"/>
  <c r="O154" i="13" s="1"/>
  <c r="M185" i="13"/>
  <c r="H195" i="13"/>
  <c r="H200" i="13"/>
  <c r="AK201" i="13"/>
  <c r="H214" i="13"/>
  <c r="AF218" i="13"/>
  <c r="AB213" i="13"/>
  <c r="AA234" i="13"/>
  <c r="AA153" i="13" s="1"/>
  <c r="AA10" i="13" s="1"/>
  <c r="F237" i="13"/>
  <c r="F235" i="13" s="1"/>
  <c r="F244" i="13"/>
  <c r="F243" i="13" s="1"/>
  <c r="V258" i="13"/>
  <c r="X258" i="13" s="1"/>
  <c r="F39" i="13"/>
  <c r="F28" i="13" s="1"/>
  <c r="AB55" i="13"/>
  <c r="AB54" i="13" s="1"/>
  <c r="AK59" i="13"/>
  <c r="AF78" i="13"/>
  <c r="O86" i="13"/>
  <c r="O85" i="13" s="1"/>
  <c r="N90" i="13"/>
  <c r="AK90" i="13" s="1"/>
  <c r="N95" i="13"/>
  <c r="T95" i="13" s="1"/>
  <c r="H108" i="13"/>
  <c r="AH109" i="13"/>
  <c r="AJ109" i="13" s="1"/>
  <c r="AF124" i="13"/>
  <c r="H134" i="13"/>
  <c r="H128" i="13" s="1"/>
  <c r="H138" i="13"/>
  <c r="Y141" i="13"/>
  <c r="AA154" i="13"/>
  <c r="N156" i="13"/>
  <c r="AK156" i="13" s="1"/>
  <c r="AF158" i="13"/>
  <c r="N159" i="13"/>
  <c r="AK159" i="13" s="1"/>
  <c r="F164" i="13"/>
  <c r="F161" i="13" s="1"/>
  <c r="H168" i="13"/>
  <c r="H167" i="13" s="1"/>
  <c r="H154" i="13" s="1"/>
  <c r="AH176" i="13"/>
  <c r="AJ176" i="13" s="1"/>
  <c r="AG178" i="13"/>
  <c r="AH179" i="13"/>
  <c r="AJ179" i="13" s="1"/>
  <c r="J182" i="13"/>
  <c r="N182" i="13" s="1"/>
  <c r="AH188" i="13"/>
  <c r="AJ188" i="13" s="1"/>
  <c r="Q190" i="13"/>
  <c r="S190" i="13" s="1"/>
  <c r="AH191" i="13"/>
  <c r="AJ191" i="13" s="1"/>
  <c r="AG192" i="13"/>
  <c r="Q193" i="13"/>
  <c r="S193" i="13" s="1"/>
  <c r="Q209" i="13"/>
  <c r="S209" i="13" s="1"/>
  <c r="O213" i="13"/>
  <c r="AG218" i="13"/>
  <c r="AG214" i="13" s="1"/>
  <c r="F218" i="13"/>
  <c r="F214" i="13" s="1"/>
  <c r="AK225" i="13"/>
  <c r="AK226" i="13"/>
  <c r="H227" i="13"/>
  <c r="Q230" i="13"/>
  <c r="S230" i="13" s="1"/>
  <c r="H244" i="13"/>
  <c r="H243" i="13" s="1"/>
  <c r="H251" i="13"/>
  <c r="H250" i="13" s="1"/>
  <c r="Q253" i="13"/>
  <c r="S253" i="13" s="1"/>
  <c r="Y19" i="13"/>
  <c r="T19" i="13"/>
  <c r="AK19" i="13"/>
  <c r="V77" i="13"/>
  <c r="X77" i="13" s="1"/>
  <c r="V40" i="13"/>
  <c r="X40" i="13" s="1"/>
  <c r="U39" i="13"/>
  <c r="AK46" i="13"/>
  <c r="Y62" i="13"/>
  <c r="P55" i="13"/>
  <c r="AE75" i="13"/>
  <c r="AG72" i="13"/>
  <c r="P76" i="13"/>
  <c r="P85" i="13"/>
  <c r="Y92" i="13"/>
  <c r="AK109" i="13"/>
  <c r="AE111" i="13"/>
  <c r="AK112" i="13"/>
  <c r="AH112" i="13"/>
  <c r="AJ112" i="13" s="1"/>
  <c r="AE112" i="13"/>
  <c r="AK117" i="13"/>
  <c r="AH117" i="13"/>
  <c r="AJ117" i="13" s="1"/>
  <c r="AE117" i="13"/>
  <c r="AK125" i="13"/>
  <c r="AE125" i="13"/>
  <c r="AE168" i="13"/>
  <c r="AL6" i="13"/>
  <c r="AH23" i="13"/>
  <c r="AJ23" i="13" s="1"/>
  <c r="P29" i="13"/>
  <c r="U54" i="13"/>
  <c r="Y60" i="13"/>
  <c r="T60" i="13"/>
  <c r="H63" i="13"/>
  <c r="J65" i="13"/>
  <c r="AH65" i="13" s="1"/>
  <c r="AJ65" i="13" s="1"/>
  <c r="AE66" i="13"/>
  <c r="AK66" i="13"/>
  <c r="AA103" i="13"/>
  <c r="AF103" i="13" s="1"/>
  <c r="N115" i="13"/>
  <c r="M114" i="13"/>
  <c r="AK131" i="13"/>
  <c r="AE131" i="13"/>
  <c r="AA16" i="13"/>
  <c r="H16" i="13"/>
  <c r="V19" i="13"/>
  <c r="X19" i="13" s="1"/>
  <c r="AH19" i="13"/>
  <c r="AJ19" i="13" s="1"/>
  <c r="V21" i="13"/>
  <c r="X21" i="13" s="1"/>
  <c r="AG22" i="13"/>
  <c r="Y23" i="13"/>
  <c r="AK23" i="13"/>
  <c r="AE25" i="13"/>
  <c r="AE26" i="13"/>
  <c r="AE32" i="13"/>
  <c r="N37" i="13"/>
  <c r="AH37" i="13"/>
  <c r="AJ37" i="13" s="1"/>
  <c r="AG35" i="13"/>
  <c r="AE37" i="13"/>
  <c r="AK47" i="13"/>
  <c r="AE47" i="13"/>
  <c r="AG45" i="13"/>
  <c r="AK48" i="13"/>
  <c r="F55" i="13"/>
  <c r="F54" i="13" s="1"/>
  <c r="AH60" i="13"/>
  <c r="AJ60" i="13" s="1"/>
  <c r="AK60" i="13"/>
  <c r="AE60" i="13"/>
  <c r="AH66" i="13"/>
  <c r="AJ66" i="13" s="1"/>
  <c r="T69" i="13"/>
  <c r="Y69" i="13"/>
  <c r="AK70" i="13"/>
  <c r="AE70" i="13"/>
  <c r="Y80" i="13"/>
  <c r="T80" i="13"/>
  <c r="AK80" i="13"/>
  <c r="Q81" i="13"/>
  <c r="S81" i="13" s="1"/>
  <c r="Y124" i="13"/>
  <c r="U114" i="13"/>
  <c r="AG124" i="13"/>
  <c r="AF130" i="13"/>
  <c r="AA128" i="13"/>
  <c r="AK136" i="13"/>
  <c r="AH136" i="13"/>
  <c r="AJ136" i="13" s="1"/>
  <c r="AE136" i="13"/>
  <c r="AH145" i="13"/>
  <c r="AJ145" i="13" s="1"/>
  <c r="AE145" i="13"/>
  <c r="V148" i="13"/>
  <c r="X148" i="13" s="1"/>
  <c r="AK18" i="13"/>
  <c r="AE18" i="13"/>
  <c r="U29" i="13"/>
  <c r="Q34" i="13"/>
  <c r="S34" i="13" s="1"/>
  <c r="AH34" i="13"/>
  <c r="AJ34" i="13" s="1"/>
  <c r="N34" i="13"/>
  <c r="AK62" i="13"/>
  <c r="T66" i="13"/>
  <c r="Y66" i="13"/>
  <c r="T74" i="13"/>
  <c r="AK74" i="13"/>
  <c r="V78" i="13"/>
  <c r="X78" i="13" s="1"/>
  <c r="Q78" i="13"/>
  <c r="S78" i="13" s="1"/>
  <c r="AK92" i="13"/>
  <c r="N104" i="13"/>
  <c r="Q104" i="13"/>
  <c r="S104" i="13" s="1"/>
  <c r="J103" i="13"/>
  <c r="Y109" i="13"/>
  <c r="AH121" i="13"/>
  <c r="AJ121" i="13" s="1"/>
  <c r="AK121" i="13"/>
  <c r="AE121" i="13"/>
  <c r="AF21" i="13"/>
  <c r="AF22" i="13"/>
  <c r="AH26" i="13"/>
  <c r="AJ26" i="13" s="1"/>
  <c r="AE31" i="13"/>
  <c r="AH31" i="13"/>
  <c r="AJ31" i="13" s="1"/>
  <c r="AG30" i="13"/>
  <c r="V33" i="13"/>
  <c r="X33" i="13" s="1"/>
  <c r="N33" i="13"/>
  <c r="AH33" i="13"/>
  <c r="AJ33" i="13" s="1"/>
  <c r="Z39" i="13"/>
  <c r="AK41" i="13"/>
  <c r="T45" i="13"/>
  <c r="AH75" i="13"/>
  <c r="AJ75" i="13" s="1"/>
  <c r="AH78" i="13"/>
  <c r="AJ78" i="13" s="1"/>
  <c r="AG77" i="13"/>
  <c r="T84" i="13"/>
  <c r="AK84" i="13"/>
  <c r="V97" i="13"/>
  <c r="X97" i="13" s="1"/>
  <c r="N97" i="13"/>
  <c r="AK97" i="13" s="1"/>
  <c r="J96" i="13"/>
  <c r="Q97" i="13"/>
  <c r="S97" i="13" s="1"/>
  <c r="V99" i="13"/>
  <c r="X99" i="13" s="1"/>
  <c r="N99" i="13"/>
  <c r="AK99" i="13" s="1"/>
  <c r="Q99" i="13"/>
  <c r="S99" i="13" s="1"/>
  <c r="V101" i="13"/>
  <c r="X101" i="13" s="1"/>
  <c r="N101" i="13"/>
  <c r="J100" i="13"/>
  <c r="Q101" i="13"/>
  <c r="S101" i="13" s="1"/>
  <c r="AH104" i="13"/>
  <c r="AJ104" i="13" s="1"/>
  <c r="AG119" i="13"/>
  <c r="Q149" i="13"/>
  <c r="S149" i="13" s="1"/>
  <c r="T149" i="13"/>
  <c r="P148" i="13"/>
  <c r="J17" i="13"/>
  <c r="AG17" i="13"/>
  <c r="Y20" i="13"/>
  <c r="Q22" i="13"/>
  <c r="S22" i="13" s="1"/>
  <c r="V25" i="13"/>
  <c r="X25" i="13" s="1"/>
  <c r="AH32" i="13"/>
  <c r="AJ32" i="13" s="1"/>
  <c r="Q33" i="13"/>
  <c r="S33" i="13" s="1"/>
  <c r="V34" i="13"/>
  <c r="X34" i="13" s="1"/>
  <c r="Q35" i="13"/>
  <c r="S35" i="13" s="1"/>
  <c r="T35" i="13"/>
  <c r="V37" i="13"/>
  <c r="X37" i="13" s="1"/>
  <c r="AE38" i="13"/>
  <c r="AK43" i="13"/>
  <c r="Y46" i="13"/>
  <c r="AK49" i="13"/>
  <c r="AF51" i="13"/>
  <c r="AE51" i="13"/>
  <c r="N53" i="13"/>
  <c r="AK53" i="13" s="1"/>
  <c r="AH53" i="13"/>
  <c r="AJ53" i="13" s="1"/>
  <c r="AE53" i="13"/>
  <c r="AK57" i="13"/>
  <c r="AE58" i="13"/>
  <c r="AG56" i="13"/>
  <c r="AK64" i="13"/>
  <c r="AG63" i="13"/>
  <c r="AE64" i="13"/>
  <c r="AH64" i="13"/>
  <c r="AJ64" i="13" s="1"/>
  <c r="AE69" i="13"/>
  <c r="AK69" i="13"/>
  <c r="AK71" i="13"/>
  <c r="AE71" i="13"/>
  <c r="AH71" i="13"/>
  <c r="AJ71" i="13" s="1"/>
  <c r="Y74" i="13"/>
  <c r="AE79" i="13"/>
  <c r="AE81" i="13"/>
  <c r="Y87" i="13"/>
  <c r="V87" i="13"/>
  <c r="X87" i="13" s="1"/>
  <c r="U86" i="13"/>
  <c r="AG87" i="13"/>
  <c r="AK89" i="13"/>
  <c r="AE89" i="13"/>
  <c r="V98" i="13"/>
  <c r="X98" i="13" s="1"/>
  <c r="N98" i="13"/>
  <c r="AK98" i="13" s="1"/>
  <c r="Q98" i="13"/>
  <c r="S98" i="13" s="1"/>
  <c r="V102" i="13"/>
  <c r="X102" i="13" s="1"/>
  <c r="N102" i="13"/>
  <c r="AK102" i="13" s="1"/>
  <c r="Q102" i="13"/>
  <c r="S102" i="13" s="1"/>
  <c r="H115" i="13"/>
  <c r="V126" i="13"/>
  <c r="X126" i="13" s="1"/>
  <c r="N126" i="13"/>
  <c r="AK126" i="13" s="1"/>
  <c r="Q126" i="13"/>
  <c r="S126" i="13" s="1"/>
  <c r="U128" i="13"/>
  <c r="AG130" i="13"/>
  <c r="AE139" i="13"/>
  <c r="AG138" i="13"/>
  <c r="AF35" i="13"/>
  <c r="Q40" i="13"/>
  <c r="S40" i="13" s="1"/>
  <c r="Z76" i="13"/>
  <c r="AF81" i="13"/>
  <c r="AK93" i="13"/>
  <c r="AF96" i="13"/>
  <c r="AA94" i="13"/>
  <c r="AF94" i="13" s="1"/>
  <c r="AF100" i="13"/>
  <c r="V108" i="13"/>
  <c r="X108" i="13" s="1"/>
  <c r="H107" i="13"/>
  <c r="Y110" i="13"/>
  <c r="AF111" i="13"/>
  <c r="AF115" i="13"/>
  <c r="AA114" i="13"/>
  <c r="AF114" i="13" s="1"/>
  <c r="AH116" i="13"/>
  <c r="AJ116" i="13" s="1"/>
  <c r="AK116" i="13"/>
  <c r="AF119" i="13"/>
  <c r="H119" i="13"/>
  <c r="AK120" i="13"/>
  <c r="AH120" i="13"/>
  <c r="AJ120" i="13" s="1"/>
  <c r="T124" i="13"/>
  <c r="N130" i="13"/>
  <c r="T130" i="13" s="1"/>
  <c r="Y133" i="13"/>
  <c r="AK133" i="13"/>
  <c r="AH135" i="13"/>
  <c r="AJ135" i="13" s="1"/>
  <c r="AK135" i="13"/>
  <c r="AE142" i="13"/>
  <c r="AH142" i="13"/>
  <c r="AJ142" i="13" s="1"/>
  <c r="AK142" i="13"/>
  <c r="AF149" i="13"/>
  <c r="Z148" i="13"/>
  <c r="AF148" i="13" s="1"/>
  <c r="AD148" i="13"/>
  <c r="Y168" i="13"/>
  <c r="N211" i="13"/>
  <c r="V211" i="13"/>
  <c r="X211" i="13" s="1"/>
  <c r="Q211" i="13"/>
  <c r="S211" i="13" s="1"/>
  <c r="J30" i="13"/>
  <c r="Q30" i="13" s="1"/>
  <c r="S30" i="13" s="1"/>
  <c r="N32" i="13"/>
  <c r="AK32" i="13" s="1"/>
  <c r="V35" i="13"/>
  <c r="X35" i="13" s="1"/>
  <c r="V36" i="13"/>
  <c r="X36" i="13" s="1"/>
  <c r="AC39" i="13"/>
  <c r="AC28" i="13" s="1"/>
  <c r="AH40" i="13"/>
  <c r="AJ40" i="13" s="1"/>
  <c r="AH42" i="13"/>
  <c r="AJ42" i="13" s="1"/>
  <c r="AH59" i="13"/>
  <c r="AJ59" i="13" s="1"/>
  <c r="Y61" i="13"/>
  <c r="AK68" i="13"/>
  <c r="AE68" i="13"/>
  <c r="AK73" i="13"/>
  <c r="AE73" i="13"/>
  <c r="AA77" i="13"/>
  <c r="AA76" i="13" s="1"/>
  <c r="Y82" i="13"/>
  <c r="AK82" i="13"/>
  <c r="AK83" i="13"/>
  <c r="AH83" i="13"/>
  <c r="AJ83" i="13" s="1"/>
  <c r="T87" i="13"/>
  <c r="Q87" i="13"/>
  <c r="S87" i="13" s="1"/>
  <c r="AH95" i="13"/>
  <c r="AJ95" i="13" s="1"/>
  <c r="AH97" i="13"/>
  <c r="AJ97" i="13" s="1"/>
  <c r="AH98" i="13"/>
  <c r="AJ98" i="13" s="1"/>
  <c r="AH99" i="13"/>
  <c r="AJ99" i="13" s="1"/>
  <c r="AH101" i="13"/>
  <c r="AJ101" i="13" s="1"/>
  <c r="AH102" i="13"/>
  <c r="AJ102" i="13" s="1"/>
  <c r="AH105" i="13"/>
  <c r="AJ105" i="13" s="1"/>
  <c r="AK105" i="13"/>
  <c r="Q108" i="13"/>
  <c r="S108" i="13" s="1"/>
  <c r="AK110" i="13"/>
  <c r="N111" i="13"/>
  <c r="Q111" i="13"/>
  <c r="S111" i="13" s="1"/>
  <c r="Y113" i="13"/>
  <c r="AG115" i="13"/>
  <c r="N119" i="13"/>
  <c r="J114" i="13"/>
  <c r="Q119" i="13"/>
  <c r="S119" i="13" s="1"/>
  <c r="AK122" i="13"/>
  <c r="AH122" i="13"/>
  <c r="AJ122" i="13" s="1"/>
  <c r="AH126" i="13"/>
  <c r="AJ126" i="13" s="1"/>
  <c r="J128" i="13"/>
  <c r="AG134" i="13"/>
  <c r="Q143" i="13"/>
  <c r="S143" i="13" s="1"/>
  <c r="AG91" i="13"/>
  <c r="Z108" i="13"/>
  <c r="AE118" i="13"/>
  <c r="T125" i="13"/>
  <c r="P128" i="13"/>
  <c r="T131" i="13"/>
  <c r="AF138" i="13"/>
  <c r="Z137" i="13"/>
  <c r="AF137" i="13" s="1"/>
  <c r="V139" i="13"/>
  <c r="X139" i="13" s="1"/>
  <c r="AF139" i="13"/>
  <c r="T142" i="13"/>
  <c r="Y142" i="13"/>
  <c r="V143" i="13"/>
  <c r="X143" i="13" s="1"/>
  <c r="L137" i="13"/>
  <c r="U137" i="13"/>
  <c r="AD137" i="13"/>
  <c r="AH144" i="13"/>
  <c r="AJ144" i="13" s="1"/>
  <c r="AK144" i="13"/>
  <c r="AG143" i="13"/>
  <c r="AE144" i="13"/>
  <c r="N146" i="13"/>
  <c r="M145" i="13"/>
  <c r="V149" i="13"/>
  <c r="X149" i="13" s="1"/>
  <c r="Y149" i="13"/>
  <c r="P154" i="13"/>
  <c r="AK157" i="13"/>
  <c r="Q162" i="13"/>
  <c r="S162" i="13" s="1"/>
  <c r="Q163" i="13"/>
  <c r="S163" i="13" s="1"/>
  <c r="AE165" i="13"/>
  <c r="AE166" i="13"/>
  <c r="AK169" i="13"/>
  <c r="T183" i="13"/>
  <c r="Y183" i="13"/>
  <c r="V189" i="13"/>
  <c r="X189" i="13" s="1"/>
  <c r="U186" i="13"/>
  <c r="AE193" i="13"/>
  <c r="P194" i="13"/>
  <c r="AF195" i="13"/>
  <c r="Z194" i="13"/>
  <c r="AF194" i="13" s="1"/>
  <c r="AE196" i="13"/>
  <c r="AH196" i="13"/>
  <c r="AJ196" i="13" s="1"/>
  <c r="Y198" i="13"/>
  <c r="T198" i="13"/>
  <c r="AH198" i="13"/>
  <c r="AJ198" i="13" s="1"/>
  <c r="AK198" i="13"/>
  <c r="AE198" i="13"/>
  <c r="Q199" i="13"/>
  <c r="S199" i="13" s="1"/>
  <c r="N199" i="13"/>
  <c r="AK199" i="13" s="1"/>
  <c r="AH199" i="13"/>
  <c r="AJ199" i="13" s="1"/>
  <c r="AE199" i="13"/>
  <c r="AE204" i="13"/>
  <c r="V207" i="13"/>
  <c r="X207" i="13" s="1"/>
  <c r="T209" i="13"/>
  <c r="AK209" i="13"/>
  <c r="AH217" i="13"/>
  <c r="AJ217" i="13" s="1"/>
  <c r="AE217" i="13"/>
  <c r="AH219" i="13"/>
  <c r="AJ219" i="13" s="1"/>
  <c r="AE219" i="13"/>
  <c r="V220" i="13"/>
  <c r="X220" i="13" s="1"/>
  <c r="N220" i="13"/>
  <c r="AK220" i="13" s="1"/>
  <c r="AE229" i="13"/>
  <c r="AH229" i="13"/>
  <c r="AJ229" i="13" s="1"/>
  <c r="AK241" i="13"/>
  <c r="AE241" i="13"/>
  <c r="AH241" i="13"/>
  <c r="AJ241" i="13" s="1"/>
  <c r="AE147" i="13"/>
  <c r="J155" i="13"/>
  <c r="V155" i="13" s="1"/>
  <c r="X155" i="13" s="1"/>
  <c r="Y158" i="13"/>
  <c r="AG158" i="13"/>
  <c r="AE160" i="13"/>
  <c r="Z161" i="13"/>
  <c r="AF161" i="13" s="1"/>
  <c r="AH162" i="13"/>
  <c r="AJ162" i="13" s="1"/>
  <c r="AH163" i="13"/>
  <c r="AJ163" i="13" s="1"/>
  <c r="N165" i="13"/>
  <c r="AK165" i="13" s="1"/>
  <c r="N166" i="13"/>
  <c r="AK166" i="13" s="1"/>
  <c r="Z167" i="13"/>
  <c r="AF167" i="13" s="1"/>
  <c r="AH171" i="13"/>
  <c r="AJ171" i="13" s="1"/>
  <c r="AH173" i="13"/>
  <c r="AJ173" i="13" s="1"/>
  <c r="N176" i="13"/>
  <c r="Q179" i="13"/>
  <c r="S179" i="13" s="1"/>
  <c r="J178" i="13"/>
  <c r="AK179" i="13"/>
  <c r="N180" i="13"/>
  <c r="F182" i="13"/>
  <c r="F177" i="13" s="1"/>
  <c r="AE183" i="13"/>
  <c r="AH183" i="13"/>
  <c r="AJ183" i="13" s="1"/>
  <c r="N188" i="13"/>
  <c r="Y189" i="13"/>
  <c r="Q192" i="13"/>
  <c r="S192" i="13" s="1"/>
  <c r="V192" i="13"/>
  <c r="X192" i="13" s="1"/>
  <c r="N192" i="13"/>
  <c r="AH193" i="13"/>
  <c r="AJ193" i="13" s="1"/>
  <c r="AG195" i="13"/>
  <c r="V198" i="13"/>
  <c r="X198" i="13" s="1"/>
  <c r="Y201" i="13"/>
  <c r="T201" i="13"/>
  <c r="AF214" i="13"/>
  <c r="AH215" i="13"/>
  <c r="AJ215" i="13" s="1"/>
  <c r="AE215" i="13"/>
  <c r="V216" i="13"/>
  <c r="X216" i="13" s="1"/>
  <c r="N216" i="13"/>
  <c r="Q220" i="13"/>
  <c r="S220" i="13" s="1"/>
  <c r="AE228" i="13"/>
  <c r="AH228" i="13"/>
  <c r="AJ228" i="13" s="1"/>
  <c r="T184" i="13"/>
  <c r="Y184" i="13"/>
  <c r="Q189" i="13"/>
  <c r="S189" i="13" s="1"/>
  <c r="P186" i="13"/>
  <c r="AF189" i="13"/>
  <c r="Z186" i="13"/>
  <c r="Q191" i="13"/>
  <c r="S191" i="13" s="1"/>
  <c r="V191" i="13"/>
  <c r="X191" i="13" s="1"/>
  <c r="N191" i="13"/>
  <c r="U194" i="13"/>
  <c r="T200" i="13"/>
  <c r="V212" i="13"/>
  <c r="X212" i="13" s="1"/>
  <c r="N212" i="13"/>
  <c r="AK212" i="13" s="1"/>
  <c r="AK227" i="13"/>
  <c r="AE227" i="13"/>
  <c r="Q232" i="13"/>
  <c r="S232" i="13" s="1"/>
  <c r="V232" i="13"/>
  <c r="X232" i="13" s="1"/>
  <c r="N232" i="13"/>
  <c r="J231" i="13"/>
  <c r="P234" i="13"/>
  <c r="P153" i="13" s="1"/>
  <c r="V236" i="13"/>
  <c r="X236" i="13" s="1"/>
  <c r="N236" i="13"/>
  <c r="AK236" i="13" s="1"/>
  <c r="Q236" i="13"/>
  <c r="S236" i="13" s="1"/>
  <c r="Q255" i="13"/>
  <c r="V255" i="13"/>
  <c r="N255" i="13"/>
  <c r="J254" i="13"/>
  <c r="N254" i="13" s="1"/>
  <c r="AH255" i="13"/>
  <c r="N162" i="13"/>
  <c r="AK162" i="13" s="1"/>
  <c r="N163" i="13"/>
  <c r="AH169" i="13"/>
  <c r="AJ169" i="13" s="1"/>
  <c r="AK174" i="13"/>
  <c r="V176" i="13"/>
  <c r="X176" i="13" s="1"/>
  <c r="AF178" i="13"/>
  <c r="T179" i="13"/>
  <c r="V180" i="13"/>
  <c r="X180" i="13" s="1"/>
  <c r="Q181" i="13"/>
  <c r="S181" i="13" s="1"/>
  <c r="V181" i="13"/>
  <c r="X181" i="13" s="1"/>
  <c r="N181" i="13"/>
  <c r="AH181" i="13"/>
  <c r="AJ181" i="13" s="1"/>
  <c r="AE184" i="13"/>
  <c r="AH184" i="13"/>
  <c r="AJ184" i="13" s="1"/>
  <c r="J186" i="13"/>
  <c r="AE187" i="13"/>
  <c r="AH187" i="13"/>
  <c r="AJ187" i="13" s="1"/>
  <c r="T189" i="13"/>
  <c r="AG189" i="13"/>
  <c r="F195" i="13"/>
  <c r="F194" i="13" s="1"/>
  <c r="T196" i="13"/>
  <c r="AK202" i="13"/>
  <c r="Y202" i="13"/>
  <c r="J204" i="13"/>
  <c r="V204" i="13" s="1"/>
  <c r="X204" i="13" s="1"/>
  <c r="AF204" i="13"/>
  <c r="N207" i="13"/>
  <c r="AH207" i="13"/>
  <c r="AJ207" i="13" s="1"/>
  <c r="AE207" i="13"/>
  <c r="Q208" i="13"/>
  <c r="S208" i="13" s="1"/>
  <c r="N208" i="13"/>
  <c r="AK208" i="13" s="1"/>
  <c r="AH208" i="13"/>
  <c r="AJ208" i="13" s="1"/>
  <c r="AE208" i="13"/>
  <c r="AH210" i="13"/>
  <c r="AJ210" i="13" s="1"/>
  <c r="AE210" i="13"/>
  <c r="Q212" i="13"/>
  <c r="S212" i="13" s="1"/>
  <c r="J218" i="13"/>
  <c r="F227" i="13"/>
  <c r="AE230" i="13"/>
  <c r="AH230" i="13"/>
  <c r="AJ230" i="13" s="1"/>
  <c r="U234" i="13"/>
  <c r="AD234" i="13"/>
  <c r="AD153" i="13" s="1"/>
  <c r="AD10" i="13" s="1"/>
  <c r="AK239" i="13"/>
  <c r="AE239" i="13"/>
  <c r="AH239" i="13"/>
  <c r="AJ239" i="13" s="1"/>
  <c r="Q245" i="13"/>
  <c r="S245" i="13" s="1"/>
  <c r="V245" i="13"/>
  <c r="X245" i="13" s="1"/>
  <c r="N245" i="13"/>
  <c r="AK245" i="13" s="1"/>
  <c r="J244" i="13"/>
  <c r="AG251" i="13"/>
  <c r="AE252" i="13"/>
  <c r="AH252" i="13"/>
  <c r="AJ252" i="13" s="1"/>
  <c r="V190" i="13"/>
  <c r="X190" i="13" s="1"/>
  <c r="AK200" i="13"/>
  <c r="V209" i="13"/>
  <c r="X209" i="13" s="1"/>
  <c r="AH209" i="13"/>
  <c r="AJ209" i="13" s="1"/>
  <c r="AF211" i="13"/>
  <c r="AH212" i="13"/>
  <c r="AJ212" i="13" s="1"/>
  <c r="V215" i="13"/>
  <c r="X215" i="13" s="1"/>
  <c r="N215" i="13"/>
  <c r="AK215" i="13" s="1"/>
  <c r="AH216" i="13"/>
  <c r="AJ216" i="13" s="1"/>
  <c r="V217" i="13"/>
  <c r="X217" i="13" s="1"/>
  <c r="N217" i="13"/>
  <c r="V219" i="13"/>
  <c r="X219" i="13" s="1"/>
  <c r="N219" i="13"/>
  <c r="AH220" i="13"/>
  <c r="AJ220" i="13" s="1"/>
  <c r="Q223" i="13"/>
  <c r="S223" i="13" s="1"/>
  <c r="V223" i="13"/>
  <c r="X223" i="13" s="1"/>
  <c r="J222" i="13"/>
  <c r="N223" i="13"/>
  <c r="AH223" i="13"/>
  <c r="AJ223" i="13" s="1"/>
  <c r="AF235" i="13"/>
  <c r="Z234" i="13"/>
  <c r="T248" i="13"/>
  <c r="AK248" i="13"/>
  <c r="Y248" i="13"/>
  <c r="N193" i="13"/>
  <c r="AK193" i="13" s="1"/>
  <c r="AH197" i="13"/>
  <c r="AJ197" i="13" s="1"/>
  <c r="F204" i="13"/>
  <c r="F203" i="13" s="1"/>
  <c r="N205" i="13"/>
  <c r="AH206" i="13"/>
  <c r="AJ206" i="13" s="1"/>
  <c r="V210" i="13"/>
  <c r="X210" i="13" s="1"/>
  <c r="N210" i="13"/>
  <c r="L213" i="13"/>
  <c r="Q215" i="13"/>
  <c r="S215" i="13" s="1"/>
  <c r="Q217" i="13"/>
  <c r="S217" i="13" s="1"/>
  <c r="Q219" i="13"/>
  <c r="S219" i="13" s="1"/>
  <c r="T224" i="13"/>
  <c r="Y225" i="13"/>
  <c r="T225" i="13"/>
  <c r="Q233" i="13"/>
  <c r="S233" i="13" s="1"/>
  <c r="V233" i="13"/>
  <c r="X233" i="13" s="1"/>
  <c r="N233" i="13"/>
  <c r="AH233" i="13"/>
  <c r="AJ233" i="13" s="1"/>
  <c r="AA259" i="13"/>
  <c r="AF259" i="13" s="1"/>
  <c r="AF260" i="13"/>
  <c r="Z213" i="13"/>
  <c r="AF221" i="13"/>
  <c r="AH224" i="13"/>
  <c r="AJ224" i="13" s="1"/>
  <c r="V227" i="13"/>
  <c r="X227" i="13" s="1"/>
  <c r="AF237" i="13"/>
  <c r="AE238" i="13"/>
  <c r="AG237" i="13"/>
  <c r="U250" i="13"/>
  <c r="AF227" i="13"/>
  <c r="L234" i="13"/>
  <c r="AK240" i="13"/>
  <c r="AE240" i="13"/>
  <c r="AE243" i="13"/>
  <c r="AE249" i="13"/>
  <c r="AK249" i="13"/>
  <c r="AA250" i="13"/>
  <c r="V252" i="13"/>
  <c r="X252" i="13" s="1"/>
  <c r="N252" i="13"/>
  <c r="AK252" i="13" s="1"/>
  <c r="J251" i="13"/>
  <c r="Q252" i="13"/>
  <c r="S252" i="13" s="1"/>
  <c r="M256" i="13"/>
  <c r="N256" i="13" s="1"/>
  <c r="N257" i="13"/>
  <c r="AE258" i="13"/>
  <c r="AH258" i="13"/>
  <c r="AJ258" i="13" s="1"/>
  <c r="AK258" i="13"/>
  <c r="AG257" i="13"/>
  <c r="AE245" i="13"/>
  <c r="Q247" i="13"/>
  <c r="S247" i="13" s="1"/>
  <c r="V247" i="13"/>
  <c r="X247" i="13" s="1"/>
  <c r="N247" i="13"/>
  <c r="AE253" i="13"/>
  <c r="N228" i="13"/>
  <c r="N229" i="13"/>
  <c r="AK229" i="13" s="1"/>
  <c r="N230" i="13"/>
  <c r="AH236" i="13"/>
  <c r="AJ236" i="13" s="1"/>
  <c r="AF243" i="13"/>
  <c r="AG244" i="13"/>
  <c r="AF244" i="13"/>
  <c r="AH245" i="13"/>
  <c r="AJ245" i="13" s="1"/>
  <c r="T249" i="13"/>
  <c r="P250" i="13"/>
  <c r="AF251" i="13"/>
  <c r="Z250" i="13"/>
  <c r="AH253" i="13"/>
  <c r="AJ253" i="13" s="1"/>
  <c r="Q256" i="13"/>
  <c r="S256" i="13" s="1"/>
  <c r="T258" i="13"/>
  <c r="Y258" i="13"/>
  <c r="T246" i="13"/>
  <c r="N253" i="13"/>
  <c r="AH48" i="13" l="1"/>
  <c r="AJ48" i="13" s="1"/>
  <c r="AK139" i="13"/>
  <c r="AD15" i="13"/>
  <c r="H137" i="13"/>
  <c r="H106" i="13" s="1"/>
  <c r="L153" i="13"/>
  <c r="L10" i="13" s="1"/>
  <c r="AK196" i="13"/>
  <c r="AK104" i="13"/>
  <c r="Y36" i="13"/>
  <c r="T36" i="13"/>
  <c r="H234" i="13"/>
  <c r="H153" i="13" s="1"/>
  <c r="H10" i="13" s="1"/>
  <c r="AH103" i="13"/>
  <c r="AJ103" i="13" s="1"/>
  <c r="H29" i="13"/>
  <c r="AB28" i="13"/>
  <c r="T90" i="13"/>
  <c r="Y241" i="13"/>
  <c r="AC152" i="13"/>
  <c r="N138" i="13"/>
  <c r="AH51" i="13"/>
  <c r="AJ51" i="13" s="1"/>
  <c r="M54" i="13"/>
  <c r="AB151" i="13"/>
  <c r="AB14" i="13" s="1"/>
  <c r="J39" i="13"/>
  <c r="AK170" i="13"/>
  <c r="AK111" i="13"/>
  <c r="AH100" i="13"/>
  <c r="AJ100" i="13" s="1"/>
  <c r="Y25" i="13"/>
  <c r="AF55" i="13"/>
  <c r="AK192" i="13"/>
  <c r="AK182" i="13"/>
  <c r="V158" i="13"/>
  <c r="X158" i="13" s="1"/>
  <c r="AH164" i="13"/>
  <c r="AJ164" i="13" s="1"/>
  <c r="V138" i="13"/>
  <c r="X138" i="13" s="1"/>
  <c r="Q158" i="13"/>
  <c r="S158" i="13" s="1"/>
  <c r="AC106" i="13"/>
  <c r="AC13" i="13" s="1"/>
  <c r="T21" i="13"/>
  <c r="Y170" i="13"/>
  <c r="Y164" i="13"/>
  <c r="Q21" i="13"/>
  <c r="S21" i="13" s="1"/>
  <c r="AG203" i="13"/>
  <c r="AG39" i="13"/>
  <c r="AH39" i="13" s="1"/>
  <c r="AJ39" i="13" s="1"/>
  <c r="AH231" i="13"/>
  <c r="AJ231" i="13" s="1"/>
  <c r="V182" i="13"/>
  <c r="X182" i="13" s="1"/>
  <c r="AD106" i="13"/>
  <c r="AD13" i="13" s="1"/>
  <c r="AK81" i="13"/>
  <c r="Y31" i="13"/>
  <c r="AF177" i="13"/>
  <c r="AK25" i="13"/>
  <c r="Q227" i="13"/>
  <c r="S227" i="13" s="1"/>
  <c r="AF213" i="13"/>
  <c r="AE211" i="13"/>
  <c r="AK175" i="13"/>
  <c r="Q164" i="13"/>
  <c r="S164" i="13" s="1"/>
  <c r="T206" i="13"/>
  <c r="L106" i="13"/>
  <c r="AE40" i="13"/>
  <c r="AE108" i="13"/>
  <c r="Y38" i="13"/>
  <c r="AH168" i="13"/>
  <c r="AJ168" i="13" s="1"/>
  <c r="J76" i="13"/>
  <c r="V76" i="13" s="1"/>
  <c r="X76" i="13" s="1"/>
  <c r="J86" i="13"/>
  <c r="AK171" i="13"/>
  <c r="L28" i="13"/>
  <c r="L15" i="13" s="1"/>
  <c r="V91" i="13"/>
  <c r="X91" i="13" s="1"/>
  <c r="AK31" i="13"/>
  <c r="Y175" i="13"/>
  <c r="AF54" i="13"/>
  <c r="L152" i="13"/>
  <c r="AE218" i="13"/>
  <c r="AH218" i="13"/>
  <c r="AJ218" i="13" s="1"/>
  <c r="AK206" i="13"/>
  <c r="AH192" i="13"/>
  <c r="AJ192" i="13" s="1"/>
  <c r="AH227" i="13"/>
  <c r="AJ227" i="13" s="1"/>
  <c r="AE192" i="13"/>
  <c r="Y187" i="13"/>
  <c r="Y197" i="13"/>
  <c r="Q195" i="13"/>
  <c r="S195" i="13" s="1"/>
  <c r="T138" i="13"/>
  <c r="T81" i="13"/>
  <c r="H55" i="13"/>
  <c r="H54" i="13" s="1"/>
  <c r="Y21" i="13"/>
  <c r="Y227" i="13"/>
  <c r="Q91" i="13"/>
  <c r="S91" i="13" s="1"/>
  <c r="O106" i="13"/>
  <c r="O13" i="13" s="1"/>
  <c r="AK246" i="13"/>
  <c r="Q182" i="13"/>
  <c r="S182" i="13" s="1"/>
  <c r="AF203" i="13"/>
  <c r="Y172" i="13"/>
  <c r="T182" i="13"/>
  <c r="J56" i="13"/>
  <c r="AH56" i="13" s="1"/>
  <c r="AJ56" i="13" s="1"/>
  <c r="N51" i="13"/>
  <c r="AK51" i="13" s="1"/>
  <c r="O152" i="13"/>
  <c r="O9" i="13" s="1"/>
  <c r="O15" i="13"/>
  <c r="O8" i="13" s="1"/>
  <c r="H28" i="13"/>
  <c r="H15" i="13" s="1"/>
  <c r="H8" i="13" s="1"/>
  <c r="AK224" i="13"/>
  <c r="H213" i="13"/>
  <c r="AG186" i="13"/>
  <c r="AE186" i="13" s="1"/>
  <c r="AH182" i="13"/>
  <c r="AJ182" i="13" s="1"/>
  <c r="Y174" i="13"/>
  <c r="AH211" i="13"/>
  <c r="AJ211" i="13" s="1"/>
  <c r="Y182" i="13"/>
  <c r="AK211" i="13"/>
  <c r="AC151" i="13"/>
  <c r="AC14" i="13" s="1"/>
  <c r="AK40" i="13"/>
  <c r="Q51" i="13"/>
  <c r="S51" i="13" s="1"/>
  <c r="AH111" i="13"/>
  <c r="AJ111" i="13" s="1"/>
  <c r="T72" i="13"/>
  <c r="H194" i="13"/>
  <c r="H185" i="13" s="1"/>
  <c r="AB152" i="13"/>
  <c r="AB9" i="13" s="1"/>
  <c r="AK172" i="13"/>
  <c r="Y95" i="13"/>
  <c r="Y40" i="13"/>
  <c r="AH178" i="13"/>
  <c r="AJ178" i="13" s="1"/>
  <c r="AB15" i="13"/>
  <c r="M152" i="13"/>
  <c r="O12" i="13"/>
  <c r="O151" i="13"/>
  <c r="O14" i="13" s="1"/>
  <c r="T195" i="13"/>
  <c r="Y195" i="13"/>
  <c r="T75" i="13"/>
  <c r="Y75" i="13"/>
  <c r="AA151" i="13"/>
  <c r="AA14" i="13" s="1"/>
  <c r="F154" i="13"/>
  <c r="V168" i="13"/>
  <c r="X168" i="13" s="1"/>
  <c r="N58" i="13"/>
  <c r="AK58" i="13" s="1"/>
  <c r="T159" i="13"/>
  <c r="Y159" i="13"/>
  <c r="Q237" i="13"/>
  <c r="S237" i="13" s="1"/>
  <c r="V237" i="13"/>
  <c r="X237" i="13" s="1"/>
  <c r="N237" i="13"/>
  <c r="AK237" i="13" s="1"/>
  <c r="V195" i="13"/>
  <c r="X195" i="13" s="1"/>
  <c r="T187" i="13"/>
  <c r="T238" i="13"/>
  <c r="J194" i="13"/>
  <c r="N194" i="13" s="1"/>
  <c r="T194" i="13" s="1"/>
  <c r="Q168" i="13"/>
  <c r="S168" i="13" s="1"/>
  <c r="AE164" i="13"/>
  <c r="AG161" i="13"/>
  <c r="AK95" i="13"/>
  <c r="AC15" i="13"/>
  <c r="AC8" i="13" s="1"/>
  <c r="M151" i="13"/>
  <c r="M14" i="13" s="1"/>
  <c r="AE78" i="13"/>
  <c r="V58" i="13"/>
  <c r="X58" i="13" s="1"/>
  <c r="T38" i="13"/>
  <c r="AK75" i="13"/>
  <c r="Y160" i="13"/>
  <c r="T160" i="13"/>
  <c r="Z85" i="13"/>
  <c r="AF86" i="13"/>
  <c r="T79" i="13"/>
  <c r="Y79" i="13"/>
  <c r="AH260" i="13"/>
  <c r="AJ260" i="13" s="1"/>
  <c r="AE260" i="13"/>
  <c r="AG259" i="13"/>
  <c r="AK197" i="13"/>
  <c r="T139" i="13"/>
  <c r="Q39" i="13"/>
  <c r="S39" i="13" s="1"/>
  <c r="Y261" i="13"/>
  <c r="T261" i="13"/>
  <c r="Y242" i="13"/>
  <c r="T242" i="13"/>
  <c r="AH149" i="13"/>
  <c r="AJ149" i="13" s="1"/>
  <c r="AG148" i="13"/>
  <c r="AH148" i="13" s="1"/>
  <c r="AJ148" i="13" s="1"/>
  <c r="U16" i="13"/>
  <c r="Y238" i="13"/>
  <c r="Y130" i="13"/>
  <c r="Q58" i="13"/>
  <c r="S58" i="13" s="1"/>
  <c r="F15" i="13"/>
  <c r="F12" i="13" s="1"/>
  <c r="AK168" i="13"/>
  <c r="AE178" i="13"/>
  <c r="AG177" i="13"/>
  <c r="AE177" i="13" s="1"/>
  <c r="F234" i="13"/>
  <c r="F153" i="13" s="1"/>
  <c r="F10" i="13" s="1"/>
  <c r="AK242" i="13"/>
  <c r="L151" i="13"/>
  <c r="L14" i="13" s="1"/>
  <c r="F213" i="13"/>
  <c r="AK164" i="13"/>
  <c r="J167" i="13"/>
  <c r="N167" i="13" s="1"/>
  <c r="Y167" i="13" s="1"/>
  <c r="V164" i="13"/>
  <c r="X164" i="13" s="1"/>
  <c r="J161" i="13"/>
  <c r="N161" i="13" s="1"/>
  <c r="AG94" i="13"/>
  <c r="AE94" i="13" s="1"/>
  <c r="AF77" i="13"/>
  <c r="N78" i="13"/>
  <c r="Y78" i="13" s="1"/>
  <c r="Y90" i="13"/>
  <c r="M107" i="13"/>
  <c r="N77" i="13"/>
  <c r="Y77" i="13" s="1"/>
  <c r="T156" i="13"/>
  <c r="Y156" i="13"/>
  <c r="J259" i="13"/>
  <c r="N260" i="13"/>
  <c r="V260" i="13"/>
  <c r="X260" i="13" s="1"/>
  <c r="Q260" i="13"/>
  <c r="S260" i="13" s="1"/>
  <c r="AK149" i="13"/>
  <c r="AE222" i="13"/>
  <c r="AG221" i="13"/>
  <c r="AE221" i="13" s="1"/>
  <c r="Q138" i="13"/>
  <c r="S138" i="13" s="1"/>
  <c r="M39" i="13"/>
  <c r="M28" i="13" s="1"/>
  <c r="AC12" i="13"/>
  <c r="P10" i="13"/>
  <c r="T253" i="13"/>
  <c r="Y253" i="13"/>
  <c r="T230" i="13"/>
  <c r="Y230" i="13"/>
  <c r="Y257" i="13"/>
  <c r="T257" i="13"/>
  <c r="AF234" i="13"/>
  <c r="Z153" i="13"/>
  <c r="Y217" i="13"/>
  <c r="T217" i="13"/>
  <c r="Q244" i="13"/>
  <c r="S244" i="13" s="1"/>
  <c r="V244" i="13"/>
  <c r="X244" i="13" s="1"/>
  <c r="N244" i="13"/>
  <c r="AK244" i="13" s="1"/>
  <c r="J243" i="13"/>
  <c r="J234" i="13" s="1"/>
  <c r="Y207" i="13"/>
  <c r="T207" i="13"/>
  <c r="N186" i="13"/>
  <c r="Y186" i="13" s="1"/>
  <c r="T163" i="13"/>
  <c r="Y163" i="13"/>
  <c r="Y216" i="13"/>
  <c r="T216" i="13"/>
  <c r="AE158" i="13"/>
  <c r="AH158" i="13"/>
  <c r="AJ158" i="13" s="1"/>
  <c r="AK158" i="13"/>
  <c r="Y146" i="13"/>
  <c r="T146" i="13"/>
  <c r="AK146" i="13"/>
  <c r="AE244" i="13"/>
  <c r="AH244" i="13"/>
  <c r="AJ244" i="13" s="1"/>
  <c r="T228" i="13"/>
  <c r="Y228" i="13"/>
  <c r="Y247" i="13"/>
  <c r="T247" i="13"/>
  <c r="AH237" i="13"/>
  <c r="AJ237" i="13" s="1"/>
  <c r="AE237" i="13"/>
  <c r="Y205" i="13"/>
  <c r="T205" i="13"/>
  <c r="AK205" i="13"/>
  <c r="Y219" i="13"/>
  <c r="T219" i="13"/>
  <c r="AK216" i="13"/>
  <c r="AE251" i="13"/>
  <c r="AG250" i="13"/>
  <c r="AH251" i="13"/>
  <c r="AJ251" i="13" s="1"/>
  <c r="AK207" i="13"/>
  <c r="AH254" i="13"/>
  <c r="AJ255" i="13"/>
  <c r="AJ254" i="13" s="1"/>
  <c r="Q254" i="13"/>
  <c r="S255" i="13"/>
  <c r="S254" i="13" s="1"/>
  <c r="Q231" i="13"/>
  <c r="S231" i="13" s="1"/>
  <c r="V231" i="13"/>
  <c r="X231" i="13" s="1"/>
  <c r="N231" i="13"/>
  <c r="Q186" i="13"/>
  <c r="S186" i="13" s="1"/>
  <c r="P185" i="13"/>
  <c r="P152" i="13" s="1"/>
  <c r="AK228" i="13"/>
  <c r="AE214" i="13"/>
  <c r="T192" i="13"/>
  <c r="Y192" i="13"/>
  <c r="Y188" i="13"/>
  <c r="T188" i="13"/>
  <c r="AK188" i="13"/>
  <c r="AK219" i="13"/>
  <c r="V186" i="13"/>
  <c r="X186" i="13" s="1"/>
  <c r="U185" i="13"/>
  <c r="U152" i="13" s="1"/>
  <c r="AE143" i="13"/>
  <c r="AH143" i="13"/>
  <c r="AJ143" i="13" s="1"/>
  <c r="V137" i="13"/>
  <c r="X137" i="13" s="1"/>
  <c r="AA152" i="13"/>
  <c r="AF108" i="13"/>
  <c r="Z107" i="13"/>
  <c r="AK163" i="13"/>
  <c r="Y108" i="13"/>
  <c r="T108" i="13"/>
  <c r="AK138" i="13"/>
  <c r="AH138" i="13"/>
  <c r="AJ138" i="13" s="1"/>
  <c r="AE138" i="13"/>
  <c r="AG137" i="13"/>
  <c r="U127" i="13"/>
  <c r="V128" i="13"/>
  <c r="X128" i="13" s="1"/>
  <c r="Y102" i="13"/>
  <c r="T102" i="13"/>
  <c r="V86" i="13"/>
  <c r="X86" i="13" s="1"/>
  <c r="U85" i="13"/>
  <c r="J16" i="13"/>
  <c r="V17" i="13"/>
  <c r="X17" i="13" s="1"/>
  <c r="N17" i="13"/>
  <c r="AK17" i="13" s="1"/>
  <c r="Q17" i="13"/>
  <c r="S17" i="13" s="1"/>
  <c r="AH119" i="13"/>
  <c r="AJ119" i="13" s="1"/>
  <c r="AK119" i="13"/>
  <c r="AE119" i="13"/>
  <c r="Y101" i="13"/>
  <c r="T101" i="13"/>
  <c r="AF39" i="13"/>
  <c r="Z28" i="13"/>
  <c r="AH30" i="13"/>
  <c r="AJ30" i="13" s="1"/>
  <c r="AG29" i="13"/>
  <c r="AE30" i="13"/>
  <c r="AK108" i="13"/>
  <c r="AK124" i="13"/>
  <c r="AE124" i="13"/>
  <c r="AK35" i="13"/>
  <c r="AE35" i="13"/>
  <c r="AH35" i="13"/>
  <c r="AJ35" i="13" s="1"/>
  <c r="AK22" i="13"/>
  <c r="AH22" i="13"/>
  <c r="AJ22" i="13" s="1"/>
  <c r="AE22" i="13"/>
  <c r="AG21" i="13"/>
  <c r="AG16" i="13" s="1"/>
  <c r="V39" i="13"/>
  <c r="X39" i="13" s="1"/>
  <c r="AA107" i="13"/>
  <c r="AF250" i="13"/>
  <c r="AG235" i="13"/>
  <c r="N251" i="13"/>
  <c r="J250" i="13"/>
  <c r="N250" i="13" s="1"/>
  <c r="T250" i="13" s="1"/>
  <c r="Q251" i="13"/>
  <c r="S251" i="13" s="1"/>
  <c r="V251" i="13"/>
  <c r="X251" i="13" s="1"/>
  <c r="Y210" i="13"/>
  <c r="T210" i="13"/>
  <c r="T193" i="13"/>
  <c r="Y193" i="13"/>
  <c r="Y223" i="13"/>
  <c r="AK223" i="13"/>
  <c r="T223" i="13"/>
  <c r="N218" i="13"/>
  <c r="Q218" i="13"/>
  <c r="S218" i="13" s="1"/>
  <c r="V218" i="13"/>
  <c r="X218" i="13" s="1"/>
  <c r="AK210" i="13"/>
  <c r="Y208" i="13"/>
  <c r="T208" i="13"/>
  <c r="J203" i="13"/>
  <c r="N204" i="13"/>
  <c r="AK189" i="13"/>
  <c r="AE189" i="13"/>
  <c r="AH189" i="13"/>
  <c r="AJ189" i="13" s="1"/>
  <c r="F185" i="13"/>
  <c r="AK181" i="13"/>
  <c r="Y181" i="13"/>
  <c r="T181" i="13"/>
  <c r="Y254" i="13"/>
  <c r="T254" i="13"/>
  <c r="AK254" i="13"/>
  <c r="N235" i="13"/>
  <c r="Q235" i="13"/>
  <c r="S235" i="13" s="1"/>
  <c r="AK232" i="13"/>
  <c r="T232" i="13"/>
  <c r="Y232" i="13"/>
  <c r="Q204" i="13"/>
  <c r="S204" i="13" s="1"/>
  <c r="J214" i="13"/>
  <c r="AH214" i="13" s="1"/>
  <c r="AJ214" i="13" s="1"/>
  <c r="AH204" i="13"/>
  <c r="AJ204" i="13" s="1"/>
  <c r="AK195" i="13"/>
  <c r="AE195" i="13"/>
  <c r="AG194" i="13"/>
  <c r="AH195" i="13"/>
  <c r="AJ195" i="13" s="1"/>
  <c r="Y180" i="13"/>
  <c r="T180" i="13"/>
  <c r="AK180" i="13"/>
  <c r="Y166" i="13"/>
  <c r="T166" i="13"/>
  <c r="Y220" i="13"/>
  <c r="T220" i="13"/>
  <c r="M143" i="13"/>
  <c r="N145" i="13"/>
  <c r="Y138" i="13"/>
  <c r="Q128" i="13"/>
  <c r="S128" i="13" s="1"/>
  <c r="P127" i="13"/>
  <c r="AE91" i="13"/>
  <c r="AK91" i="13"/>
  <c r="AH91" i="13"/>
  <c r="AJ91" i="13" s="1"/>
  <c r="N114" i="13"/>
  <c r="T114" i="13" s="1"/>
  <c r="J107" i="13"/>
  <c r="Q107" i="13" s="1"/>
  <c r="S107" i="13" s="1"/>
  <c r="AK101" i="13"/>
  <c r="Q167" i="13"/>
  <c r="S167" i="13" s="1"/>
  <c r="AA85" i="13"/>
  <c r="AE56" i="13"/>
  <c r="AG55" i="13"/>
  <c r="Y53" i="13"/>
  <c r="T53" i="13"/>
  <c r="Q148" i="13"/>
  <c r="S148" i="13" s="1"/>
  <c r="T148" i="13"/>
  <c r="AE77" i="13"/>
  <c r="AG76" i="13"/>
  <c r="AH77" i="13"/>
  <c r="AJ77" i="13" s="1"/>
  <c r="Q114" i="13"/>
  <c r="S114" i="13" s="1"/>
  <c r="N103" i="13"/>
  <c r="Q103" i="13"/>
  <c r="S103" i="13" s="1"/>
  <c r="V103" i="13"/>
  <c r="X103" i="13" s="1"/>
  <c r="U28" i="13"/>
  <c r="AD8" i="13"/>
  <c r="AD12" i="13"/>
  <c r="U107" i="13"/>
  <c r="V114" i="13"/>
  <c r="X114" i="13" s="1"/>
  <c r="AK45" i="13"/>
  <c r="AE45" i="13"/>
  <c r="P28" i="13"/>
  <c r="AF16" i="13"/>
  <c r="T77" i="13"/>
  <c r="AE257" i="13"/>
  <c r="AH257" i="13"/>
  <c r="AJ257" i="13" s="1"/>
  <c r="AK257" i="13"/>
  <c r="AG256" i="13"/>
  <c r="T252" i="13"/>
  <c r="Y252" i="13"/>
  <c r="AK233" i="13"/>
  <c r="Y233" i="13"/>
  <c r="T233" i="13"/>
  <c r="V222" i="13"/>
  <c r="X222" i="13" s="1"/>
  <c r="Q222" i="13"/>
  <c r="S222" i="13" s="1"/>
  <c r="N222" i="13"/>
  <c r="J221" i="13"/>
  <c r="Y215" i="13"/>
  <c r="T215" i="13"/>
  <c r="AK255" i="13"/>
  <c r="T255" i="13"/>
  <c r="Y255" i="13"/>
  <c r="AF186" i="13"/>
  <c r="Z185" i="13"/>
  <c r="AE203" i="13"/>
  <c r="AD152" i="13"/>
  <c r="AD9" i="13" s="1"/>
  <c r="AD151" i="13"/>
  <c r="AD14" i="13" s="1"/>
  <c r="Q137" i="13"/>
  <c r="S137" i="13" s="1"/>
  <c r="AK134" i="13"/>
  <c r="AH134" i="13"/>
  <c r="AJ134" i="13" s="1"/>
  <c r="AE134" i="13"/>
  <c r="T119" i="13"/>
  <c r="Y119" i="13"/>
  <c r="T111" i="13"/>
  <c r="Y111" i="13"/>
  <c r="T32" i="13"/>
  <c r="Y32" i="13"/>
  <c r="T211" i="13"/>
  <c r="Y211" i="13"/>
  <c r="AE39" i="13"/>
  <c r="AK130" i="13"/>
  <c r="AG128" i="13"/>
  <c r="AE130" i="13"/>
  <c r="Y126" i="13"/>
  <c r="T126" i="13"/>
  <c r="N96" i="13"/>
  <c r="J94" i="13"/>
  <c r="V96" i="13"/>
  <c r="X96" i="13" s="1"/>
  <c r="Q96" i="13"/>
  <c r="S96" i="13" s="1"/>
  <c r="V56" i="13"/>
  <c r="X56" i="13" s="1"/>
  <c r="AK33" i="13"/>
  <c r="T33" i="13"/>
  <c r="Y33" i="13"/>
  <c r="Y34" i="13"/>
  <c r="AK34" i="13"/>
  <c r="T34" i="13"/>
  <c r="AF128" i="13"/>
  <c r="AA127" i="13"/>
  <c r="AF127" i="13" s="1"/>
  <c r="Y37" i="13"/>
  <c r="T37" i="13"/>
  <c r="V65" i="13"/>
  <c r="X65" i="13" s="1"/>
  <c r="N65" i="13"/>
  <c r="J63" i="13"/>
  <c r="AH63" i="13" s="1"/>
  <c r="AJ63" i="13" s="1"/>
  <c r="Q65" i="13"/>
  <c r="S65" i="13" s="1"/>
  <c r="AK167" i="13"/>
  <c r="AE167" i="13"/>
  <c r="P54" i="13"/>
  <c r="T229" i="13"/>
  <c r="Y229" i="13"/>
  <c r="AK253" i="13"/>
  <c r="Y256" i="13"/>
  <c r="T256" i="13"/>
  <c r="AH222" i="13"/>
  <c r="AJ222" i="13" s="1"/>
  <c r="AK247" i="13"/>
  <c r="Y245" i="13"/>
  <c r="T245" i="13"/>
  <c r="U153" i="13"/>
  <c r="AK230" i="13"/>
  <c r="T162" i="13"/>
  <c r="Y162" i="13"/>
  <c r="X255" i="13"/>
  <c r="V254" i="13"/>
  <c r="X254" i="13" s="1"/>
  <c r="Y236" i="13"/>
  <c r="T236" i="13"/>
  <c r="Y212" i="13"/>
  <c r="T212" i="13"/>
  <c r="AK191" i="13"/>
  <c r="Y191" i="13"/>
  <c r="T191" i="13"/>
  <c r="V178" i="13"/>
  <c r="X178" i="13" s="1"/>
  <c r="N178" i="13"/>
  <c r="J177" i="13"/>
  <c r="Q178" i="13"/>
  <c r="S178" i="13" s="1"/>
  <c r="Y176" i="13"/>
  <c r="T176" i="13"/>
  <c r="AK176" i="13"/>
  <c r="Y165" i="13"/>
  <c r="T165" i="13"/>
  <c r="AH155" i="13"/>
  <c r="AJ155" i="13" s="1"/>
  <c r="N155" i="13"/>
  <c r="AK217" i="13"/>
  <c r="Y199" i="13"/>
  <c r="T199" i="13"/>
  <c r="Z154" i="13"/>
  <c r="N128" i="13"/>
  <c r="T128" i="13" s="1"/>
  <c r="J127" i="13"/>
  <c r="N127" i="13" s="1"/>
  <c r="AK115" i="13"/>
  <c r="AG114" i="13"/>
  <c r="AH115" i="13"/>
  <c r="AJ115" i="13" s="1"/>
  <c r="AE115" i="13"/>
  <c r="AH96" i="13"/>
  <c r="AJ96" i="13" s="1"/>
  <c r="N30" i="13"/>
  <c r="J29" i="13"/>
  <c r="Q29" i="13" s="1"/>
  <c r="S29" i="13" s="1"/>
  <c r="AK186" i="13"/>
  <c r="AF76" i="13"/>
  <c r="Y98" i="13"/>
  <c r="T98" i="13"/>
  <c r="AE87" i="13"/>
  <c r="AG86" i="13"/>
  <c r="AK87" i="13"/>
  <c r="AH87" i="13"/>
  <c r="AJ87" i="13" s="1"/>
  <c r="AE63" i="13"/>
  <c r="AH17" i="13"/>
  <c r="AJ17" i="13" s="1"/>
  <c r="AE17" i="13"/>
  <c r="N100" i="13"/>
  <c r="V100" i="13"/>
  <c r="X100" i="13" s="1"/>
  <c r="Q100" i="13"/>
  <c r="S100" i="13" s="1"/>
  <c r="Y99" i="13"/>
  <c r="T99" i="13"/>
  <c r="Y97" i="13"/>
  <c r="T97" i="13"/>
  <c r="T58" i="13"/>
  <c r="V30" i="13"/>
  <c r="X30" i="13" s="1"/>
  <c r="T104" i="13"/>
  <c r="Y104" i="13"/>
  <c r="T51" i="13"/>
  <c r="AK37" i="13"/>
  <c r="T115" i="13"/>
  <c r="Y115" i="13"/>
  <c r="Q155" i="13"/>
  <c r="S155" i="13" s="1"/>
  <c r="AH72" i="13"/>
  <c r="AJ72" i="13" s="1"/>
  <c r="AK72" i="13"/>
  <c r="AE72" i="13"/>
  <c r="N56" i="13" l="1"/>
  <c r="AK56" i="13" s="1"/>
  <c r="Y194" i="13"/>
  <c r="H13" i="13"/>
  <c r="G106" i="13"/>
  <c r="V161" i="13"/>
  <c r="X161" i="13" s="1"/>
  <c r="Q161" i="13"/>
  <c r="S161" i="13" s="1"/>
  <c r="AC9" i="13"/>
  <c r="AC6" i="13" s="1"/>
  <c r="N76" i="13"/>
  <c r="Y76" i="13" s="1"/>
  <c r="AF85" i="13"/>
  <c r="M15" i="13"/>
  <c r="M8" i="13" s="1"/>
  <c r="Q76" i="13"/>
  <c r="S76" i="13" s="1"/>
  <c r="L9" i="13"/>
  <c r="J185" i="13"/>
  <c r="N185" i="13" s="1"/>
  <c r="AH186" i="13"/>
  <c r="AJ186" i="13" s="1"/>
  <c r="P151" i="13"/>
  <c r="T186" i="13"/>
  <c r="Y250" i="13"/>
  <c r="AH161" i="13"/>
  <c r="AJ161" i="13" s="1"/>
  <c r="F152" i="13"/>
  <c r="F9" i="13" s="1"/>
  <c r="AG154" i="13"/>
  <c r="AE154" i="13" s="1"/>
  <c r="Y51" i="13"/>
  <c r="H12" i="13"/>
  <c r="T167" i="13"/>
  <c r="V167" i="13"/>
  <c r="X167" i="13" s="1"/>
  <c r="O6" i="13"/>
  <c r="L13" i="13"/>
  <c r="AH167" i="13"/>
  <c r="AJ167" i="13" s="1"/>
  <c r="J55" i="13"/>
  <c r="Q55" i="13" s="1"/>
  <c r="S55" i="13" s="1"/>
  <c r="Q56" i="13"/>
  <c r="S56" i="13" s="1"/>
  <c r="N86" i="13"/>
  <c r="Q86" i="13"/>
  <c r="S86" i="13" s="1"/>
  <c r="H152" i="13"/>
  <c r="H9" i="13" s="1"/>
  <c r="H6" i="13" s="1"/>
  <c r="H151" i="13"/>
  <c r="H14" i="13" s="1"/>
  <c r="AK148" i="13"/>
  <c r="AE148" i="13"/>
  <c r="F8" i="13"/>
  <c r="F6" i="13" s="1"/>
  <c r="AB8" i="13"/>
  <c r="AB6" i="13" s="1"/>
  <c r="AB12" i="13"/>
  <c r="AK161" i="13"/>
  <c r="L12" i="13"/>
  <c r="L8" i="13"/>
  <c r="Y237" i="13"/>
  <c r="T237" i="13"/>
  <c r="AH259" i="13"/>
  <c r="AJ259" i="13" s="1"/>
  <c r="AE259" i="13"/>
  <c r="AK78" i="13"/>
  <c r="T78" i="13"/>
  <c r="J154" i="13"/>
  <c r="AH154" i="13" s="1"/>
  <c r="AJ154" i="13" s="1"/>
  <c r="AK77" i="13"/>
  <c r="AE161" i="13"/>
  <c r="AA106" i="13"/>
  <c r="AA13" i="13" s="1"/>
  <c r="AG213" i="13"/>
  <c r="AE213" i="13" s="1"/>
  <c r="F151" i="13"/>
  <c r="F14" i="13" s="1"/>
  <c r="N259" i="13"/>
  <c r="AK259" i="13" s="1"/>
  <c r="V259" i="13"/>
  <c r="X259" i="13" s="1"/>
  <c r="Q259" i="13"/>
  <c r="S259" i="13" s="1"/>
  <c r="AM259" i="13"/>
  <c r="AO259" i="13" s="1"/>
  <c r="Y260" i="13"/>
  <c r="AK260" i="13"/>
  <c r="T260" i="13"/>
  <c r="Y58" i="13"/>
  <c r="Q194" i="13"/>
  <c r="S194" i="13" s="1"/>
  <c r="AH94" i="13"/>
  <c r="AJ94" i="13" s="1"/>
  <c r="AD6" i="13"/>
  <c r="Y128" i="13"/>
  <c r="V194" i="13"/>
  <c r="X194" i="13" s="1"/>
  <c r="N39" i="13"/>
  <c r="N234" i="13"/>
  <c r="Q234" i="13"/>
  <c r="S234" i="13" s="1"/>
  <c r="V234" i="13"/>
  <c r="X234" i="13" s="1"/>
  <c r="AF154" i="13"/>
  <c r="Z152" i="13"/>
  <c r="AF152" i="13" s="1"/>
  <c r="Z151" i="13"/>
  <c r="AE256" i="13"/>
  <c r="AH256" i="13"/>
  <c r="AJ256" i="13" s="1"/>
  <c r="AK256" i="13"/>
  <c r="Q127" i="13"/>
  <c r="S127" i="13" s="1"/>
  <c r="T127" i="13"/>
  <c r="N203" i="13"/>
  <c r="V203" i="13"/>
  <c r="X203" i="13" s="1"/>
  <c r="J153" i="13"/>
  <c r="V153" i="13" s="1"/>
  <c r="X153" i="13" s="1"/>
  <c r="Q203" i="13"/>
  <c r="S203" i="13" s="1"/>
  <c r="Y185" i="13"/>
  <c r="V185" i="13"/>
  <c r="X185" i="13" s="1"/>
  <c r="AH16" i="13"/>
  <c r="AJ16" i="13" s="1"/>
  <c r="AE16" i="13"/>
  <c r="AE86" i="13"/>
  <c r="AG85" i="13"/>
  <c r="AK86" i="13"/>
  <c r="AH86" i="13"/>
  <c r="AJ86" i="13" s="1"/>
  <c r="T30" i="13"/>
  <c r="Y30" i="13"/>
  <c r="AE114" i="13"/>
  <c r="AH114" i="13"/>
  <c r="AJ114" i="13" s="1"/>
  <c r="AK114" i="13"/>
  <c r="AG107" i="13"/>
  <c r="AK155" i="13"/>
  <c r="T155" i="13"/>
  <c r="Y155" i="13"/>
  <c r="U10" i="13"/>
  <c r="N63" i="13"/>
  <c r="V63" i="13"/>
  <c r="X63" i="13" s="1"/>
  <c r="Q63" i="13"/>
  <c r="S63" i="13" s="1"/>
  <c r="Y222" i="13"/>
  <c r="T222" i="13"/>
  <c r="AK222" i="13"/>
  <c r="P15" i="13"/>
  <c r="Y114" i="13"/>
  <c r="V29" i="13"/>
  <c r="X29" i="13" s="1"/>
  <c r="Y103" i="13"/>
  <c r="T103" i="13"/>
  <c r="AK103" i="13"/>
  <c r="P14" i="13"/>
  <c r="Y218" i="13"/>
  <c r="T218" i="13"/>
  <c r="AK218" i="13"/>
  <c r="AK235" i="13"/>
  <c r="AE235" i="13"/>
  <c r="AG234" i="13"/>
  <c r="AH235" i="13"/>
  <c r="AJ235" i="13" s="1"/>
  <c r="AE137" i="13"/>
  <c r="AH137" i="13"/>
  <c r="AJ137" i="13" s="1"/>
  <c r="AF107" i="13"/>
  <c r="Z106" i="13"/>
  <c r="Y231" i="13"/>
  <c r="T231" i="13"/>
  <c r="AK231" i="13"/>
  <c r="Y244" i="13"/>
  <c r="T244" i="13"/>
  <c r="Y100" i="13"/>
  <c r="T100" i="13"/>
  <c r="AK100" i="13"/>
  <c r="N177" i="13"/>
  <c r="AH177" i="13"/>
  <c r="AJ177" i="13" s="1"/>
  <c r="Q177" i="13"/>
  <c r="S177" i="13" s="1"/>
  <c r="V177" i="13"/>
  <c r="X177" i="13" s="1"/>
  <c r="Q250" i="13"/>
  <c r="S250" i="13" s="1"/>
  <c r="Y65" i="13"/>
  <c r="T65" i="13"/>
  <c r="AK65" i="13"/>
  <c r="Y56" i="13"/>
  <c r="T56" i="13"/>
  <c r="AK128" i="13"/>
  <c r="AH128" i="13"/>
  <c r="AJ128" i="13" s="1"/>
  <c r="AG127" i="13"/>
  <c r="AE128" i="13"/>
  <c r="Y161" i="13"/>
  <c r="T161" i="13"/>
  <c r="N107" i="13"/>
  <c r="T107" i="13" s="1"/>
  <c r="J106" i="13"/>
  <c r="Y204" i="13"/>
  <c r="AK204" i="13"/>
  <c r="T204" i="13"/>
  <c r="AK21" i="13"/>
  <c r="AH21" i="13"/>
  <c r="AJ21" i="13" s="1"/>
  <c r="AE21" i="13"/>
  <c r="AF28" i="13"/>
  <c r="Z15" i="13"/>
  <c r="Y17" i="13"/>
  <c r="T17" i="13"/>
  <c r="U151" i="13"/>
  <c r="AE250" i="13"/>
  <c r="AH250" i="13"/>
  <c r="AJ250" i="13" s="1"/>
  <c r="AK250" i="13"/>
  <c r="AF153" i="13"/>
  <c r="Z10" i="13"/>
  <c r="Y178" i="13"/>
  <c r="T178" i="13"/>
  <c r="AK178" i="13"/>
  <c r="N94" i="13"/>
  <c r="V94" i="13"/>
  <c r="X94" i="13" s="1"/>
  <c r="J85" i="13"/>
  <c r="V85" i="13" s="1"/>
  <c r="X85" i="13" s="1"/>
  <c r="Q94" i="13"/>
  <c r="S94" i="13" s="1"/>
  <c r="AG185" i="13"/>
  <c r="AF185" i="13"/>
  <c r="AG54" i="13"/>
  <c r="AE55" i="13"/>
  <c r="Y145" i="13"/>
  <c r="T145" i="13"/>
  <c r="AK145" i="13"/>
  <c r="T235" i="13"/>
  <c r="Y235" i="13"/>
  <c r="AE29" i="13"/>
  <c r="AH29" i="13"/>
  <c r="AJ29" i="13" s="1"/>
  <c r="AG28" i="13"/>
  <c r="N29" i="13"/>
  <c r="J28" i="13"/>
  <c r="N28" i="13" s="1"/>
  <c r="T28" i="13" s="1"/>
  <c r="P106" i="13"/>
  <c r="Y96" i="13"/>
  <c r="T96" i="13"/>
  <c r="AK96" i="13"/>
  <c r="AH203" i="13"/>
  <c r="AJ203" i="13" s="1"/>
  <c r="N221" i="13"/>
  <c r="Q221" i="13"/>
  <c r="S221" i="13" s="1"/>
  <c r="V221" i="13"/>
  <c r="X221" i="13" s="1"/>
  <c r="AH221" i="13"/>
  <c r="AJ221" i="13" s="1"/>
  <c r="V250" i="13"/>
  <c r="X250" i="13" s="1"/>
  <c r="AA15" i="13"/>
  <c r="U106" i="13"/>
  <c r="V107" i="13"/>
  <c r="X107" i="13" s="1"/>
  <c r="U15" i="13"/>
  <c r="AH76" i="13"/>
  <c r="AJ76" i="13" s="1"/>
  <c r="AE76" i="13"/>
  <c r="N143" i="13"/>
  <c r="M137" i="13"/>
  <c r="AH194" i="13"/>
  <c r="AJ194" i="13" s="1"/>
  <c r="AK194" i="13"/>
  <c r="AE194" i="13"/>
  <c r="N214" i="13"/>
  <c r="Q214" i="13"/>
  <c r="S214" i="13" s="1"/>
  <c r="V214" i="13"/>
  <c r="X214" i="13" s="1"/>
  <c r="J213" i="13"/>
  <c r="Y251" i="13"/>
  <c r="T251" i="13"/>
  <c r="AK30" i="13"/>
  <c r="N16" i="13"/>
  <c r="Q16" i="13"/>
  <c r="S16" i="13" s="1"/>
  <c r="V16" i="13"/>
  <c r="X16" i="13" s="1"/>
  <c r="V127" i="13"/>
  <c r="X127" i="13" s="1"/>
  <c r="Y127" i="13"/>
  <c r="T185" i="13"/>
  <c r="Q185" i="13"/>
  <c r="S185" i="13" s="1"/>
  <c r="AK251" i="13"/>
  <c r="N243" i="13"/>
  <c r="AH243" i="13"/>
  <c r="AJ243" i="13" s="1"/>
  <c r="Q243" i="13"/>
  <c r="S243" i="13" s="1"/>
  <c r="V243" i="13"/>
  <c r="X243" i="13" s="1"/>
  <c r="V55" i="13" l="1"/>
  <c r="X55" i="13" s="1"/>
  <c r="AK76" i="13"/>
  <c r="AH55" i="13"/>
  <c r="AJ55" i="13" s="1"/>
  <c r="L6" i="13"/>
  <c r="T76" i="13"/>
  <c r="J54" i="13"/>
  <c r="Q54" i="13" s="1"/>
  <c r="S54" i="13" s="1"/>
  <c r="N55" i="13"/>
  <c r="AK55" i="13" s="1"/>
  <c r="M12" i="13"/>
  <c r="T86" i="13"/>
  <c r="Y86" i="13"/>
  <c r="AG152" i="13"/>
  <c r="AE152" i="13" s="1"/>
  <c r="AH213" i="13"/>
  <c r="AJ213" i="13" s="1"/>
  <c r="V28" i="13"/>
  <c r="X28" i="13" s="1"/>
  <c r="N154" i="13"/>
  <c r="AK154" i="13" s="1"/>
  <c r="V154" i="13"/>
  <c r="X154" i="13" s="1"/>
  <c r="Q154" i="13"/>
  <c r="S154" i="13" s="1"/>
  <c r="Y107" i="13"/>
  <c r="Y28" i="13"/>
  <c r="AG151" i="13"/>
  <c r="AE151" i="13" s="1"/>
  <c r="AA9" i="13"/>
  <c r="Y259" i="13"/>
  <c r="T259" i="13"/>
  <c r="J15" i="13"/>
  <c r="V15" i="13" s="1"/>
  <c r="X15" i="13" s="1"/>
  <c r="Q28" i="13"/>
  <c r="S28" i="13" s="1"/>
  <c r="T39" i="13"/>
  <c r="AK39" i="13"/>
  <c r="Y39" i="13"/>
  <c r="AA12" i="13"/>
  <c r="AA8" i="13"/>
  <c r="T16" i="13"/>
  <c r="Y16" i="13"/>
  <c r="N213" i="13"/>
  <c r="Q213" i="13"/>
  <c r="S213" i="13" s="1"/>
  <c r="V213" i="13"/>
  <c r="X213" i="13" s="1"/>
  <c r="T143" i="13"/>
  <c r="Y143" i="13"/>
  <c r="AK143" i="13"/>
  <c r="U12" i="13"/>
  <c r="U8" i="13"/>
  <c r="V106" i="13"/>
  <c r="X106" i="13" s="1"/>
  <c r="U13" i="13"/>
  <c r="U9" i="13"/>
  <c r="Q106" i="13"/>
  <c r="S106" i="13" s="1"/>
  <c r="P13" i="13"/>
  <c r="P9" i="13"/>
  <c r="AF15" i="13"/>
  <c r="Z12" i="13"/>
  <c r="Z8" i="13"/>
  <c r="AQ106" i="13"/>
  <c r="AS106" i="13" s="1"/>
  <c r="AM106" i="13"/>
  <c r="AO106" i="13" s="1"/>
  <c r="J13" i="13"/>
  <c r="P12" i="13"/>
  <c r="P8" i="13"/>
  <c r="T63" i="13"/>
  <c r="Y63" i="13"/>
  <c r="AK63" i="13"/>
  <c r="AQ153" i="13"/>
  <c r="AS153" i="13" s="1"/>
  <c r="AM153" i="13"/>
  <c r="AO153" i="13" s="1"/>
  <c r="N153" i="13"/>
  <c r="J10" i="13"/>
  <c r="V10" i="13" s="1"/>
  <c r="X10" i="13" s="1"/>
  <c r="Q153" i="13"/>
  <c r="S153" i="13" s="1"/>
  <c r="AF151" i="13"/>
  <c r="Z14" i="13"/>
  <c r="AK28" i="13"/>
  <c r="AE28" i="13"/>
  <c r="AH28" i="13"/>
  <c r="AJ28" i="13" s="1"/>
  <c r="N85" i="13"/>
  <c r="AK85" i="13" s="1"/>
  <c r="Q85" i="13"/>
  <c r="S85" i="13" s="1"/>
  <c r="U14" i="13"/>
  <c r="AE127" i="13"/>
  <c r="AH127" i="13"/>
  <c r="AJ127" i="13" s="1"/>
  <c r="AK127" i="13"/>
  <c r="T177" i="13"/>
  <c r="Y177" i="13"/>
  <c r="AK177" i="13"/>
  <c r="N54" i="13"/>
  <c r="AK54" i="13" s="1"/>
  <c r="AE85" i="13"/>
  <c r="AH85" i="13"/>
  <c r="AJ85" i="13" s="1"/>
  <c r="T29" i="13"/>
  <c r="Y29" i="13"/>
  <c r="Z13" i="13"/>
  <c r="AF106" i="13"/>
  <c r="Z9" i="13"/>
  <c r="AE234" i="13"/>
  <c r="AH234" i="13"/>
  <c r="AJ234" i="13" s="1"/>
  <c r="AK234" i="13"/>
  <c r="AG153" i="13"/>
  <c r="AH107" i="13"/>
  <c r="AJ107" i="13" s="1"/>
  <c r="AK107" i="13"/>
  <c r="AG106" i="13"/>
  <c r="AE107" i="13"/>
  <c r="AK16" i="13"/>
  <c r="Y203" i="13"/>
  <c r="T203" i="13"/>
  <c r="AK203" i="13"/>
  <c r="J151" i="13"/>
  <c r="T243" i="13"/>
  <c r="Y243" i="13"/>
  <c r="AK243" i="13"/>
  <c r="Y214" i="13"/>
  <c r="T214" i="13"/>
  <c r="AK214" i="13"/>
  <c r="N137" i="13"/>
  <c r="M106" i="13"/>
  <c r="N106" i="13" s="1"/>
  <c r="Y106" i="13" s="1"/>
  <c r="T221" i="13"/>
  <c r="Y221" i="13"/>
  <c r="AK221" i="13"/>
  <c r="AK29" i="13"/>
  <c r="AE54" i="13"/>
  <c r="AH54" i="13"/>
  <c r="AJ54" i="13" s="1"/>
  <c r="AK185" i="13"/>
  <c r="AE185" i="13"/>
  <c r="AH185" i="13"/>
  <c r="AJ185" i="13" s="1"/>
  <c r="Y94" i="13"/>
  <c r="T94" i="13"/>
  <c r="AK94" i="13"/>
  <c r="AG10" i="13"/>
  <c r="AF10" i="13"/>
  <c r="AG15" i="13"/>
  <c r="J152" i="13"/>
  <c r="Y234" i="13"/>
  <c r="T234" i="13"/>
  <c r="N15" i="13" l="1"/>
  <c r="T15" i="13" s="1"/>
  <c r="V54" i="13"/>
  <c r="X54" i="13" s="1"/>
  <c r="T55" i="13"/>
  <c r="Y55" i="13"/>
  <c r="J8" i="13"/>
  <c r="AM8" i="13" s="1"/>
  <c r="AO8" i="13" s="1"/>
  <c r="Q15" i="13"/>
  <c r="S15" i="13" s="1"/>
  <c r="J12" i="13"/>
  <c r="Q12" i="13" s="1"/>
  <c r="S12" i="13" s="1"/>
  <c r="AM15" i="13"/>
  <c r="AO15" i="13" s="1"/>
  <c r="AQ15" i="13"/>
  <c r="AS15" i="13" s="1"/>
  <c r="T154" i="13"/>
  <c r="Y154" i="13"/>
  <c r="AA6" i="13"/>
  <c r="AM152" i="13"/>
  <c r="AO152" i="13" s="1"/>
  <c r="N152" i="13"/>
  <c r="AQ152" i="13"/>
  <c r="AS152" i="13" s="1"/>
  <c r="Q152" i="13"/>
  <c r="S152" i="13" s="1"/>
  <c r="V152" i="13"/>
  <c r="X152" i="13" s="1"/>
  <c r="AG14" i="13"/>
  <c r="AF14" i="13"/>
  <c r="T153" i="13"/>
  <c r="Y153" i="13"/>
  <c r="T106" i="13"/>
  <c r="AH15" i="13"/>
  <c r="AJ15" i="13" s="1"/>
  <c r="AK15" i="13"/>
  <c r="AE15" i="13"/>
  <c r="M13" i="13"/>
  <c r="N13" i="13" s="1"/>
  <c r="T13" i="13" s="1"/>
  <c r="M9" i="13"/>
  <c r="M6" i="13" s="1"/>
  <c r="T137" i="13"/>
  <c r="Y137" i="13"/>
  <c r="AK137" i="13"/>
  <c r="AQ12" i="13"/>
  <c r="AS12" i="13" s="1"/>
  <c r="AM151" i="13"/>
  <c r="AO151" i="13" s="1"/>
  <c r="N151" i="13"/>
  <c r="J14" i="13"/>
  <c r="AQ151" i="13"/>
  <c r="AS151" i="13" s="1"/>
  <c r="Q151" i="13"/>
  <c r="S151" i="13" s="1"/>
  <c r="AE106" i="13"/>
  <c r="AK106" i="13"/>
  <c r="AH106" i="13"/>
  <c r="AJ106" i="13" s="1"/>
  <c r="AQ13" i="13"/>
  <c r="AS13" i="13" s="1"/>
  <c r="AM13" i="13"/>
  <c r="AO13" i="13" s="1"/>
  <c r="P6" i="13"/>
  <c r="U6" i="13"/>
  <c r="Y15" i="13"/>
  <c r="AE10" i="13"/>
  <c r="AH10" i="13"/>
  <c r="AJ10" i="13" s="1"/>
  <c r="AG13" i="13"/>
  <c r="AF13" i="13"/>
  <c r="N10" i="13"/>
  <c r="AM10" i="13"/>
  <c r="AO10" i="13" s="1"/>
  <c r="AQ10" i="13"/>
  <c r="AS10" i="13" s="1"/>
  <c r="Q10" i="13"/>
  <c r="S10" i="13" s="1"/>
  <c r="J9" i="13"/>
  <c r="AG8" i="13"/>
  <c r="AF8" i="13"/>
  <c r="Q13" i="13"/>
  <c r="S13" i="13" s="1"/>
  <c r="V13" i="13"/>
  <c r="X13" i="13" s="1"/>
  <c r="T213" i="13"/>
  <c r="Y213" i="13"/>
  <c r="AK213" i="13"/>
  <c r="AH152" i="13"/>
  <c r="AJ152" i="13" s="1"/>
  <c r="T85" i="13"/>
  <c r="Y85" i="13"/>
  <c r="AG12" i="13"/>
  <c r="AF12" i="13"/>
  <c r="AE153" i="13"/>
  <c r="AH153" i="13"/>
  <c r="AJ153" i="13" s="1"/>
  <c r="AK153" i="13"/>
  <c r="Z6" i="13"/>
  <c r="AG9" i="13"/>
  <c r="AF9" i="13"/>
  <c r="Y54" i="13"/>
  <c r="T54" i="13"/>
  <c r="V151" i="13"/>
  <c r="X151" i="13" s="1"/>
  <c r="AH151" i="13"/>
  <c r="AJ151" i="13" s="1"/>
  <c r="N8" i="13" l="1"/>
  <c r="T8" i="13" s="1"/>
  <c r="V8" i="13"/>
  <c r="X8" i="13" s="1"/>
  <c r="AQ8" i="13"/>
  <c r="AS8" i="13" s="1"/>
  <c r="Q8" i="13"/>
  <c r="S8" i="13" s="1"/>
  <c r="N12" i="13"/>
  <c r="AK12" i="13" s="1"/>
  <c r="AM12" i="13"/>
  <c r="AO12" i="13" s="1"/>
  <c r="V12" i="13"/>
  <c r="X12" i="13" s="1"/>
  <c r="Y13" i="13"/>
  <c r="AE13" i="13"/>
  <c r="AK13" i="13"/>
  <c r="AH13" i="13"/>
  <c r="AJ13" i="13" s="1"/>
  <c r="T152" i="13"/>
  <c r="Y152" i="13"/>
  <c r="AK152" i="13"/>
  <c r="AE12" i="13"/>
  <c r="AH12" i="13"/>
  <c r="AJ12" i="13" s="1"/>
  <c r="AE8" i="13"/>
  <c r="AK8" i="13"/>
  <c r="AH8" i="13"/>
  <c r="AJ8" i="13" s="1"/>
  <c r="N14" i="13"/>
  <c r="AM14" i="13"/>
  <c r="AO14" i="13" s="1"/>
  <c r="AQ14" i="13"/>
  <c r="AS14" i="13" s="1"/>
  <c r="Q14" i="13"/>
  <c r="S14" i="13" s="1"/>
  <c r="AG6" i="13"/>
  <c r="AF6" i="13"/>
  <c r="Y8" i="13"/>
  <c r="N9" i="13"/>
  <c r="J6" i="13"/>
  <c r="Q6" i="13" s="1"/>
  <c r="S6" i="13" s="1"/>
  <c r="AQ9" i="13"/>
  <c r="AS9" i="13" s="1"/>
  <c r="AM9" i="13"/>
  <c r="AO9" i="13" s="1"/>
  <c r="T10" i="13"/>
  <c r="Y10" i="13"/>
  <c r="AK10" i="13"/>
  <c r="Q9" i="13"/>
  <c r="S9" i="13" s="1"/>
  <c r="T151" i="13"/>
  <c r="AK151" i="13"/>
  <c r="Y151" i="13"/>
  <c r="V9" i="13"/>
  <c r="X9" i="13" s="1"/>
  <c r="AE14" i="13"/>
  <c r="AK14" i="13"/>
  <c r="AH14" i="13"/>
  <c r="AJ14" i="13" s="1"/>
  <c r="AE9" i="13"/>
  <c r="AK9" i="13"/>
  <c r="AH9" i="13"/>
  <c r="AJ9" i="13" s="1"/>
  <c r="V14" i="13"/>
  <c r="X14" i="13" s="1"/>
  <c r="Y12" i="13" l="1"/>
  <c r="T12" i="13"/>
  <c r="AE6" i="13"/>
  <c r="AH6" i="13"/>
  <c r="AJ6" i="13" s="1"/>
  <c r="Y9" i="13"/>
  <c r="T9" i="13"/>
  <c r="N6" i="13"/>
  <c r="AQ6" i="13"/>
  <c r="AS6" i="13" s="1"/>
  <c r="AM6" i="13"/>
  <c r="AO6" i="13" s="1"/>
  <c r="T14" i="13"/>
  <c r="Y14" i="13"/>
  <c r="V6" i="13"/>
  <c r="X6" i="13" s="1"/>
  <c r="T6" i="13" l="1"/>
  <c r="Y6" i="13"/>
  <c r="AK6" i="13"/>
</calcChain>
</file>

<file path=xl/comments1.xml><?xml version="1.0" encoding="utf-8"?>
<comments xmlns="http://schemas.openxmlformats.org/spreadsheetml/2006/main">
  <authors>
    <author>Gunta Līdaka</author>
    <author>es-pelse</author>
    <author>Diāna Bogorode</author>
    <author>Artūrs Šluburs</author>
    <author>pd-radvi</author>
  </authors>
  <commentList>
    <comment ref="K123" authorId="0" shapeId="0">
      <text>
        <r>
          <rPr>
            <b/>
            <sz val="8"/>
            <color indexed="81"/>
            <rFont val="Tahoma"/>
            <family val="2"/>
            <charset val="186"/>
          </rPr>
          <t>Gunta Līdaka:</t>
        </r>
        <r>
          <rPr>
            <sz val="8"/>
            <color indexed="81"/>
            <rFont val="Tahoma"/>
            <family val="2"/>
            <charset val="186"/>
          </rPr>
          <t xml:space="preserve">
Nav ar EK saskaņota aktivitātes ieviešana.</t>
        </r>
      </text>
    </comment>
    <comment ref="F126" authorId="1" shapeId="0">
      <text>
        <r>
          <rPr>
            <b/>
            <sz val="14"/>
            <color indexed="81"/>
            <rFont val="Times New Roman"/>
            <family val="1"/>
            <charset val="186"/>
          </rPr>
          <t>es-pelse:</t>
        </r>
        <r>
          <rPr>
            <sz val="14"/>
            <color indexed="81"/>
            <rFont val="Times New Roman"/>
            <family val="1"/>
            <charset val="186"/>
          </rPr>
          <t xml:space="preserve">
2.3.2.4.aktivitāte pārnesta uz 2.1.prioriāti ar MK 13.01.2009. rīkojumu Nr.11</t>
        </r>
      </text>
    </comment>
    <comment ref="L126" authorId="2" shapeId="0">
      <text>
        <r>
          <rPr>
            <b/>
            <sz val="12"/>
            <color indexed="81"/>
            <rFont val="Tahoma"/>
            <family val="2"/>
            <charset val="186"/>
          </rPr>
          <t>Diāna Bogorode:</t>
        </r>
        <r>
          <rPr>
            <sz val="12"/>
            <color indexed="81"/>
            <rFont val="Tahoma"/>
            <family val="2"/>
            <charset val="186"/>
          </rPr>
          <t xml:space="preserve">
saskaņā ar 26.06.2012. MK noteikumiem Nr.434 ("LV", 101 (4704), 28.06.2012.) [stājas spēkā a</t>
        </r>
        <r>
          <rPr>
            <sz val="9"/>
            <color indexed="81"/>
            <rFont val="Tahoma"/>
            <family val="2"/>
            <charset val="186"/>
          </rPr>
          <t>r 29.06.2012.]</t>
        </r>
      </text>
    </comment>
    <comment ref="J127" authorId="0" shapeId="0">
      <text>
        <r>
          <rPr>
            <b/>
            <sz val="10"/>
            <color indexed="81"/>
            <rFont val="Tahoma"/>
            <family val="2"/>
            <charset val="186"/>
          </rPr>
          <t>Gunta Līdaka:</t>
        </r>
        <r>
          <rPr>
            <sz val="10"/>
            <color indexed="81"/>
            <rFont val="Tahoma"/>
            <family val="2"/>
            <charset val="186"/>
          </rPr>
          <t xml:space="preserve">
Valdības š.g. 5.jūlija konceptuāls lēmums par 32 450 000 EUR pārdali 1DP</t>
        </r>
      </text>
    </comment>
    <comment ref="J140" authorId="3" shapeId="0">
      <text>
        <r>
          <rPr>
            <b/>
            <sz val="9"/>
            <color indexed="81"/>
            <rFont val="Tahoma"/>
            <family val="2"/>
            <charset val="186"/>
          </rPr>
          <t>Artūrs Šluburs:</t>
        </r>
        <r>
          <rPr>
            <sz val="9"/>
            <color indexed="81"/>
            <rFont val="Tahoma"/>
            <family val="2"/>
            <charset val="186"/>
          </rPr>
          <t xml:space="preserve">
07.12.2012 ir veiktas DPP finansējuma pārdales</t>
        </r>
      </text>
    </comment>
    <comment ref="J141" authorId="3" shapeId="0">
      <text>
        <r>
          <rPr>
            <b/>
            <sz val="9"/>
            <color indexed="81"/>
            <rFont val="Tahoma"/>
            <family val="2"/>
            <charset val="186"/>
          </rPr>
          <t>Artūrs Šluburs:</t>
        </r>
        <r>
          <rPr>
            <sz val="9"/>
            <color indexed="81"/>
            <rFont val="Tahoma"/>
            <family val="2"/>
            <charset val="186"/>
          </rPr>
          <t xml:space="preserve">
07.12.2012 ir veiktas DPP finansējuma pārdales</t>
        </r>
      </text>
    </comment>
    <comment ref="J241" authorId="4" shapeId="0">
      <text>
        <r>
          <rPr>
            <b/>
            <sz val="8"/>
            <color indexed="81"/>
            <rFont val="Tahoma"/>
            <family val="2"/>
            <charset val="186"/>
          </rPr>
          <t>pd-radvi:</t>
        </r>
        <r>
          <rPr>
            <sz val="8"/>
            <color indexed="81"/>
            <rFont val="Tahoma"/>
            <family val="2"/>
            <charset val="186"/>
          </rPr>
          <t xml:space="preserve">
Saskaņā ar MK 2010.gada 12.janvāra MK protokollēmumu Nr.2 31.§, 3.4.1.2. aktivitāte tiek finansēta no KF un tiek noteikta kā 3.5.1.3.aktivitāte</t>
        </r>
      </text>
    </comment>
    <comment ref="J242" authorId="4" shapeId="0">
      <text>
        <r>
          <rPr>
            <b/>
            <sz val="8"/>
            <color indexed="81"/>
            <rFont val="Tahoma"/>
            <family val="2"/>
            <charset val="186"/>
          </rPr>
          <t>pd-radvi:</t>
        </r>
        <r>
          <rPr>
            <sz val="8"/>
            <color indexed="81"/>
            <rFont val="Tahoma"/>
            <family val="2"/>
            <charset val="186"/>
          </rPr>
          <t xml:space="preserve">
Saskaņā ar MK 2010.gada 12.janvāra MK protokollēmumu Nr.2 31.§, 3.4.1.6. aktivitāte tiek finansēta no KF un tiek noteikta kā 3.5.1.4.aktivitāte</t>
        </r>
      </text>
    </comment>
  </commentList>
</comments>
</file>

<file path=xl/comments2.xml><?xml version="1.0" encoding="utf-8"?>
<comments xmlns="http://schemas.openxmlformats.org/spreadsheetml/2006/main">
  <authors>
    <author>Arvis Mucenieks</author>
    <author>Agnese Zariņa</author>
  </authors>
  <commentList>
    <comment ref="W3" authorId="0" shapeId="0">
      <text>
        <r>
          <rPr>
            <b/>
            <sz val="9"/>
            <color indexed="81"/>
            <rFont val="Tahoma"/>
            <family val="2"/>
            <charset val="186"/>
          </rPr>
          <t>Arvis Mucenieks:</t>
        </r>
        <r>
          <rPr>
            <sz val="9"/>
            <color indexed="81"/>
            <rFont val="Tahoma"/>
            <family val="2"/>
            <charset val="186"/>
          </rPr>
          <t xml:space="preserve">
Likumā plānotais pret iesniegto prognozi</t>
        </r>
      </text>
    </comment>
    <comment ref="S27" authorId="1" shapeId="0">
      <text>
        <r>
          <rPr>
            <b/>
            <sz val="9"/>
            <color indexed="81"/>
            <rFont val="Tahoma"/>
            <family val="2"/>
            <charset val="186"/>
          </rPr>
          <t>Agnese Zariņa:</t>
        </r>
        <r>
          <rPr>
            <sz val="9"/>
            <color indexed="81"/>
            <rFont val="Tahoma"/>
            <family val="2"/>
            <charset val="186"/>
          </rPr>
          <t xml:space="preserve">
Pārējo neapgūs???</t>
        </r>
      </text>
    </comment>
    <comment ref="S61" authorId="1" shapeId="0">
      <text>
        <r>
          <rPr>
            <b/>
            <sz val="9"/>
            <color indexed="81"/>
            <rFont val="Tahoma"/>
            <family val="2"/>
            <charset val="186"/>
          </rPr>
          <t>Agnese Zariņa:</t>
        </r>
        <r>
          <rPr>
            <sz val="9"/>
            <color indexed="81"/>
            <rFont val="Tahoma"/>
            <family val="2"/>
            <charset val="186"/>
          </rPr>
          <t xml:space="preserve">
Tad neapgūs virssaistībaas???</t>
        </r>
      </text>
    </comment>
    <comment ref="S63" authorId="1" shapeId="0">
      <text>
        <r>
          <rPr>
            <b/>
            <sz val="9"/>
            <color indexed="81"/>
            <rFont val="Tahoma"/>
            <family val="2"/>
            <charset val="186"/>
          </rPr>
          <t>Agnese Zariņa:</t>
        </r>
        <r>
          <rPr>
            <sz val="9"/>
            <color indexed="81"/>
            <rFont val="Tahoma"/>
            <family val="2"/>
            <charset val="186"/>
          </rPr>
          <t xml:space="preserve">
Neplāno apgūt???</t>
        </r>
      </text>
    </comment>
    <comment ref="S84" authorId="1" shapeId="0">
      <text>
        <r>
          <rPr>
            <b/>
            <sz val="9"/>
            <color indexed="81"/>
            <rFont val="Tahoma"/>
            <family val="2"/>
            <charset val="186"/>
          </rPr>
          <t>Agnese Zariņa:</t>
        </r>
        <r>
          <rPr>
            <sz val="9"/>
            <color indexed="81"/>
            <rFont val="Tahoma"/>
            <family val="2"/>
            <charset val="186"/>
          </rPr>
          <t xml:space="preserve">
Piešķīrumu apgūs?</t>
        </r>
      </text>
    </comment>
    <comment ref="S88" authorId="1" shapeId="0">
      <text>
        <r>
          <rPr>
            <b/>
            <sz val="9"/>
            <color indexed="81"/>
            <rFont val="Tahoma"/>
            <family val="2"/>
            <charset val="186"/>
          </rPr>
          <t>Agnese Zariņa:</t>
        </r>
        <r>
          <rPr>
            <sz val="9"/>
            <color indexed="81"/>
            <rFont val="Tahoma"/>
            <family val="2"/>
            <charset val="186"/>
          </rPr>
          <t xml:space="preserve">
kādos nākamos gados vajag ieplānot? Principā jau apgūs???</t>
        </r>
      </text>
    </comment>
  </commentList>
</comments>
</file>

<file path=xl/sharedStrings.xml><?xml version="1.0" encoding="utf-8"?>
<sst xmlns="http://schemas.openxmlformats.org/spreadsheetml/2006/main" count="2692" uniqueCount="1165">
  <si>
    <t>2.1.1.1.</t>
  </si>
  <si>
    <t>2.1.1.2.</t>
  </si>
  <si>
    <t>2.1.1.3.1.</t>
  </si>
  <si>
    <t>2.1.1.3.2.</t>
  </si>
  <si>
    <t>2.1.2.1.1.</t>
  </si>
  <si>
    <t>2.1.2.1.2.</t>
  </si>
  <si>
    <t>2.1.2.1.3.</t>
  </si>
  <si>
    <t>2.1.2.2.1.</t>
  </si>
  <si>
    <t>2.1.2.2.2.</t>
  </si>
  <si>
    <t>2.1.2.2.3.</t>
  </si>
  <si>
    <t>2.1.2.4.</t>
  </si>
  <si>
    <t>2.2.1.1.</t>
  </si>
  <si>
    <t>2.2.1.2.1.</t>
  </si>
  <si>
    <t>2.2.1.2.2.</t>
  </si>
  <si>
    <t>2.2.1.3.</t>
  </si>
  <si>
    <t>2.3.1.1.1.</t>
  </si>
  <si>
    <t>2.3.1.1.2.</t>
  </si>
  <si>
    <t>2.3.1.2.</t>
  </si>
  <si>
    <t>2.3.2.1.</t>
  </si>
  <si>
    <t>2.3.2.2.</t>
  </si>
  <si>
    <t>2.4.1.1.</t>
  </si>
  <si>
    <t>1.2.2.1.2.</t>
  </si>
  <si>
    <t>1.3.1.1.3.</t>
  </si>
  <si>
    <t>1.3.1.3.2.</t>
  </si>
  <si>
    <t>1.3.1.4.</t>
  </si>
  <si>
    <t>1.3.1.6.</t>
  </si>
  <si>
    <t>1.3.1.7.</t>
  </si>
  <si>
    <t>1.3.1.8.</t>
  </si>
  <si>
    <t>1.4.1.1.1.</t>
  </si>
  <si>
    <t>1.4.1.1.2.</t>
  </si>
  <si>
    <t>1.4.1.2.1.</t>
  </si>
  <si>
    <t>1.4.1.2.2.</t>
  </si>
  <si>
    <t>1.4.1.2.4.</t>
  </si>
  <si>
    <t>1.3.1.1.1.</t>
  </si>
  <si>
    <t>1.3.1.1.4.</t>
  </si>
  <si>
    <t>1.3.1.2.</t>
  </si>
  <si>
    <t>1.3.1.9.</t>
  </si>
  <si>
    <t>1.5.1.1.1.</t>
  </si>
  <si>
    <t>1.5.1.1.2.</t>
  </si>
  <si>
    <t>1.5.1.2.</t>
  </si>
  <si>
    <t>1.5.1.3.1.</t>
  </si>
  <si>
    <t>1.5.1.3.2.</t>
  </si>
  <si>
    <t>1.5.2.1.</t>
  </si>
  <si>
    <t>1.5.2.2.1.</t>
  </si>
  <si>
    <t>1.5.2.2.2.</t>
  </si>
  <si>
    <t>1.5.2.2.3.</t>
  </si>
  <si>
    <t>1.1.1.1.</t>
  </si>
  <si>
    <t>1.1.1.2.</t>
  </si>
  <si>
    <t>1.1.2.1.1.</t>
  </si>
  <si>
    <t>1.1.2.2.1.</t>
  </si>
  <si>
    <t>1.1.2.2.2.</t>
  </si>
  <si>
    <t>1.2.1.1.1.</t>
  </si>
  <si>
    <t>1.2.1.1.2.</t>
  </si>
  <si>
    <t>1.2.1.1.3.</t>
  </si>
  <si>
    <t>1.2.1.1.4.</t>
  </si>
  <si>
    <t>1.2.1.2.1.</t>
  </si>
  <si>
    <t>1.2.1.2.2.</t>
  </si>
  <si>
    <t>1.2.1.2.3.</t>
  </si>
  <si>
    <t>1.2.2.1.1.</t>
  </si>
  <si>
    <t>1.2.2.1.3.</t>
  </si>
  <si>
    <t>1.2.2.1.5</t>
  </si>
  <si>
    <t>1.2.2.2.1.</t>
  </si>
  <si>
    <t>1.2.2.2.2.</t>
  </si>
  <si>
    <t>1.2.2.3.1.</t>
  </si>
  <si>
    <t>1.2.2.3.2.</t>
  </si>
  <si>
    <t>1.2.2.4.1.</t>
  </si>
  <si>
    <t>1.2.2.4.2.</t>
  </si>
  <si>
    <t>1.3.2.1.</t>
  </si>
  <si>
    <t>1.3.2.2.</t>
  </si>
  <si>
    <t>1.3.2.3.</t>
  </si>
  <si>
    <t>1.5.3.1.</t>
  </si>
  <si>
    <t>1.5.3.2.</t>
  </si>
  <si>
    <t>1.6.1.1.</t>
  </si>
  <si>
    <t>1.1.2.1.2.</t>
  </si>
  <si>
    <t>3.4.2.1.1.</t>
  </si>
  <si>
    <t>3.4.2.1.2.</t>
  </si>
  <si>
    <t>3.4.2.1.3.</t>
  </si>
  <si>
    <t>3.4.2.2.</t>
  </si>
  <si>
    <t>3.4.4.1.</t>
  </si>
  <si>
    <t>3.4.4.2.</t>
  </si>
  <si>
    <t>3.1.1.1.</t>
  </si>
  <si>
    <t>3.1.1.2.</t>
  </si>
  <si>
    <t>3.1.2.1.1.</t>
  </si>
  <si>
    <t>3.1.2.1.2.</t>
  </si>
  <si>
    <t>3.1.3.1.</t>
  </si>
  <si>
    <t>3.1.3.2.</t>
  </si>
  <si>
    <t>3.1.3.3.1.</t>
  </si>
  <si>
    <t>3.1.3.3.2.</t>
  </si>
  <si>
    <t>3.2.2.1.2.</t>
  </si>
  <si>
    <t>3.7.1.1.</t>
  </si>
  <si>
    <t>3.2.1.1.</t>
  </si>
  <si>
    <t>3.2.1.2.</t>
  </si>
  <si>
    <t>3.2.1.3.1.</t>
  </si>
  <si>
    <t>3.2.1.3.2.</t>
  </si>
  <si>
    <t>3.2.1.4.</t>
  </si>
  <si>
    <t>3.2.1.5.</t>
  </si>
  <si>
    <t>3.2.2.3.</t>
  </si>
  <si>
    <t>3.2.2.4.1.</t>
  </si>
  <si>
    <t>3.2.2.4.2.</t>
  </si>
  <si>
    <t>3.4.1.1.</t>
  </si>
  <si>
    <t>3.4.1.3.</t>
  </si>
  <si>
    <t>3.4.1.4.</t>
  </si>
  <si>
    <t>3.4.1.5.1.</t>
  </si>
  <si>
    <t>3.4.1.5.2.</t>
  </si>
  <si>
    <t>3.1.4.3.</t>
  </si>
  <si>
    <t>3.2.2.1.1.</t>
  </si>
  <si>
    <t>3.2.2.2.</t>
  </si>
  <si>
    <t>3.6.1.1.</t>
  </si>
  <si>
    <t>3.6.1.2.</t>
  </si>
  <si>
    <t>3.1.5.1.1.</t>
  </si>
  <si>
    <t>3.1.5.1.2.</t>
  </si>
  <si>
    <t>3.1.5.2.</t>
  </si>
  <si>
    <t>3.1.5.3.1.</t>
  </si>
  <si>
    <t>3.1.5.3.2.</t>
  </si>
  <si>
    <t>3.4.3.1.</t>
  </si>
  <si>
    <t>3.4.3.2.</t>
  </si>
  <si>
    <t>3.4.3.3.</t>
  </si>
  <si>
    <t>3.1.4.1.1.</t>
  </si>
  <si>
    <t>3.1.4.1.2.</t>
  </si>
  <si>
    <t>3.1.4.1.3.</t>
  </si>
  <si>
    <t>3.1.4.1.4.</t>
  </si>
  <si>
    <t>3.1.4.1.5.</t>
  </si>
  <si>
    <t>3.1.4.2.</t>
  </si>
  <si>
    <t>3.5.1.1.</t>
  </si>
  <si>
    <t>3.5.1.2.1.</t>
  </si>
  <si>
    <t>3.5.1.2.2.</t>
  </si>
  <si>
    <t>3.5.1.2.3.</t>
  </si>
  <si>
    <t>3.3.1.1.</t>
  </si>
  <si>
    <t>3.3.1.2.</t>
  </si>
  <si>
    <t>3.3.1.3.</t>
  </si>
  <si>
    <t>3.3.1.4.</t>
  </si>
  <si>
    <t>3.3.1.5.</t>
  </si>
  <si>
    <t>3.3.2.1.</t>
  </si>
  <si>
    <t>3.5.2.2.</t>
  </si>
  <si>
    <t>3.5.2.3.</t>
  </si>
  <si>
    <t>3.5.2.4.</t>
  </si>
  <si>
    <t>3.8.1.1.</t>
  </si>
  <si>
    <t>1.1.1.3.</t>
  </si>
  <si>
    <t>3.6.2.1.</t>
  </si>
  <si>
    <t>3.3.1.6.</t>
  </si>
  <si>
    <t>3.5.1.3.</t>
  </si>
  <si>
    <t>3.5.1.4.</t>
  </si>
  <si>
    <t>2.3.2.3.</t>
  </si>
  <si>
    <t>2.1.2.2.4.</t>
  </si>
  <si>
    <t>2.1.2.3.1.</t>
  </si>
  <si>
    <t>2.2.1.4.1.</t>
  </si>
  <si>
    <t>2.2.1.4.2.</t>
  </si>
  <si>
    <t>3.5.2.1.2.</t>
  </si>
  <si>
    <t>3.5.2.1.1.</t>
  </si>
  <si>
    <t>Kopā</t>
  </si>
  <si>
    <t>3.1.4.4.</t>
  </si>
  <si>
    <t>Komentāri</t>
  </si>
  <si>
    <t>1.3.1.1.5.</t>
  </si>
  <si>
    <t>1.3.1.3.1.</t>
  </si>
  <si>
    <t>1.3.1.1.6.</t>
  </si>
  <si>
    <t>Konceptuāli pielemtās virssaistības (ES fondu finansējums - indikatīvi) atbilstoši apst. MK p/l, LVL</t>
  </si>
  <si>
    <t>2.1.</t>
  </si>
  <si>
    <t>Konceptuāli pielemtās virssaistības (ES fondu fin. + valsts budžeta daļa (neskaitot pašvaldību līdzifn.) atbilstoši apst. MK p/l, LVL</t>
  </si>
  <si>
    <r>
      <t>2007.-2013.gada plānošanas perioda ES fondu ieviešanas statuss (uz 31.12.2012., salīdzinot ar 30.11.2012.)</t>
    </r>
    <r>
      <rPr>
        <b/>
        <vertAlign val="superscript"/>
        <sz val="16"/>
        <rFont val="Times New Roman"/>
        <family val="1"/>
        <charset val="204"/>
      </rPr>
      <t xml:space="preserve">1 </t>
    </r>
    <r>
      <rPr>
        <b/>
        <sz val="16"/>
        <rFont val="Times New Roman"/>
        <family val="1"/>
        <charset val="204"/>
      </rPr>
      <t>/ 2007-2013 planning period EU Funds implementation progress  (as to 31.12.2012., comparing with 30.11.2012)</t>
    </r>
    <r>
      <rPr>
        <b/>
        <vertAlign val="superscript"/>
        <sz val="16"/>
        <rFont val="Times New Roman"/>
        <family val="1"/>
        <charset val="204"/>
      </rPr>
      <t>1</t>
    </r>
  </si>
  <si>
    <t>Provizoriska informācija pēc vadības informācijas sistēmas datiem  (pārskati veidoti 09.01.2013.) / Provisional data according to Management informational system on 09.01.2013</t>
  </si>
  <si>
    <t>Prioritātes/Pasākuma/Aktivitātes numurs / Priority/Measure/Activity No.</t>
  </si>
  <si>
    <t>Prioritātes/Pasākuma/ Aktivitātes nosaukums / Priority/Measure/Activity</t>
  </si>
  <si>
    <t>Fonds / Fund</t>
  </si>
  <si>
    <r>
      <t>Ministrija</t>
    </r>
    <r>
      <rPr>
        <b/>
        <vertAlign val="superscript"/>
        <sz val="13"/>
        <rFont val="Times New Roman"/>
        <family val="1"/>
        <charset val="204"/>
      </rPr>
      <t>2</t>
    </r>
    <r>
      <rPr>
        <b/>
        <sz val="13"/>
        <rFont val="Times New Roman"/>
        <family val="1"/>
        <charset val="204"/>
      </rPr>
      <t>/ Ministry</t>
    </r>
    <r>
      <rPr>
        <b/>
        <vertAlign val="superscript"/>
        <sz val="13"/>
        <rFont val="Times New Roman"/>
        <family val="1"/>
        <charset val="204"/>
      </rPr>
      <t>2</t>
    </r>
  </si>
  <si>
    <t>ES fonda finansējums atbilstoši EK apstiprinātajai DP, EUR</t>
  </si>
  <si>
    <t>ES fonda finansējums atbilstoši EK apstiprinātajai DP, LVL / EU funding according to EC approved OP, LVL</t>
  </si>
  <si>
    <t>ES fonda finansējums atbilstoši MK apstiprinātajam DPP, EUR</t>
  </si>
  <si>
    <t xml:space="preserve">ES fonda finansējums atbilstoši MK apstiprinātajam DPP, LVL  </t>
  </si>
  <si>
    <t>ES fonda finansējums atbilstoši konceptuāli apst. MK p/liem, LVL2 / EU funding 2 , EUR</t>
  </si>
  <si>
    <r>
      <t>ES fonda finansējums atbilstoši konceptuāli apst. MK p/l, LVL</t>
    </r>
    <r>
      <rPr>
        <b/>
        <vertAlign val="superscript"/>
        <sz val="13"/>
        <rFont val="Times New Roman"/>
        <family val="1"/>
        <charset val="204"/>
      </rPr>
      <t xml:space="preserve">3 / </t>
    </r>
    <r>
      <rPr>
        <b/>
        <sz val="13"/>
        <rFont val="Times New Roman"/>
        <family val="1"/>
        <charset val="204"/>
      </rPr>
      <t xml:space="preserve">EU funding according to decisions of Cabinet of Ministers </t>
    </r>
    <r>
      <rPr>
        <b/>
        <vertAlign val="superscript"/>
        <sz val="13"/>
        <rFont val="Times New Roman"/>
        <family val="1"/>
        <charset val="204"/>
      </rPr>
      <t xml:space="preserve">3 </t>
    </r>
    <r>
      <rPr>
        <b/>
        <sz val="13"/>
        <rFont val="Times New Roman"/>
        <family val="1"/>
        <charset val="204"/>
      </rPr>
      <t>, LVL</t>
    </r>
  </si>
  <si>
    <t>Skaidrojums par atšķirību starp DP un MK konceptuāli apst. Finansējumu / Explanation about differences of EU Funding</t>
  </si>
  <si>
    <t>Kopā piešķīrums (ES fonda finansējums atbilstoši konceptuāli apst. MK p/l + virssaistību ES fondu daļa), LVL / Total available financing, incl. overcommittments, LVL</t>
  </si>
  <si>
    <t>Aktivitātēm piešķirtais budžets 2007.-2012.gadā LVL / Available budget 2007-2012, LVL ****</t>
  </si>
  <si>
    <t>Apstiprinātie projekti 
(ES fondu fin.), LVL / Approved projects (EU funding), LVL</t>
  </si>
  <si>
    <t>Apstiprinātie projekti , % no ES fondu fin., % / Approved projects (EU funding), % of EU funding, %</t>
  </si>
  <si>
    <t>Apstiprinātie projekti , % no ES fondu fin. / Approved projects, % of EU funding</t>
  </si>
  <si>
    <t>Progress par apstiprin. projektiem, % no ES fondu fin. / Approved projects, % of EU funding (progress), %</t>
  </si>
  <si>
    <t>Apstiprinātie projekti , % no kopējā piešķīruma, % / Approved projects (EU funding), % of Total available financing, %</t>
  </si>
  <si>
    <t>Noslēgtie līgumi (ES fondu fin.), 
LVL / Contracted 
(EU funding), 
LVL</t>
  </si>
  <si>
    <t>Noslēgtie līgumi , % no ES fondu fin., % / Contracted, % of EU funding, %</t>
  </si>
  <si>
    <t>Progress par noslēgtajiem līgumiem, % no ES fondu fin., % / Contracted, % of EU funding (progress), %</t>
  </si>
  <si>
    <t>Noslēgtie līgumi , % no kopējā piešķīruma, % / Contracted, % of Total available financing, %</t>
  </si>
  <si>
    <r>
      <t xml:space="preserve">Izmaksāts  finansējuma saņēmējam 
(starpposma/gala maksājumi), LVL </t>
    </r>
    <r>
      <rPr>
        <b/>
        <vertAlign val="superscript"/>
        <sz val="13"/>
        <rFont val="Times New Roman"/>
        <family val="1"/>
        <charset val="186"/>
      </rPr>
      <t xml:space="preserve"> / </t>
    </r>
    <r>
      <rPr>
        <b/>
        <sz val="13"/>
        <rFont val="Times New Roman"/>
        <family val="1"/>
        <charset val="186"/>
      </rPr>
      <t xml:space="preserve">Interim/final payments to final beneficiaries 
(EU funding), 
LVL </t>
    </r>
    <r>
      <rPr>
        <sz val="12"/>
        <color theme="1"/>
        <rFont val="Times New Roman"/>
        <family val="2"/>
        <charset val="186"/>
      </rPr>
      <t/>
    </r>
  </si>
  <si>
    <r>
      <t>Izmaksāts  finansējuma saņēmējam 
(deklarējamie avansa maks.), LVL</t>
    </r>
    <r>
      <rPr>
        <b/>
        <vertAlign val="superscript"/>
        <sz val="13"/>
        <rFont val="Times New Roman"/>
        <family val="1"/>
        <charset val="186"/>
      </rPr>
      <t xml:space="preserve"> / </t>
    </r>
    <r>
      <rPr>
        <b/>
        <sz val="13"/>
        <rFont val="Times New Roman"/>
        <family val="1"/>
        <charset val="186"/>
      </rPr>
      <t xml:space="preserve">Advanced payments to final beneficiaries, that can be declared 
(EU funding), 
LVL </t>
    </r>
    <r>
      <rPr>
        <sz val="12"/>
        <color theme="1"/>
        <rFont val="Times New Roman"/>
        <family val="2"/>
        <charset val="186"/>
      </rPr>
      <t/>
    </r>
  </si>
  <si>
    <r>
      <t>Izmaksāts  finansējuma saņēmējam 
(nedeklarējamie avansa maks.), LVL</t>
    </r>
    <r>
      <rPr>
        <b/>
        <vertAlign val="superscript"/>
        <sz val="13"/>
        <rFont val="Times New Roman"/>
        <family val="1"/>
        <charset val="186"/>
      </rPr>
      <t xml:space="preserve"> / </t>
    </r>
    <r>
      <rPr>
        <b/>
        <sz val="13"/>
        <rFont val="Times New Roman"/>
        <family val="1"/>
        <charset val="186"/>
      </rPr>
      <t xml:space="preserve">Advance payments to final beneficiaries that can not be declared
(EU funding), 
LVL </t>
    </r>
    <r>
      <rPr>
        <sz val="12"/>
        <color theme="1"/>
        <rFont val="Times New Roman"/>
        <family val="2"/>
        <charset val="186"/>
      </rPr>
      <t/>
    </r>
  </si>
  <si>
    <t>Dzēstie avansi / Discharged advance payments</t>
  </si>
  <si>
    <t>Atgūtie maksājumi</t>
  </si>
  <si>
    <t>Veiktie maksājumi finansējuma saņēmējiem bez atgūtajiem maksājumiem, LVL / Payments to the final beneficiaries without recovered amount, LVL</t>
  </si>
  <si>
    <t>EK deklarējamie maksājumi finansējuma saņēmējiem / Payments to final beneficiaries that can be declared to EC</t>
  </si>
  <si>
    <r>
      <t xml:space="preserve">Izmaksāts  finansējuma saņēmējam 
(ES fondu fin.), LVL </t>
    </r>
    <r>
      <rPr>
        <b/>
        <vertAlign val="superscript"/>
        <sz val="13"/>
        <rFont val="Times New Roman"/>
        <family val="1"/>
        <charset val="186"/>
      </rPr>
      <t xml:space="preserve">4 / </t>
    </r>
    <r>
      <rPr>
        <b/>
        <sz val="13"/>
        <rFont val="Times New Roman"/>
        <family val="1"/>
        <charset val="186"/>
      </rPr>
      <t xml:space="preserve">Payments to final beneficiaries 
(EU funding), 
LVL </t>
    </r>
    <r>
      <rPr>
        <b/>
        <vertAlign val="superscript"/>
        <sz val="13"/>
        <rFont val="Times New Roman"/>
        <family val="1"/>
        <charset val="186"/>
      </rPr>
      <t>4</t>
    </r>
  </si>
  <si>
    <t>Izmaksāts  finansējuma saņēmējam, % no ES fondu fin., % / Payments to final beneficiaries, % of EU funding, 
%</t>
  </si>
  <si>
    <t>Progress par izmaksāto  finansējuma saņēmējam, % no ES fondu fin., % / Payments to final beneficiaries, % of EU funding, (progress)
%</t>
  </si>
  <si>
    <t>Izmaksāts  finansējuma saņēmējam, % no kopējā piešķīruma / Payments to final beneficiaries, % of Total available EU financing</t>
  </si>
  <si>
    <t>Eiropas Komisijā iesniegtie starpposma pieprasījumi, LVL / Interrim payment claims submited to EC (EU funding), 
LVL</t>
  </si>
  <si>
    <t>EK iesniegtie starpposma pieprasījumi , % no ES fondu fin., 
% / Interrim payment claims submited to EC, % of EU funding, 
%</t>
  </si>
  <si>
    <t>Eiropas Komisijā iesniegtie starpposma pieprasījumi , % no ES fondu fin., 
% / Interrim payment claims submited to EC, % of EU funding, 
%</t>
  </si>
  <si>
    <t>Progress par EK iesniegtajiem starpposma pieprasījumiem, % no ES fondu fin., 
% / Interrim payment claims submited to EC, % of EU funding (progress), 
%</t>
  </si>
  <si>
    <t>Saņemtie maksājumi no EK (avansi + starpposma), LVL / Received advance and interim payments from EC, LVL</t>
  </si>
  <si>
    <t>Saņemtie maksājumi no EK (avansi + starpposma), % / Received advance and interim payments from EC, % of EU funding, 
%</t>
  </si>
  <si>
    <t>Saņemtie maksājumi no Eiropas Komisijas (avansi + starpposma), % / Received advance and interim payments from EC, % of EU funding, 
%</t>
  </si>
  <si>
    <t>Progress par saņemtajiem maksājumiem no EK (avansi + starpposma), % / Received advance and interim payments from EC, % of EU funding (progress), 
%</t>
  </si>
  <si>
    <t>5a</t>
  </si>
  <si>
    <t>5.1.</t>
  </si>
  <si>
    <t>5b</t>
  </si>
  <si>
    <t>6.1.</t>
  </si>
  <si>
    <t>6.2.=5.1.+6</t>
  </si>
  <si>
    <t>8.1.=8/5.1.</t>
  </si>
  <si>
    <t>8.1=8/5</t>
  </si>
  <si>
    <t>8.2.</t>
  </si>
  <si>
    <t>8.3.=8/6.2.</t>
  </si>
  <si>
    <t>9.1.=9/5.1.</t>
  </si>
  <si>
    <t>9.2.</t>
  </si>
  <si>
    <t>9.3.=9/6.2.</t>
  </si>
  <si>
    <t>10.1.</t>
  </si>
  <si>
    <t>10.2.</t>
  </si>
  <si>
    <t>10.3.</t>
  </si>
  <si>
    <t>10.4.</t>
  </si>
  <si>
    <t>10.5.</t>
  </si>
  <si>
    <t>12=11/5.1.</t>
  </si>
  <si>
    <t>14=12/6.2.</t>
  </si>
  <si>
    <t>9.1=9/5</t>
  </si>
  <si>
    <t>10.1=10/5</t>
  </si>
  <si>
    <t>Kopā VISI fondi / Total funds</t>
  </si>
  <si>
    <t>Kopā ESF /Total ESF **</t>
  </si>
  <si>
    <t>Kopā ERAF/Total ERDF</t>
  </si>
  <si>
    <t>Kopā KF/Total CF</t>
  </si>
  <si>
    <t>I DP / I OP **</t>
  </si>
  <si>
    <t xml:space="preserve">II DP / II OP </t>
  </si>
  <si>
    <t>III DP / III OP</t>
  </si>
  <si>
    <r>
      <t xml:space="preserve">I darbības programma  "Cilvēkreursi un nodarbinātība" </t>
    </r>
    <r>
      <rPr>
        <b/>
        <i/>
        <vertAlign val="superscript"/>
        <sz val="13"/>
        <rFont val="Times New Roman"/>
        <family val="1"/>
        <charset val="186"/>
      </rPr>
      <t>5</t>
    </r>
    <r>
      <rPr>
        <b/>
        <i/>
        <sz val="13"/>
        <rFont val="Times New Roman"/>
        <family val="1"/>
        <charset val="204"/>
      </rPr>
      <t xml:space="preserve">/ I Operational programme  "Human resources and employment" </t>
    </r>
    <r>
      <rPr>
        <b/>
        <i/>
        <vertAlign val="superscript"/>
        <sz val="13"/>
        <rFont val="Times New Roman"/>
        <family val="1"/>
        <charset val="186"/>
      </rPr>
      <t>5</t>
    </r>
  </si>
  <si>
    <t>ESF</t>
  </si>
  <si>
    <t>-</t>
  </si>
  <si>
    <t>N/A</t>
  </si>
  <si>
    <t>1.1.</t>
  </si>
  <si>
    <t>Prioritāte "Augstākā izglītība un zinātne" / Priority "Higher Education and Science"</t>
  </si>
  <si>
    <t>1.1.1.</t>
  </si>
  <si>
    <t>Pasākums "Zinātnes un pētniecības potenciāla attīstība" / Measure "Development of Scientific and Research Potential"</t>
  </si>
  <si>
    <t>Aktivitāte "Zinātnes un inovāciju politikas veidošanas un administratīvās kapacitātes stiprināšana" / Activity "Strengthening of Research and Innovation Policy Development and Administrative Capacity"</t>
  </si>
  <si>
    <t>IZM / MoES</t>
  </si>
  <si>
    <t>Aktivitāte "Cilvēkresursu piesaiste zinātnei" / Activity "Attraction of Human Resources to Science"</t>
  </si>
  <si>
    <t>Aktivitāte "Motivācijas veicināšana zinātniskajai darbībai"/ Activity "Reinforcing Motivation for Scientific Activities"</t>
  </si>
  <si>
    <t>1.1.2.</t>
  </si>
  <si>
    <t>Pasākums "Augstākās izglītības attīstība"/ Measure "Development of Tertiary (Higher) Education"</t>
  </si>
  <si>
    <t>1.1.2.1.</t>
  </si>
  <si>
    <t>Aktivitāte "Atbalsts doktora un maģistra studiju īstenošanai" / Activity "Support to Doctor’s and Master’s study programmes"</t>
  </si>
  <si>
    <t>1.1.2.1.1.*</t>
  </si>
  <si>
    <t>Apakšaktivitāte "Atbalsts maģistra studiju programmu īstenošanai" / Sub-activity "Support to master’s studies"</t>
  </si>
  <si>
    <t xml:space="preserve">1.1.2.1.2. </t>
  </si>
  <si>
    <t>Apakšaktivitāte "Atbalsts doktora studiju programmu īstenošanai" / Sub-activity "Support to doctor’s studies"</t>
  </si>
  <si>
    <t>1.1.2.2.</t>
  </si>
  <si>
    <t>Aktivitāte "Atbalsts augstākās izglītības studiju uzlabošanai"/ Activity "Support to improvement of tertiary education studies"</t>
  </si>
  <si>
    <t xml:space="preserve">Apakšaktivitāte "Studiju programmu satura un īstenošanas uzlabošana un akadēmiskā personāla kompetences pilnveidošana"/Sub-activity "Improvement of Study Programme Contents, Its Implementation and Competence of Academic Personnel" </t>
  </si>
  <si>
    <t> Apakšaktivitāte "Boloņas procesa principu ieviešana augstākajā izglītībā" / Sub-activity "Implementation of Bologna Process Principles in Tertiary Education"</t>
  </si>
  <si>
    <t>1.2.</t>
  </si>
  <si>
    <t>Prioritāte "Izglītība un prasmes" / Priority "Education and Skills"</t>
  </si>
  <si>
    <t>1.2.1.</t>
  </si>
  <si>
    <t xml:space="preserve">Pasākums "Profesionālās izglītības un vispārējo prasmju attīstība"/ Measure "Development of Vocational Education and General Skills" </t>
  </si>
  <si>
    <t>1.2.1.1.</t>
  </si>
  <si>
    <t xml:space="preserve">Aktivitāte "Profesionālās izglītības sistēmas attīstība, kvalitātes, atbilstības un pievilcības uzlabošana"/ Activity "Development of vocational educational system, improvement of quality, conformity and attraction" </t>
  </si>
  <si>
    <t xml:space="preserve">Apakšaktivitāte "Nozaru kvalifikāciju sistēmas izveide un profesionālās izglītības pārstrukturizācija"/ Sub-activity "Improvement of National Qualification System, Vocational Education Contents and Cooperation among the Bodies Involved in Vocational Education" </t>
  </si>
  <si>
    <t>Apakšaktivitāte "Profesionālajā izglītībā iesaistīto pedagogu kompetences paaugstināšana"/ Sub-activity "Competence Promotion of the Educators Involved in Vocational Education"</t>
  </si>
  <si>
    <t xml:space="preserve">Apakšaktivitāte "Atbalsts sākotnējās profesionālās izglītības programmu īstenošanas kvalitātes uzlabošanai un īstenošanai"/ Sub-activity "Support to improvement and Implementation of Primary Vocational Education Programme Quality" </t>
  </si>
  <si>
    <t>Apakšaktivitāte "Sākotnējās profesionālās izglītības pievilcības veicināšana" / Sub-activity "Promotion of Primary Vocational Education Attraction"</t>
  </si>
  <si>
    <t>1.2.1.2.</t>
  </si>
  <si>
    <t>Aktivitāte "Vispārējo zināšanu un prasmju uzlabošana" / Activity "Improvement of general knowledge and skills"</t>
  </si>
  <si>
    <t>Apakšaktivitāte "Vispārējās vidējās izglītības satura reforma, mācību priekšmetu, metodikas un mācību sasniegumu vērtēšanas sistēmas uzlabošana" / Sub-activity "Reform of General Secondary Education Contents, Improvement of Study Subjects, Methodology and Evaluation System"</t>
  </si>
  <si>
    <t>Apakšaktivitāte "Atbalsts vispārējās izglītības pedagogu nodrošināšanai prioritārajos mācību priekšmetos" / Sub-activity "Support to Ensure Sufficiency of General Secondary Education Educators in Priority Subjects"</t>
  </si>
  <si>
    <t>1.2.1.2.3.*</t>
  </si>
  <si>
    <t>Apakšaktivitāte "Vispārējās izglītības pedagogu kompetences paaugstināšana un prasmju atjaunošana" / Sub-activity "Competence Promotion of General Educators and Renewal of Skills"</t>
  </si>
  <si>
    <t>1.2.2.</t>
  </si>
  <si>
    <t>Pasākums "Mūžizglītības attīstība un izglītībā un mūžizglītībā iesaistīto institūciju rīcībspējas un sadarbības uzlabošana" / Measure "Development of Lifelong Learning and Cooperation and Capacity Strengthening of Institutions responsible for Education and Lifelong Learning Policy"</t>
  </si>
  <si>
    <t>1.2.2.1.</t>
  </si>
  <si>
    <t>Aktivitāte "Mūžizglītības attīstība"/ Activity "Development of lifelong education"</t>
  </si>
  <si>
    <t>Apakšaktivitāte " Mūžizglītības pārvaldes struktūras izveide nacionālā līmenī un inovatīvu mūžizglītības politikas instrumentu izstrāde"/ Sub-activity "Lifelong learning administrating system foundation on national level and output of  innovative lifelong learning policy instruments"</t>
  </si>
  <si>
    <t xml:space="preserve">Apakšaktivitāte "Atbalsts Mūžizglītības politikas pamatnostādņu īstenošanai"/ Sub-activity "Support to Implement Lifelong Learning Policy Guidelines" </t>
  </si>
  <si>
    <t>LM / MoW</t>
  </si>
  <si>
    <t xml:space="preserve">Apakšaktivitāte „Īpašu mūžizglītības politikas jomu atbalsts/ Sub-activity „Support for specific spheres of lifelong Learning Policy” </t>
  </si>
  <si>
    <t xml:space="preserve">Apakšaktivitāte "Pedagogu konkurētspējas veicināšana izglītības sistēmas optimizācijas apstākļos" / Sub-activity "Promotion of Educators’ Competitiveness within the Optimization of Educational System" </t>
  </si>
  <si>
    <t>1.2.2.2.</t>
  </si>
  <si>
    <t>Aktivitāte "Profesionālās orientācijas un karjeras izglītības attīstība, profesionāli orientētās izglītības attīstība" / Sub-activity "Support to Implement Lifelong Learning Policy Guidelines"</t>
  </si>
  <si>
    <t>Apakšaktivitāte "Profesionālās orientācijas un karjeras izglītības attīstība izglītības sistēmā" / Sub-activity "Development of Professional Orientation and Career-Related Education in the Educational System"</t>
  </si>
  <si>
    <t xml:space="preserve">Apakšaktivitāte "Profesionālās orientācijas un karjeras izglītības pieejamības palielināšana jauniešiem, profesionāli orientētās izglītības attīstība"/ Sub-activity "Increase of Youth Access to Professional Orientation and Career Education, Development of Profession-Related Education" </t>
  </si>
  <si>
    <t>1.2.2.3.</t>
  </si>
  <si>
    <t>Aktivitāte "Par izglītības un mūžizglītības politiku atbildīgo institūciju rīcībspējas un sadarbības stiprināšana" / Improvement of cooperation and capacity strengthening of institutions responsible for the education and lifelong learning policy</t>
  </si>
  <si>
    <t>Aktivitāte "Par izglītības un mūžizglītības politiku atbildīgo institūciju rīcībspējas un sadarbības stiprināšana"/ Activity "Improvement of cooperation and capacity strengthening of institutions responsible for the education and lifelong learning policy"</t>
  </si>
  <si>
    <t>Apakšaktivitāte „Atbalsts izglītības pētījumiem” / Sub-activity „Support for education research”</t>
  </si>
  <si>
    <t>1.2.2.4.</t>
  </si>
  <si>
    <t>Aktivitāte "Izglītības pieejamības nodrošināšana sociālās atstumtības riskam pakļautajiem jauniešiem un iekļaujošas izglītības attīstība"/ Activity "Improvement of education accessibility for young people groups at risk of social exclusion and development of inclusive education"</t>
  </si>
  <si>
    <t>Apakšaktivitāte "Iekļaujošas izglītības un sociālās atstumtības riskam pakļauto jauniešu atbalsta sistēmas izveide, nepieciešamā personāla sagatavošana, nodrošināšana un kompetences paaugstināšana" / Sub-activity "Formation of Support System for Inclusive Education and Youth at Risk of Social Exclusion, Training, Ensuring and Competence Promoting of the Necessary Personnel"</t>
  </si>
  <si>
    <t>Apakšaktivitāte "Atbalsta pasākumu īstenošana jauniešu sociālās atstumtības riska mazināšanai un jauniešu ar funkcionālajiem traucējumiem integrācijai izglītībā"/ Sub-activity "Implementation of Support Measures for Social Exclusion Decrease of Youth and Integration of Disabled Youth into Education"</t>
  </si>
  <si>
    <t>IZM</t>
  </si>
  <si>
    <t xml:space="preserve">1.3. </t>
  </si>
  <si>
    <t>Prioritāte "Nodarbinātības veicināšana un veselība darbā" / Priority "Promotion of Employment and Health at Work"</t>
  </si>
  <si>
    <t>1.3.1.</t>
  </si>
  <si>
    <t>Pasākums "Nodarbinātība" / Measure "Employment"</t>
  </si>
  <si>
    <t>1.3.1.1.</t>
  </si>
  <si>
    <t>Aktivitāte "Darbaspējas vecuma iedzīvotāju konkurētspējas paaugstināšana darba tirgū, t.sk., nodarbināto pārkvalifikācija un aktīvie nodarbinātības pasākumi / Activity "Enhancement of the competitiveness of residents in working age, including retraining and active employment measures"</t>
  </si>
  <si>
    <t>Apakšaktivitāte "Atbalsts nodarbināto apmācībām komersantu konkurētspējas veicināšanai - atbalsts partnerībās organizētām apmācībām "/ Sub-activity "Support to training for employed in partnership"</t>
  </si>
  <si>
    <t>EM / MoE</t>
  </si>
  <si>
    <t>1.3.1.1.3.*</t>
  </si>
  <si>
    <t>Apakšaktivitāte "Bezdarbnieku un darba meklētāju apmācība"/ Sub-activity "Training of unemployed and job seekers"</t>
  </si>
  <si>
    <t>Apakšaktivitāte "Atbalsts nodarbināto apmācībām komersantu konkurētspējas veicināšanai - atbalsts komersantu individuāli organizētām apmācībām"/ Sub-activity - "Support to training for employed for enhancing competitiveness of enterprises - support to individually organized training by enterprises"</t>
  </si>
  <si>
    <t xml:space="preserve">1.3.1.1.5. </t>
  </si>
  <si>
    <t>Apakšaktivitāte "Atbalsts potenciālo bezdarbnieku apmācībai" / Sub-activity "Support to people at risk of unemployment"</t>
  </si>
  <si>
    <t xml:space="preserve">1.3.1.1.6. </t>
  </si>
  <si>
    <t>Aktivitāte "Atbalsts darba vietu radīšanai" / Activity "Support to create new jobs"</t>
  </si>
  <si>
    <t>Aktivitāte "Atbalsts pašnodarbinātības un uzņēmējdarbības uzsākšanai"/ Activity "Support for self-employment and business start-ups"</t>
  </si>
  <si>
    <t>1.3.1.3.</t>
  </si>
  <si>
    <t>Aktivitāte "Darba attiecību un darba drošības normatīvo aktu  praktiska piemērošana un uzraudzības pilnveidošana"/ Activity "Practical application of the legislation on labour relations, occupational safety and health, and improvement of supervision"</t>
  </si>
  <si>
    <t xml:space="preserve">1.3.1.3.1. </t>
  </si>
  <si>
    <t>Apakšaktivitāte "Darba attiecību un darba drošības normatīvo aktu uzraudzības pilnveidošana" / Sub-activity "Improvement of supervision of labour relations and occupational safety and health legislation implementation"</t>
  </si>
  <si>
    <t>Apakšaktivitāte "Darba attiecību un darba drošības normatīvo aktu praktiska piemērošana nozarēs un uzņēmumos" / Sub-activity "Practical application of the legislation on occupational safety and health and labour relations in sectors and enterprises"</t>
  </si>
  <si>
    <t>Aktivitāte "Kapacitātes stiprināšana darba tirgus institūcijām"/ Activity "Capacity building of labour market institutions"</t>
  </si>
  <si>
    <t>1.3.1.5.</t>
  </si>
  <si>
    <t>Aktivitāte "Vietējo nodarbinātības veicināšanas pasākumu plānu ieviešanas atbalsts" / Activity "Support for the implementation of regional action plans for promotion of employment"</t>
  </si>
  <si>
    <t xml:space="preserve">Aktivitāte "Atbalsts dzimumu līdztiesības veicināšanai darba tirgū"/ Activity "Promotion of gender equality in the labour market" </t>
  </si>
  <si>
    <t>Aktivitāte "Darba tirgus pieprasījuma īstermiņa un ilgtermiņa prognozēšanas un uzraudzības sistēmas attīstība"/ Activity "Forecasting short-term and long-term labour market demands and the development of a monitoring system"</t>
  </si>
  <si>
    <t>Aktivitāte "Atbalsts labāko inovatīvo risinājumu meklējumiem un labas prakses piemēru integrēšanai darba tirgus politikās un ieviešanas instrumentārijos" / Activity "Support for seeking the best innovative solutions and for integrating the best practices in the labour market policies and implementation instruments"</t>
  </si>
  <si>
    <t>Aktivitāte "Augstas kvalifikācijas darbinieku piesaiste" / Activity "Attraction of highly qualified employees"</t>
  </si>
  <si>
    <t>1.3.2.</t>
  </si>
  <si>
    <t>Pasākums "Veselība darbā"/ Measure "Health at work"</t>
  </si>
  <si>
    <t>VeM / MoH</t>
  </si>
  <si>
    <t>Aktivitāte "Veselības uzlabošana darbavietā, veicinot ilgtspējīgu nodarbinātību"/ Activity "Better Health at Work and Sustaining Employment"</t>
  </si>
  <si>
    <t>Aktivitāte "Pētījumi un aptaujas par veselību darbā"/ Activity "Studies and surveys in health at work"</t>
  </si>
  <si>
    <t>Aktivitāte "Veselības aprūpes un veicināšanas procesā iesaistīto institūciju personāla kompetences, prasmju un iemaņu līmeņa paaugstināšana"/ Activitity "Enhancement of competencies, qualification and skills of health care and health promotion professionals"</t>
  </si>
  <si>
    <t>1.4.</t>
  </si>
  <si>
    <t>Prioritāte "Sociālās iekļaušanas veicināšana"/ Priority "Promotion of Social Inclusion"</t>
  </si>
  <si>
    <t>1.4.1.</t>
  </si>
  <si>
    <t>Pasākums "Sociālā iekļaušana"/ Measure "Social Inclusion"</t>
  </si>
  <si>
    <t>1.4.1.1.</t>
  </si>
  <si>
    <t xml:space="preserve">Aktivitāte "Iedzīvotāju ekonomiskās aktivitātes stimulēšana"/ Activity "Stimulating economic activity of the population" </t>
  </si>
  <si>
    <t>LM /MoW</t>
  </si>
  <si>
    <t>Apakšaktivitāte "Kompleksi atbalsta pasākumi iedzīvotāju integrēšanai darba tirgū"/ Sub-activity „Complex supporting activities for inhabitants’ integration in labour market”</t>
  </si>
  <si>
    <t>Apakšaktivitāte "Atbalstītās nodarbinātības pasākumi mērķgrupu bezdarbniekiem"/ Activity "Supported employment measures for unemployed persons from specific target groups"</t>
  </si>
  <si>
    <t>1.4.1.2.</t>
  </si>
  <si>
    <t>Aktivitāte "Darbspēju vērtēšanas sistēmas un sociālo pakalpojumu ieviešanas sistēmas pilnveidošana"/ Activity "Improvement of the working capacity evaluation system and the system of introducing social services"</t>
  </si>
  <si>
    <t xml:space="preserve">1.4.1.2.1. </t>
  </si>
  <si>
    <t>Apakšaktivitāte "Darbspēju vērtēšanas sistēmas pilnveidošana"/ Sub-activity „Development of the system for working ability assesment”</t>
  </si>
  <si>
    <t>Apakšaktivitāte "Sociālās rehabilitācijas pakalpojumu attīstība personām ar redzes un dzirdes traucējumiem"/ Sub-activity „The development of social rehabilitation services for persons with sight and hearing disorders”</t>
  </si>
  <si>
    <t>1.4.1.2.4.*</t>
  </si>
  <si>
    <t>Sociālās rehabilitācijas un institūcijām alternatīvu sociālās aprūpes pakalpojumu attīstība reģionos/ Sub-activity „Development of social rehabilitation and alternative social care services in regions“</t>
  </si>
  <si>
    <t>1.5.</t>
  </si>
  <si>
    <t xml:space="preserve">Prioritāte "Administratīvās kapacitātes stiprināšana"/ Priority "Administrative Capacity Building" </t>
  </si>
  <si>
    <t>1.5.1.</t>
  </si>
  <si>
    <t>Pasākums "Labāka regulējuma politika"/ Measure "Better Regulation Policy"</t>
  </si>
  <si>
    <t>1.5.1.1.</t>
  </si>
  <si>
    <t>Aktivitāte "Politikas ietekmes novērtēšana un politikas pētījumu veikšana"/ Activity "Policy Impact Assessment and Conducting Policy Research"</t>
  </si>
  <si>
    <t>Apakšaktivitāte "Atbalsts strukturālo reformu īstenošanai un analītisko spēju stiprināšanai valsts pārvaldē"/ Sub-activity "Improvement of Policy Planning, Policy Implementation and Policy Impact Assessment"</t>
  </si>
  <si>
    <t>FM/MoF</t>
  </si>
  <si>
    <t>Apakšaktivitāte "Politikas pētījumu veikšana"/ Sub-activity "Conducting Policy Research"</t>
  </si>
  <si>
    <t>Vkanceleja/State Chancellery</t>
  </si>
  <si>
    <t>Aktivitāte "Administratīvo šķēršļu samazināšana un publisko pakalpojumu kvalitātes uzlabošana"/ Activity "Reduction of Administrative Barriers and Quality Improvement of Public Services"</t>
  </si>
  <si>
    <t>1.5.1.3.</t>
  </si>
  <si>
    <t>Aktivitāte "Publisko varu realizējošo institūciju darbības kvalitātes un efektivitātes paaugstināšana"/ Activity "Increasing Operational Quality and Efficiency of Public Administration Institutions"</t>
  </si>
  <si>
    <t xml:space="preserve">1.5.1.3.1. </t>
  </si>
  <si>
    <t>Apakšaktivitāte "Kvalitātes vadības sistēmas izveide un ieviešana"/ Sub-activity "Development and Introduction of the Quality Management System"</t>
  </si>
  <si>
    <t>Apakšaktivitāte "Publisko pakalpojumu kvalitātes paaugstināšana valsts, reģionālā un vietējā līmenī"/ Sub-activity "Improvement of Quality of Public Services at the National, Regional and Local Level"</t>
  </si>
  <si>
    <t>1.5.2.</t>
  </si>
  <si>
    <t>Pasākums "Cilvēkresursu kapacitātes stiprināšana" / Measure "Capacity Building of Human Resources"   </t>
  </si>
  <si>
    <t>Aktivitāte "Publiskās pārvaldes cilvēkresursu plānošanas un vadības IT sistēmas izstrāde un ieviešana" / Activity "Development of Human Resource Planning and Management System in Public Administration"</t>
  </si>
  <si>
    <t>1.5.2.2.</t>
  </si>
  <si>
    <t>Aktivitāte "Sociālo partneru, nevalstisko organizāciju un pašvaldību kapacitātes stiprināšana"/ Activity "Capacity Building of Social Partners, Non-Governmental Organisations and Municipalities"</t>
  </si>
  <si>
    <t>Apakšaktivitāte "Sociālo partneru administratīvās kapacitātes stiprināšana"/ Sub-activity "Administrative Capacity Building of Social Partners"</t>
  </si>
  <si>
    <t>1.5.2.2.2.*</t>
  </si>
  <si>
    <t>Apakšaktivitāte "NVO administratīvās kapacitātes stiprināšana"/ Sub-activity "Administrative Capacity Building of NGOs"</t>
  </si>
  <si>
    <t>1.5.2.2.3.*</t>
  </si>
  <si>
    <t>Apakšaktivitāte "Atbalsts pašvaldībām kapacitātes stiprināšanā Eiropas Savienības struktūrfondu finansēto pasākumu ieviešanā" / Sub-activity "Support to Municipalities in Building their Capacities to Implement Measures financed by the Structural Funds"</t>
  </si>
  <si>
    <t>1.5.3.</t>
  </si>
  <si>
    <t xml:space="preserve">Pasākums "Plānošanas reģionu un vietējo pašvaldību administratīvās un attīstības plānošanas kapacitātes stiprināšana"/ Measure "Administrative Capacity and Development Planning Capacity Building of Planning Regions and Local Governments" </t>
  </si>
  <si>
    <t>VARAM/ MoEPRD</t>
  </si>
  <si>
    <t>1.5.3.1.*</t>
  </si>
  <si>
    <t>Aktivitāte "Speciālistu piesaiste plānošanas reģioniem, pilsētām un novadiem" / Activity "Attracting Specialists to Planning Regions, Towns and Amalgamated Municipalities"</t>
  </si>
  <si>
    <t>1.5.3.2.*</t>
  </si>
  <si>
    <t>Aktivitāte "Plānošanas reģionu un vietējo pašvaldību attīstības plānošanas kapacitātes paaugstināšana" / Activity "Development Planning Capacity Building of Planning Regions and Local Governments"</t>
  </si>
  <si>
    <t>1.6.</t>
  </si>
  <si>
    <t>Prioritāte "Tehniskā palīdzība"/ Technical Assistance</t>
  </si>
  <si>
    <t>1.6.1.</t>
  </si>
  <si>
    <t xml:space="preserve">Pasākums "Atbalsts darbības programmas "Cilvēkresursi un nodarbinātība" vadībai"/ Measure “Assistance for the Management of the Operational Programme „Human Resources and Employment”” </t>
  </si>
  <si>
    <t>Aktivitāte "Programmas vadības un atbalsta funkciju nodrošināšana"/ Activity "Assistance for the Management of the Operational Programme"</t>
  </si>
  <si>
    <r>
      <t xml:space="preserve">Darbības programma "Uzņēmējdarbība un inovācijas" </t>
    </r>
    <r>
      <rPr>
        <b/>
        <i/>
        <vertAlign val="superscript"/>
        <sz val="13"/>
        <rFont val="Times New Roman"/>
        <family val="1"/>
        <charset val="204"/>
      </rPr>
      <t>6</t>
    </r>
    <r>
      <rPr>
        <b/>
        <i/>
        <vertAlign val="superscript"/>
        <sz val="13"/>
        <rFont val="Times New Roman"/>
        <family val="1"/>
        <charset val="186"/>
      </rPr>
      <t xml:space="preserve"> * </t>
    </r>
    <r>
      <rPr>
        <b/>
        <i/>
        <sz val="13"/>
        <rFont val="Times New Roman"/>
        <family val="1"/>
        <charset val="204"/>
      </rPr>
      <t xml:space="preserve">/ II Operational programme "Entrepreneurship and Innovations" </t>
    </r>
    <r>
      <rPr>
        <b/>
        <i/>
        <vertAlign val="superscript"/>
        <sz val="13"/>
        <rFont val="Times New Roman"/>
        <family val="1"/>
        <charset val="204"/>
      </rPr>
      <t xml:space="preserve">6 </t>
    </r>
    <r>
      <rPr>
        <b/>
        <i/>
        <vertAlign val="superscript"/>
        <sz val="13"/>
        <rFont val="Times New Roman"/>
        <family val="1"/>
        <charset val="186"/>
      </rPr>
      <t>*</t>
    </r>
  </si>
  <si>
    <t>ERAF / ERDF</t>
  </si>
  <si>
    <t>Atšķirības DP un  DPP finanšu plānos ir izskaidrojamas ar to, ka grozījumi DP, kas ir veikti, vēl nav saskaņoti ar EK.</t>
  </si>
  <si>
    <t>Prioritāte "Zinātne un inovācijas"/ Priority „Science and Innovations”</t>
  </si>
  <si>
    <t>Since October 30, 2009 there is discussion with EC going on about the necessity of OP amendments and amount.</t>
  </si>
  <si>
    <t>2.1.1.</t>
  </si>
  <si>
    <t>Pasākums "Zinātne, pētniecība un attīstība"/ Measure „Science, Research and Development”</t>
  </si>
  <si>
    <t xml:space="preserve">Decrease of funding within the measure 2.1.1. “Science, Research and Development”,  is due to reduced funding from the sub-activity 2.1.1.3.2.“Improvement of IT Infrastructure and IT System for the Research Needs”. </t>
  </si>
  <si>
    <t xml:space="preserve">2.1.1.1. </t>
  </si>
  <si>
    <t>Aktivitāte "Atbalsts zinātnei un pētniecībai"/ Activity "Support to Science and Research"</t>
  </si>
  <si>
    <t>Reallocated from the activity 2.1.1.2.</t>
  </si>
  <si>
    <t xml:space="preserve">2.1.1.2. </t>
  </si>
  <si>
    <t>Aktivitāte "Atbalsts starptautiskās sadarbības projektiem zinātnē un tehnoloģijās (EUREKA, 7.IP un citi)" / Activity "Support to International Cooperation Projects in Research and Technologies (EUREKA, 7th FP, etc.)"</t>
  </si>
  <si>
    <r>
      <t xml:space="preserve">Community funding available within the activity 2.1.1.2. </t>
    </r>
    <r>
      <rPr>
        <sz val="12"/>
        <color rgb="FFFF0000"/>
        <rFont val="Times New Roman"/>
        <family val="1"/>
        <charset val="186"/>
      </rPr>
      <t>was reduced and at the same time reallocated to the activity 2.1.1.1. “Support to Science and Research” in order to implement second call of project proposals</t>
    </r>
  </si>
  <si>
    <t>2.1.1.3.</t>
  </si>
  <si>
    <t>Aktivitāte "Zinātnes un pētniecības infrastruktūras attīstība"/ Activity "Development of the scientific and research infrastructure"</t>
  </si>
  <si>
    <t>Please see coments for the sub-activities 2.1.1.3.1. and 2.1.1.3.2.</t>
  </si>
  <si>
    <t xml:space="preserve">2.1.1.3.1. </t>
  </si>
  <si>
    <t>Apakšaktivitāte "Zinātnes infrastruktūras attīstība"/ Sub-activity "Development of  Research Infrastructure"</t>
  </si>
  <si>
    <t>ERAF</t>
  </si>
  <si>
    <t>Funding was re-allocated from the activity 2.1.1.3.2.</t>
  </si>
  <si>
    <t>Apakšaktivitāte "Informācijas tehnoloģiju infrastruktūras un informācijas sistēmu uzlabošana zinātniskajai darbībai" / Sub-activity "Improvement of IT Infrastructure and IT System for the Research Needs"</t>
  </si>
  <si>
    <t xml:space="preserve">Due to the budged consolidation in year 2010 there was reduction of national public funding. Community funding did not change. </t>
  </si>
  <si>
    <t>2.1.2.</t>
  </si>
  <si>
    <t>Pasākums "Inovācijas"/Measure „Innovations”</t>
  </si>
  <si>
    <t xml:space="preserve">Re-allocation of the funding among the activities within the same measure - 2.1.2.“Innovations”, and reallocation  of the funding available within the measure to the sub-activity 2.2.1.4.2.“Mezzanine investment loans for development of enterprise competitiveness” and activity 2.2.1.1. “Holding fund for the investment in guarantee, high-risk loans, and venture capital funds and other financial instruments” of the priority 2.2 “Access to Finances”. </t>
  </si>
  <si>
    <t>2.1.2.1.</t>
  </si>
  <si>
    <t xml:space="preserve"> Aktivitāte "Zinātnes komercializācija un tehnoloģiju pārnese"/ Activity "Commercialisation of science and transfer of technologies"</t>
  </si>
  <si>
    <t>Re-allocation of the funding from the activity 2.1.2.2.</t>
  </si>
  <si>
    <t>Apakšaktivitāte "Kompetences centri" / Sub-activity "Competence centres"</t>
  </si>
  <si>
    <t>Re-allocation of the free funding from the sub-activity 2.1.2.1.2., sub-activity 2.1.2.2.1. and sub-activity 2.1.2.2.3. to the sub-activity 2.1.2.1.1.</t>
  </si>
  <si>
    <t>Apakšaktivitāte "Tehnoloģiju pārneses kontaktpunkti"/ Sub-activity "Contact Points of Transfer of Technologies"</t>
  </si>
  <si>
    <t>Re-allocation of the funding from the subactivity 2.1.2.1.2. to the activity 2.1.2.4.</t>
  </si>
  <si>
    <t>Apakšaktivitāte "Tehnoloģiju pārneses centri"/ Sub-activity "Centres of transfer of Technologies"</t>
  </si>
  <si>
    <t>2.1.2.2.</t>
  </si>
  <si>
    <t>Aktivitāte "Jaunu produktu un tehnoloģiju izstrāde"/ Activity "Development of new products and technologies"</t>
  </si>
  <si>
    <t>Reallocation of funding not committed within activity 2.1.2.2. “Development of new products and technologies” , firstly, to the activity 2.1.2.4. “High-value investments”; secondly, to the sub-activity 2.1.2.2.4. “New product and technology development in SME’s”.</t>
  </si>
  <si>
    <t>2.1.2.2.1.*</t>
  </si>
  <si>
    <t>Apakšaktivitāte "Jaunu produktu un tehnoloģiju izstrāde" / Sub-activity "Development of new products and technologies"</t>
  </si>
  <si>
    <t>Reallocation of funding not committed within 2.1.2.2. “Development of new products and technologies” activity, firstly, to the activity 2.1.2.4. “High-value investments”; secondly, to the sub-activity 2.1.2.2.4. “New product and technology development in SME’s”.</t>
  </si>
  <si>
    <t>2.1.2.2.2. *</t>
  </si>
  <si>
    <t xml:space="preserve">Apakšaktivitāte "Jaunu produktu un tehnoloģiju izstrāde - atbalsts jaunu produktu un tehnoloģiju ieviešanai ražošanā"/Sub-activity "Development of new products and technologies - aid for implementation of new products and Technologies in production" </t>
  </si>
  <si>
    <t>Apakšaktivitāte "Jaunu produktu un tehnoloģiju izstrāde - atbalsts rūpnieciskā īpašuma tiesību nostiprināšanai" /Sub-activity "Development of new products and technologies -  aid for industrial property rights"</t>
  </si>
  <si>
    <t>Apakšaktivitāte "MVK jaunu produktu un tehnoloģiju attīstības programma"/ Sub-activity "New product and technology development in SMEs"</t>
  </si>
  <si>
    <t>Activity was created in 2011.</t>
  </si>
  <si>
    <t>2.1.2.3.</t>
  </si>
  <si>
    <t>Aktivitāte "Zinātnes un tehnoloģiju parks" /Activity "Science and Technology park"</t>
  </si>
  <si>
    <t xml:space="preserve">Activity 2.1.2.3.“Science and Technology Park” was suspended due to the overlapping with the sub-activity 2.1.2.3.1.“Development of Research Infrastructure”. </t>
  </si>
  <si>
    <t>Apakšaktivitāte "Rīgas zinātnes un tehnoloģiju parka (ZTP) attīstība"/Sub-activity "Development of Science and Technology park of Riga"</t>
  </si>
  <si>
    <t xml:space="preserve">2.1.2.4. </t>
  </si>
  <si>
    <t xml:space="preserve">Aktivitāte "Augstas pievienotās vērtības investīcijas"/Activity "High value-added investments" </t>
  </si>
  <si>
    <t>Increase of funding within the avtivity was done by several re-allocations: 1) from activity 2.1.2.3.; 2) several mutual amendments from and to activity 2.1.2.2.2. 3)  from activities 2.1.2.2.1. and 2.1.2.2.3. from OP "Infrastructure and services.</t>
  </si>
  <si>
    <t>2.2.</t>
  </si>
  <si>
    <t>Prioritāte "Finanšu pieejamība"/Priority “Access to Finances”</t>
  </si>
  <si>
    <t xml:space="preserve">Reallocation  of the funding available within the measure 2.1.2.“Innovations” to the sub-activity 2.2.1.4.2.“Mezzanine investment loans for development of enterprise competitiveness” and activity 2.2.1.1. “Holding fund for the investment in guarantee, high-risk loans, and venture capital funds and other financial instruments” of the priority 2.2 “Access to Finances”. </t>
  </si>
  <si>
    <t>2.2.1.</t>
  </si>
  <si>
    <t>Pasākums "Finanšu resursu pieejamība"/Measure „Accessability of Financial Resources”</t>
  </si>
  <si>
    <t xml:space="preserve">Reallocation  of the funding available within the measure 2.1.2.“Innovations” to the priority 2.2 “Access to Finances”. </t>
  </si>
  <si>
    <t xml:space="preserve"> Aktivitāte "Ieguldījumu fonds investīcijām garantijās, paaugstināta riska aizdevumos, riska kapitāla fondos un cita veida finanšu instrumentos"/Activity "Holding fund for the investment in guarantee, high-risk loans, and venture capital funds and other financial instruments" </t>
  </si>
  <si>
    <t xml:space="preserve">Reallocation  of the funding available within the measure 2.1.2.“Innovations” to the  activity 2.2.1.1. “Holding fund for the investment in guarantee, high-risk loans, and venture capital funds and other financial instruments” </t>
  </si>
  <si>
    <t>2.2.1.2.</t>
  </si>
  <si>
    <t>Aktivitāte "Stratēģisko investoru piesaiste"/Activity "Attraction of strategic investors"</t>
  </si>
  <si>
    <t>Apakšaktivitāte "Biznesa eņģeļu tīkls"/Sub-activity "Business angels network"</t>
  </si>
  <si>
    <t>Apakšaktivitāte "Vērtspapīru birža MVK"/Sub-activity "Stock Exchange for SMEs"</t>
  </si>
  <si>
    <t xml:space="preserve">2.2.1.3. </t>
  </si>
  <si>
    <t xml:space="preserve">Aktivitāte "Garantijas komersantu konkurētspējas uzlabošanai" /Activity "Guarantees for development of enterprise competitiveness" </t>
  </si>
  <si>
    <t xml:space="preserve">2.2.1.4. </t>
  </si>
  <si>
    <t xml:space="preserve">Aktivitāte "Aizdevumi komersantu konkurētspējas uzlabošanai"/Activity "Loans for development of enterprise competitiveness" </t>
  </si>
  <si>
    <t>Reallocation  of the funding available within the measure 2.1.2.“Innovations” to the sub-activity 2.2.1.4.2.“Mezzanine investment loans for development of enterprise competitiveness”</t>
  </si>
  <si>
    <t>Apakšaktivitāte "Atbalsts aizdevumu veidā komersantu konkurētspējas uzlabošanai"/Sub-activity "Support in a way of loans for development of enterprise competitiveness"</t>
  </si>
  <si>
    <t>Apakšaktivitāte "Mezanīna aizdevumi investīcijām komersantu konkurētspējas uzlabošanai"/ Sub-activity "Mezzanine investment loans for development of enterprise copmpetitiveness"</t>
  </si>
  <si>
    <t>Activity was introduced in 2011 and funding was re-allocated by reducing funding from activity 2.2.1.3."Guarantees for development of enterprise competitiveness" (due to the fact tha the EC did not approve the increase of funding within the Guarantee programme).</t>
  </si>
  <si>
    <t>2.3.</t>
  </si>
  <si>
    <t>Prioritāte "Uzņēmējdarbības veicināšana"/Priority “Promotion of Entrepreneurship”</t>
  </si>
  <si>
    <t>2.3.1.</t>
  </si>
  <si>
    <t>Pasākums "Uzņēmējdarbības atbalsta aktivitātes"/Measure „Business Support Activities”</t>
  </si>
  <si>
    <t>Realocation of the funding form the measure 2.3.2. to the measure 2.3.1.</t>
  </si>
  <si>
    <t>2.3.1.1.</t>
  </si>
  <si>
    <t>Aktivitāte "Ārējo tirgu apgūšana"/Activity "Access to international trade markets"</t>
  </si>
  <si>
    <t>2.3.1.1.1. *</t>
  </si>
  <si>
    <t xml:space="preserve">Apakšaktivitāte „Ārējo tirgu apgūšana - ārējais mārketings” /Sub-activity  ”Access to international trade markets-external marketing” </t>
  </si>
  <si>
    <t xml:space="preserve">Reallocation of the financing available within 2.3.2.2.2. activity to the sub-activity 2.3.1.1.1.“Access to international trade markets” and sub-activity 2.3.1.1.2.“Access to international trade markets-strengthening international competitiveness of industry sector” </t>
  </si>
  <si>
    <t>Apakšaktivitāte „Ārējo tirgu apgūšana – nozaru starptautiskās konkurētspējas stiprināšana” /Sub-activity “Access to international trade markets-strengthening international competitiveness  of industry sector”</t>
  </si>
  <si>
    <t>Aktivitāte "Pasākumi motivācijas celšanai inovācijām un uzņēmējdarbības uzsākšanai"/Activity "Measures to encourage innovations and business start-ups"</t>
  </si>
  <si>
    <t>2.3.2.</t>
  </si>
  <si>
    <t>Pasākums "Uzņēmējdarbības infrastruktūras un aprīkojuma uzlabojumi"/Measure „Business Infrastructure and Improvements to Equipment”</t>
  </si>
  <si>
    <t>Aktivitāte "Biznesa inkubatori"/Activity "Business incubators"</t>
  </si>
  <si>
    <t xml:space="preserve">2.3.2.2. </t>
  </si>
  <si>
    <t>Aktivitāte "Atbalsts ieguldījumiem mikro, maziem un vidējiem komersantiem īpaši atbalstāmajās teritorijās (ĪAT)"/Activity "Co-financing to the investments in micro, small and medium-sized entreprises operating in the specially assisted arears"</t>
  </si>
  <si>
    <t>Reallocation of the financing available within 2.3.2.2.2. activity to the sub-activity 2.3.1.1.1.“Access to international trade markets” and sub-activity 2.3.1.1.2.“Access to international trade markets-strengthening international competitiveness of industry sector” , as well as to the activity 2.3.2.3.</t>
  </si>
  <si>
    <t>2.3.2.2.2.*</t>
  </si>
  <si>
    <t>Apakšaktivitāte "Atbalsts ieguldījumiem ražošanas telpu izveidei vai rekonstrukcijai"/ Sub-activity "Support for construction or reconstruction of industrial premises"</t>
  </si>
  <si>
    <t>Activity is not implemented</t>
  </si>
  <si>
    <t>Aktivitāte "Klasteru programma"/Activity "Cluster programm"</t>
  </si>
  <si>
    <t>In April 2009 the implementation of the activity was suspended  and funding was taken out and re-allocated to the sub-activity 2.3.1.1.1.). In July 2011 Cabinet of Ministers took a decision to start again the implementation of the activity and ERDF funding within the amount of 3 407 289 lats was reallocated from activity 2.3.2.2.</t>
  </si>
  <si>
    <t>2.4.***</t>
  </si>
  <si>
    <t>Prioritāte "Tehniskā palīdzība"/Priority “Technical Assistance”</t>
  </si>
  <si>
    <t>FM / MoF</t>
  </si>
  <si>
    <t xml:space="preserve">10% of the national public financing and 10% of the ERDF funding previously allocated to the priority 2.4.“Technical Assistance” is allocated to the priority 2.2. “Access to Finances”, neminot, ka pārdale uz mezanīnu. </t>
  </si>
  <si>
    <r>
      <t>2.4.1.</t>
    </r>
    <r>
      <rPr>
        <b/>
        <vertAlign val="superscript"/>
        <sz val="13"/>
        <rFont val="Times New Roman"/>
        <family val="1"/>
        <charset val="186"/>
      </rPr>
      <t>8</t>
    </r>
  </si>
  <si>
    <t>Pasākums "Atbalsts darbības programmas "Uzņēmējdarbība un inovācijas" vadībai"/Measure “Assistance for the Management of the Operational Programme „Entrepreneurship and Innovations””</t>
  </si>
  <si>
    <t>Aktivitāte "Programmas vadības un atbalsta funkciju nodrošināšana"/Activity "Ensuring programme management and support"</t>
  </si>
  <si>
    <t xml:space="preserve">10% of the national public financing and 10% of the ERDF funding previously allocated to the priority 2.4.“Technical Assistance” is allocated to the priority 2.2. “Access to Finances”, in particular to the new sub-activity 2.2.1.4.2.“Mezzanine investment loans for development of enterprise competitiveness” </t>
  </si>
  <si>
    <t>3.</t>
  </si>
  <si>
    <r>
      <t xml:space="preserve">III darbības programma "Infrastruktūra un pakalpojumi" </t>
    </r>
    <r>
      <rPr>
        <b/>
        <i/>
        <vertAlign val="superscript"/>
        <sz val="13"/>
        <rFont val="Times New Roman"/>
        <family val="1"/>
        <charset val="186"/>
      </rPr>
      <t>7</t>
    </r>
    <r>
      <rPr>
        <b/>
        <i/>
        <sz val="13"/>
        <rFont val="Times New Roman"/>
        <family val="1"/>
        <charset val="204"/>
      </rPr>
      <t xml:space="preserve">/ III Operational programme "Infrastructure and Services" </t>
    </r>
    <r>
      <rPr>
        <b/>
        <i/>
        <vertAlign val="superscript"/>
        <sz val="13"/>
        <rFont val="Times New Roman"/>
        <family val="1"/>
        <charset val="186"/>
      </rPr>
      <t>7</t>
    </r>
  </si>
  <si>
    <t>ERAF/KF / ERDF/CF</t>
  </si>
  <si>
    <t>III DP - ERAF/III OP - ERDF</t>
  </si>
  <si>
    <t>III DP - KF/ III OP - CF</t>
  </si>
  <si>
    <t>KF/CF</t>
  </si>
  <si>
    <t>3.1.</t>
  </si>
  <si>
    <t>Prioritāte "Infrastruktūra cilvēku kapitāla nostiprināšanai" / Priority "Infrastructure for Strengthening Human Capital"</t>
  </si>
  <si>
    <t>3.1.1.</t>
  </si>
  <si>
    <t xml:space="preserve">Pasākums "Profesionālās izglītības infrastruktūra"/Measure "Vocational Education Infrastructure" </t>
  </si>
  <si>
    <t>Aktivitāte "Mācību aprīkojuma modernizācija un infrastruktūras uzlabošana profesionālās izglītības programmu īstenošanai"/Modernisation of Equipment and Improvement of Infrastructure for Implementation of Vocational Education Programmes</t>
  </si>
  <si>
    <t>Aktivitāte "Profesionālās izglītības infrastruktūras attīstība un mācību aprīkojuma modernizācija ieslodzījuma vietās"/Improvement of Vocational Education Infrastructure and Modernisation of Equipment in Places of Imprisonment</t>
  </si>
  <si>
    <t>3.1.2.</t>
  </si>
  <si>
    <t>Pasākums "Augstākās izglītības infrastruktūra"/Measure "Tertiary (Higher) Education Infrastructure"</t>
  </si>
  <si>
    <t>3.1.2.1.1.*</t>
  </si>
  <si>
    <t>Apakšaktivitāte "Augstākās izglītības iestāžu telpu un iekārtu modernizēšana studiju programmu kvalitātes uzlabošanai, tajā skaitā, nodrošinot izglītības programmu apgūšanas iespējas arī personām ar funkcionāliem traucējumiem"/Modernization of Premises and Devices for Improvement of Study Programme Quality at Higher Educational Establishments, including Provision of Education Opportunities for Individuals with Functional Disabilities</t>
  </si>
  <si>
    <t>Apakšaktivitāte "Jaunu koledžas studiju programmu attīstība aviācijas nozarē"/Improvement of New Study Programme at Colleges or Establishment of New Colleges</t>
  </si>
  <si>
    <t>3.1.3.</t>
  </si>
  <si>
    <t>Pasākums "Izglītības infrastruktūra vispārējo prasmju nodrošināšanai"/Measure "Ensuring Educational Infrastructure for General Skills" </t>
  </si>
  <si>
    <r>
      <t>Aktivitāte "Kvalitatīvai dabaszinātņu apguvei atbilstošas materiālās bāzes nodrošināšana"</t>
    </r>
    <r>
      <rPr>
        <vertAlign val="superscript"/>
        <sz val="13"/>
        <rFont val="Times New Roman"/>
        <family val="1"/>
        <charset val="186"/>
      </rPr>
      <t xml:space="preserve"> </t>
    </r>
    <r>
      <rPr>
        <sz val="13"/>
        <rFont val="Times New Roman"/>
        <family val="1"/>
        <charset val="204"/>
      </rPr>
      <t>/ Provision of Appropriate Material Supplies Required for the Implementation of High-quality Natural Science Programmes</t>
    </r>
  </si>
  <si>
    <t>Aktivitāte "Atbalsts vispārējās izglītības iestāžu tīkla optimizācijai"/Support for optimization of general educational establishments</t>
  </si>
  <si>
    <t>3.1.3.3.*</t>
  </si>
  <si>
    <t>Aktivitāte "Speciālās izglītības iestāžu un vispārējās izglītības iestāžu infrastruktūras uzlabošana izglītojamajiem ar speciālām vajadzībām"/Improvement of Infrastructure for Students with Special Needs in Comprehensive and Special Education Establishments</t>
  </si>
  <si>
    <t>3.1.3.3.1.*</t>
  </si>
  <si>
    <t xml:space="preserve">Apakšaktivitāte "Speciālās izglītības iestāžu infrastruktūras un aprīkojuma uzlabošana"/ Improvement of Infrastructure and Equipment in Special Educational Establishments </t>
  </si>
  <si>
    <t>Apakšaktivitāte "Vispārējās izglītības iestāžu infrastruktūras uzlabošana izglītojamajiem ar funkcionāliem traucējumiem"/Improvement of Infrastructure in General Educational Establishments for the Students with Functional Disabilities and other Disorders</t>
  </si>
  <si>
    <t>3.1.4.</t>
  </si>
  <si>
    <t>Pasākums "Nodarbinātības un sociālo pakalpojumu infrastruktūra"/Measure "Employment and Social Services Infrastructure"</t>
  </si>
  <si>
    <t>3.1.4.1.</t>
  </si>
  <si>
    <t>Aktivitāte "Darbspēju vērtēšanas un sociālo pakalpojumu ieviešanas institūciju infrastruktūras pilnveidošana"/Improvement of Infrastructure in Institutions Assessing Capacity for Work and Providing Social Services</t>
  </si>
  <si>
    <t>Apakšaktivitāte "Infrastruktūras pilnveidošana un zinātniski tehniskās bāzes nodrošināšana darbspēju un funkcionālo traucējumu izvērtēšanai" /Sub-activity "Improvement of Infrastructure and Providing Scientific and Technical Base  to Estimate  a  Work Capacity and Functional Disorders)"</t>
  </si>
  <si>
    <t>Aktivitāte "Infrastruktūras pilnveidošana profesionālās rehabilitācijas pakalpojumu sniegšanai"/Improvement of Infrastructure for Providing a Professional Rehabilitation Services</t>
  </si>
  <si>
    <t>Apakšaktivitāte "Infrastruktūras pilnveidošana sociālās rehabilitācijas pakalpojumu sniegšanai personām ar redzes un dzirdes traucējumiem"/Improvement of Infrastructure to Develop Social Rehabilitation Services for Persons with Hearing  and  Seeing Disorders</t>
  </si>
  <si>
    <t>Apakšaktivitāte "Jaunu filiāļu izveide tehnisko palīglīdzekļu nodrošināšanai"/Establishment of New Branch for Providing Technical Aid</t>
  </si>
  <si>
    <t>Apakšaktivitāte "Infrastruktūras pilnveidošana sociālās rehabilitācijas pakalpojumu sniegšanai personām ar garīga rakstura traucējumiem"/Improvement of Infrastructure to Develop Social Rehabilitation Services for Persons With Mental Disorders</t>
  </si>
  <si>
    <t>Aktivitāte "Darba tirgus institūciju infrastruktūras pilnveidošana/Improvement of Infrastructure in Labour Market Institutions</t>
  </si>
  <si>
    <t>Aktivitāte "Pirmsskolas izglītības iestāžu infrastruktūras attīstība nacionālas un reģionālas nozīmes attīstības centros"/ Development Pre-school Educational Establishments’ Infrastructure in Development Centers of National and Regional Importance</t>
  </si>
  <si>
    <t>Aktivitāte "Atbalsts alternatīvās aprūpes pakalpojumu pieejamības attīstībai"/Supporting of Improved Accessibility to Alternative Care Services</t>
  </si>
  <si>
    <t>3.1.5.</t>
  </si>
  <si>
    <t>Pasākums "Veselības aprūpes infrastruktūra" /Measure "Health Care Infrastructure"</t>
  </si>
  <si>
    <t>3.1.5.1.</t>
  </si>
  <si>
    <t>Ambulatorās veselības aprūpes attīstība/Development of Ambulatory Health Care</t>
  </si>
  <si>
    <t>Ģimenes ārstu tīkla attīstība / Developemnt of Primary Health Care Physician Network</t>
  </si>
  <si>
    <t>Veselības aprūpes centru attīstība/Development of the Health Care Centres</t>
  </si>
  <si>
    <t>Neatliekamās medicīniskās palīdzības attīstība/Development of Emergency Medical Assistance</t>
  </si>
  <si>
    <t>3.1.5.3.</t>
  </si>
  <si>
    <t>Stacionārās veselības aprūpes pakalpojumu sniedzēju attīstība/Development of providers of stationary health care</t>
  </si>
  <si>
    <t>Stacionārās veselības aprūpes attīstība /Development of Stationary Health Care</t>
  </si>
  <si>
    <t>Onkoloģijas slimnieku radioterapijas ārstēšanas attīstība / Development of Radiotherapy Treatments of Oncology Patients</t>
  </si>
  <si>
    <t>3.2.</t>
  </si>
  <si>
    <t>Prioritāte "Teritoriju pieejamības un sasniedzamības veicināšana"/Priority "Promotion of Territorial Accessability"</t>
  </si>
  <si>
    <t xml:space="preserve"> -</t>
  </si>
  <si>
    <t>3.2.1.</t>
  </si>
  <si>
    <t>Pasākums "Pieejamības un transporta sistēmas attīstība" / Measure "Promotion of Accessibility and Transport System"</t>
  </si>
  <si>
    <t>SM / MoT</t>
  </si>
  <si>
    <t>Aktivitāte "Valsts 1.šķiras autoceļu maršrutu sakārtošana" / Improvement of State Category 1 Motorway Network</t>
  </si>
  <si>
    <t>Aktivitāte "Tranzītielu sakārtošana pilsētu teritorijās"/Improvement of Transit Streets in Cities</t>
  </si>
  <si>
    <t>3.2.1.3.</t>
  </si>
  <si>
    <t xml:space="preserve">Aktivitāte "Satiksmes drošības uzlabojumi apdzīvotās vietās un Rīgā"/Traffic Safety Improvement in Populated Areas and Riga </t>
  </si>
  <si>
    <t>Apakšaktivitāte "Satiksmes drošības uzlabojumi apdzīvotās vietās ārpus Rīgas"/Traffic Safety Improvement in Populated Areas Outside Riga</t>
  </si>
  <si>
    <t>Apakšaktivitāte "Satiksmes drošības uzlabojumi Rīgā"/Traffic safety improvement in Riga</t>
  </si>
  <si>
    <t>3.2.1.4.*</t>
  </si>
  <si>
    <t>Aktivitāte "Mazo ostu infrastruktūras uzlabošana"/Improvement of Infrastructure in Small Ports</t>
  </si>
  <si>
    <t>Aktivitāte "Publiskais transports ārpus Rīgas"/Public Transport Outside Riga</t>
  </si>
  <si>
    <t>3.2.2.</t>
  </si>
  <si>
    <t>Pasākums "IKT infrastruktūra un pakalpojumi" /Measure "ICT Infrastructure and Services"</t>
  </si>
  <si>
    <t>3.2.2.1.</t>
  </si>
  <si>
    <t>Aktivitāte "Publiskās pārvaldes elektronisko pakalpojumu un informācijas sistēmu attīstība"/Development of Electronic Services and Information Systems of Public Administration</t>
  </si>
  <si>
    <t>Apakšaktivitāte "Informācijas sistēmu un elektronisko pakalpojumu attīstība"/Development of Information Systems and Electronic Services</t>
  </si>
  <si>
    <t>Apakšaktivitāte "Izglītības iestāžu informatizācija"/ Informatisation of Educational Institutions</t>
  </si>
  <si>
    <t>Aktivitāte "Publisko interneta pieejas punktu attīstība"/Development of Public Internet Access Points</t>
  </si>
  <si>
    <t>Aktivitāte "Elektronisko sakaru pakalpojumu vienlīdzīgas pieejamības nodrošināšana visā valsts teritorijā (platjoslas tīkla attīstība)"/Provision of Equal Access Opportunities to Electronic Communications Services in the Whole Territory of the Country (Development of Broadband Network)</t>
  </si>
  <si>
    <t>3.2.2.4.</t>
  </si>
  <si>
    <t>Aktivitāte "Valsts nozīmes elektronisko sakaru tīklu izveide, attīstība un pilnveidošana, informācijas datu pārraides drošības nodrošināšana"/Establishment, Development and Improvement of Electronic Communications Network of National Significance and Ensuring Security of Information Data Transmission</t>
  </si>
  <si>
    <t>Apakšaktivitāte "Valsts nozīmes elektronisko sakaru tīklu izveide, attīstība un pilnveidošana"/Establishment, Development and Improvement of Electronic Communications Network of National Significance</t>
  </si>
  <si>
    <t>Apakšaktivitāte "Informācijas datu pārraides drošības nodrošināšana"/Ensuarance of information data transmission safety</t>
  </si>
  <si>
    <t>3.3.</t>
  </si>
  <si>
    <t xml:space="preserve">Prioritāte "Eiropas nozīmes transporta tīklu attīstība un ilgtspējīga transporta veicināšana" /Priority "Development of Transport Network of European Significance and Promotion of Sustainable Transport" </t>
  </si>
  <si>
    <t>3.3.1.</t>
  </si>
  <si>
    <t>Pasākums "Liela mēroga transporta infrastruktūras uzlabojumi un attīstība" /Measure "Improvements and Development of Large Scale Transport Infrastructure"</t>
  </si>
  <si>
    <t xml:space="preserve">Aktivitāte "TEN-T autoceļu tīkla uzlabojumi" /Improvement of the TEN-T Road Network </t>
  </si>
  <si>
    <t>Aktivitāte "TEN-T dzelzceļa posmu rekonstrukcija un attīstība (Austrumu-Rietumu dzelzceļa koridora infrastruktūras attīstība un Rail Baltica)"/Reconstruction and Development of the TEN-T Railway Segments (Development of the East-west Rail Corridor Infrastructure and Rail Baltica)</t>
  </si>
  <si>
    <t>Aktivitāte "Lielo ostu infrastruktūras attīstība „Jūras maģistrāļu” ietvaros"/ Development of Infrastructure of Large Ports within the Framework of the "Motorways of the Sea"</t>
  </si>
  <si>
    <t>Aktivitāte "Lidostu infrastruktūras attīstība"/Development of airport infrastructure</t>
  </si>
  <si>
    <t>Aktivitāte "Pilsētu infrastruktūras uzlabojumi sasaistei ar TEN-T"/City Infrastructure Improvements for Linkage with the TEN-T</t>
  </si>
  <si>
    <t>Aktvitiāte "Liepājas Karostas ilgtspējīgas attīstības priekšnoteikumu nodrošināšana"/(Provision of preconditions for Liepāja Karosta sustainable development)</t>
  </si>
  <si>
    <t>3.3.2.</t>
  </si>
  <si>
    <t>Pasākums "Ilgtspējīgas transporta sistēmas attīstība" / Measure "Development of Sustainable Transport System"</t>
  </si>
  <si>
    <t>3.3.2.1.*</t>
  </si>
  <si>
    <t>Aktivitāte "Ilgtspējīga sabiedriskā transporta sistēmas attīstība" / Development of Sustainable Public Transport System</t>
  </si>
  <si>
    <t>3.4.</t>
  </si>
  <si>
    <t xml:space="preserve">    Prioritāte "Kvalitatīvas vides dzīvei un ekonomiskai aktivitātei nodrošināšana"/Priority "Quality Environment for Life and Economic Activity" </t>
  </si>
  <si>
    <t>3.4.1.</t>
  </si>
  <si>
    <t>      Pasākums "Vide" / Measure "Environment"</t>
  </si>
  <si>
    <t xml:space="preserve">Aktivitāte "Ūdenssaimniecības infrastruktūras attīstība apdzīvotās vietās ar iedzīvotāju skaitu līdz 2000" / Activity Development of Water Management Infrastructure in Populated Areas where Number of Residents is up to 2000 </t>
  </si>
  <si>
    <t>Aktivitāte "Bioloģiskās daudzveidības saglabāšanas ex situ infrastruktūras izveide" /Development of Infrastructure for Conservation of Biological Diversity</t>
  </si>
  <si>
    <t>Aktivitāte "Vēsturiski piesārņoto vietu sanācija"/Rehabilitation of Inherited Contaminated Sites</t>
  </si>
  <si>
    <t>3.4.1.5.</t>
  </si>
  <si>
    <t>Aktivitāte "Vides risku samazināšana"/Reduction of Environmental Risks</t>
  </si>
  <si>
    <t>Apakšaktivitāte "Plūdu risku samazināšana grūti prognozējamu vižņu-ledus parādību gadījumos"/Elimination of flood risk caused by hardly predictable phenomena of ice jams</t>
  </si>
  <si>
    <t>3.4.1.5.2.*</t>
  </si>
  <si>
    <t>Apakšaktivitāte "Hidrotehnisko būvju rekonstrukcija plūdu draudu risku novēršanai un samazināšanai"/Reconstruction of hydro technical structures for the education and prevention of the flood risk</t>
  </si>
  <si>
    <t>3.4.2.</t>
  </si>
  <si>
    <t>Pasākums "Tūrisms"/Measure "Tourism"</t>
  </si>
  <si>
    <t>3.4.2.1.</t>
  </si>
  <si>
    <t>Aktivitāte "Nacionālās nozīmes tūrisma produkta attīstība"/Development of Tourism Product of National importance</t>
  </si>
  <si>
    <t>Apakšaktivitāte "Valsts nozīmes pilsētbūvniecības pieminekļu saglabāšana, atjaunošana un infrastruktūras pielāgošana tūrisma produkta attīstībai"/ Maintenance and Renewal of Town Planning Monuments of National Importance and Infrastructure Adjustment to Develop a Tourism Product</t>
  </si>
  <si>
    <t>Apakšaktivitāte "Nacionālās nozīmes velotūrisma produkta attīstība"/Cycling Tourism Product of National Importance</t>
  </si>
  <si>
    <t>Apakšaktivitāte "Nacionālās nozīmes kultūras, aktīvā, veselības un rekreatīvā tūrisma produkta attīstība"/Development of Cultural, Active and Recreative Tourism Product of National Importance</t>
  </si>
  <si>
    <t>Aktivitāte "Tūrisma informācijas sistēmas attīstība"/Development of Tourism Information System</t>
  </si>
  <si>
    <t>3.4.3.</t>
  </si>
  <si>
    <t xml:space="preserve">Pasākums "Kultūrvides sociālekonomiskā ietekme"/Measure "Socio-economic Impact of Cultural Environment" </t>
  </si>
  <si>
    <t>KM / MoC</t>
  </si>
  <si>
    <t>Aktivitāte "Nacionālas un reģionālas nozīmes daudzfunkcionālu centru izveide"/Establishment of a Network of Multifunctional Culture Halls of National and Regional Importance</t>
  </si>
  <si>
    <t>Aktivitāte "Sociālekonomiski nozīmīgu kultūras mantojuma objektu atjaunošana"/Renovation of Objects of Important Cultural and Historical Heritage</t>
  </si>
  <si>
    <t>Aktivitāte "Atbalsts kultūras pieminekļu privātīpašniekiem kultūras pieminekļu saglabāšanā un to sociālekonomiskā potenciāla efektīvā izmantošanā" /Assistance to Private Owners of Cultural Monuments in Monument Conservation and in the Effective use of their Socio-economic Potential</t>
  </si>
  <si>
    <t>3.4.4.</t>
  </si>
  <si>
    <t>Pasākums "Mājokļa energoefektivitāte"  / Measure "Energy Efficiency of Housing" </t>
  </si>
  <si>
    <t xml:space="preserve">Aktivitāte "Daudzdzīvokļu māju siltumnoturības uzlabošanas pasākumi" /Improvement of Heat Insulation of Multi-apartment Residential Buildings </t>
  </si>
  <si>
    <t>3.4.4.2.*</t>
  </si>
  <si>
    <r>
      <t>Aktivitāte "Sociālo dzīvojamo māju siltumnoturības uzlabošanas pasākumi"</t>
    </r>
    <r>
      <rPr>
        <vertAlign val="superscript"/>
        <sz val="13"/>
        <rFont val="Times New Roman"/>
        <family val="1"/>
        <charset val="186"/>
      </rPr>
      <t>4</t>
    </r>
    <r>
      <rPr>
        <sz val="13"/>
        <rFont val="Times New Roman"/>
        <family val="1"/>
        <charset val="204"/>
      </rPr>
      <t>/Improvement of Heat Insulation of Social Residential Buildings</t>
    </r>
  </si>
  <si>
    <t>3.5.</t>
  </si>
  <si>
    <t>Prioritāte "Vides infrastruktūras un videi draudzīgas enerģētikas veicināšana"  /Priority "Promotion of Environmental Infrastructure And Environmentally Friendly Energy"</t>
  </si>
  <si>
    <t>3.5.1.</t>
  </si>
  <si>
    <t>Pasākums "Vides aizsardzības infrastruktūra"/Measure "Infrastructure of Environmental Protection"</t>
  </si>
  <si>
    <t>3.5.1.1.*</t>
  </si>
  <si>
    <t xml:space="preserve">Aktivitāte "Ūdenssaimniecības infrastruktūras attīstība aglomerācijās ar cilvēku ekvivalentu lielāku par 2000"/Development of water management infrastructure in agglomerations with more than 2000 residents </t>
  </si>
  <si>
    <t>3.5.1.2.</t>
  </si>
  <si>
    <t>Aktivitāte "Reģionālu atkritumu apsaimniekošanas sistēmu attīstība"/Activity "Development of regional systems for waste management"</t>
  </si>
  <si>
    <t>Apakšaktivitāte "Normatīvo aktu prasībām neatbilstošo izgāztuvju rekultivācija"/Remediation of with legaslation non-coplying dumpsites</t>
  </si>
  <si>
    <t>Apakšaktivitāte "Reģionālu atkritumu apsaimniekošanas sistēmu attīstība"/Development of the regional waste managment systems</t>
  </si>
  <si>
    <t>Apakšaktivitāte "Dalītās atkritumu apsaimniekošanas sistēmas attīstība"/Development of separate WASTE collection system</t>
  </si>
  <si>
    <t>Aktivitāte "Infrastruktūras izveide Natura 2000 teritorijās"/(Developing infrastructure in the areas of Natura 2000)</t>
  </si>
  <si>
    <t xml:space="preserve">Aktivitāte "Vides monitoringa un kontroles sistēmas attīstība"/(Development of a System of Environmental Monitoring and Control) </t>
  </si>
  <si>
    <t>3.5.2.</t>
  </si>
  <si>
    <t>Pasākums "Enerģētika"  /Measure "Energy"</t>
  </si>
  <si>
    <t>3.5.2.1.</t>
  </si>
  <si>
    <t>Aktivitāte "Pasākumi siltumapgādes sistēmu efektivitātes paaugstināšanai"  / Measures Regarding The Increase of Efficiency of Centralised Heat Supply Systems</t>
  </si>
  <si>
    <t>3.5.2.1.1.*</t>
  </si>
  <si>
    <t>Apakšaktivitāte "Pasākumi centralizētās siltumapgādes sistēmu efektivitātes paaugstināšanai"  / Measures Regarding The Increase of Efficiency of Centralised Heat Supply Systems</t>
  </si>
  <si>
    <t>Apakšaktivitāte "Pasākumi uzņēmumu siltumapgādes sistēmu efektivitātes paaugstināšanai" / Measures regarding the increase of efficiency of heat supply systems for entrepreneurs</t>
  </si>
  <si>
    <t xml:space="preserve">Aktivitāte "Atjaunojamo energoresursu izmantojošu koģenerācijas elektrostaciju attīstība"/Development of Cogeneration Power Plants Utilising Renewable Energy Sources </t>
  </si>
  <si>
    <t>Aktivitāte "Vēja elektrostaciju attīstība"/ Development of Wind Power Stations</t>
  </si>
  <si>
    <t>Aktivitāte "Daugavas hidroelektrostaciju aizsprostu pārgāžņu rekonstrukcija"/Development of Dam Spillways for Daugava Hydroelectric Power Plant</t>
  </si>
  <si>
    <t>3.6.</t>
  </si>
  <si>
    <t>Prioritāte "Policentriska attīstība"/Priority "Polycentric Development"</t>
  </si>
  <si>
    <t>3.6.1.</t>
  </si>
  <si>
    <t>Pasākums "Atbalsts ilgtspējīgai pilsētvides un pilsētreģionu attīstībai"/Measure "Support for Sustainable Urban Environment and Urban Area Development"</t>
  </si>
  <si>
    <t>Aktivitāte "Nacionālas un reģionālas nozīmes attīstības centru izaugsmes veicināšana līdzsvarotai valsts attīstībai"/ Growth of National and Regional Development Centres for Sustainable and Balanced Development of the Country</t>
  </si>
  <si>
    <t>Aktivitāte "Rīgas pilsētas ilgtspējīga attīstība"/Sustainable Development of Riga</t>
  </si>
  <si>
    <t>3.6.2.</t>
  </si>
  <si>
    <t>Pasākums "Komplekss atbalsts novadu pašvaldību izaugsmes sekmēšanai"/Complex support to promote growth of amalgamated municipalities</t>
  </si>
  <si>
    <t xml:space="preserve"> - </t>
  </si>
  <si>
    <t>Aktivitāte "Atbalsts novadu pašvaldību kompleksai attīstībai"/Support of amalgamated municipalities to promote complex growth</t>
  </si>
  <si>
    <t>3.7.***</t>
  </si>
  <si>
    <t>Prioritāte "Tehniskā palīdzība ERAF ieviešanai"/ Priority “Technical Assistance of ERDF”</t>
  </si>
  <si>
    <t>3.7.1.</t>
  </si>
  <si>
    <t>Pasākums "Atbalsts darbības programmas "Infrastruktūra un pakalpojumi" vadībai" / Measure 3.7.1 “Assistance for Management of the Operational Programme “Infrastructure and Services” ERDF Co-financed Measures”</t>
  </si>
  <si>
    <t>Aktivitāte "Programmas vadības un atbalsta funkciju nodrošināšana" / Technical assistance of ERDF</t>
  </si>
  <si>
    <t>3.8.***</t>
  </si>
  <si>
    <t>Prioritāte "Tehniskā palīdzība KF ieviešanai"/Priority “Technical Assistance of CF”</t>
  </si>
  <si>
    <t>3.8.1.</t>
  </si>
  <si>
    <t>Pasākums "Atbalsts Kohēzijas fonda vadībai" / Measure 3.8.1 “Assistance to Management of the CF Co-financed Measures”</t>
  </si>
  <si>
    <t>Aktivitāte "Programmas vadības un atbalsta funkciju nodrošināšana"/ Technical assistance of CF</t>
  </si>
  <si>
    <t>Rezerve 80.00.00. programmā****</t>
  </si>
  <si>
    <r>
      <rPr>
        <i/>
        <vertAlign val="superscript"/>
        <sz val="13"/>
        <rFont val="Times New Roman"/>
        <family val="1"/>
        <charset val="186"/>
      </rPr>
      <t xml:space="preserve">1 </t>
    </r>
    <r>
      <rPr>
        <i/>
        <sz val="13"/>
        <rFont val="Times New Roman"/>
        <family val="1"/>
        <charset val="204"/>
      </rPr>
      <t>1 EUR = 0,702804 LVL</t>
    </r>
  </si>
  <si>
    <t>MoES - Ministry of Education and Science</t>
  </si>
  <si>
    <t>MoE - Ministry of Economics</t>
  </si>
  <si>
    <t>MoW - Ministry of Wealfare</t>
  </si>
  <si>
    <t>MoH - Ministry of Health</t>
  </si>
  <si>
    <t xml:space="preserve">MoEPRD - Ministry of Environment Protection and Regional Development </t>
  </si>
  <si>
    <t>MoF - Ministry of Finances</t>
  </si>
  <si>
    <t>MoT - Ministry of Transport</t>
  </si>
  <si>
    <t>MoC - Ministry of Culture</t>
  </si>
  <si>
    <r>
      <rPr>
        <i/>
        <vertAlign val="superscript"/>
        <sz val="13"/>
        <rFont val="Times New Roman"/>
        <family val="1"/>
        <charset val="186"/>
      </rPr>
      <t xml:space="preserve">3 </t>
    </r>
    <r>
      <rPr>
        <i/>
        <sz val="13"/>
        <rFont val="Times New Roman"/>
        <family val="1"/>
        <charset val="186"/>
      </rPr>
      <t>Atbilstoši MK apstiprinātajiem protokollēmumiem par aktivitāšu finansējuma pārdalēm /  According to the amendments in the financial plans of activities approved by the Cabinet of Ministers decisions</t>
    </r>
  </si>
  <si>
    <r>
      <rPr>
        <i/>
        <vertAlign val="superscript"/>
        <sz val="13"/>
        <rFont val="Times New Roman"/>
        <family val="1"/>
        <charset val="186"/>
      </rPr>
      <t>4</t>
    </r>
    <r>
      <rPr>
        <i/>
        <sz val="13"/>
        <rFont val="Times New Roman"/>
        <family val="1"/>
        <charset val="186"/>
      </rPr>
      <t xml:space="preserve"> Norādīti starpposma, gala maksājumi, deklarējamie un nedeklarējamie avansi. / Payments to final beneficiaries here are interim, final payments and advance payments that can be declared and advance payments that are not allowed to declare to EC. </t>
    </r>
  </si>
  <si>
    <r>
      <rPr>
        <b/>
        <i/>
        <u/>
        <vertAlign val="superscript"/>
        <sz val="13"/>
        <rFont val="Times New Roman"/>
        <family val="1"/>
        <charset val="186"/>
      </rPr>
      <t xml:space="preserve">5 </t>
    </r>
    <r>
      <rPr>
        <b/>
        <i/>
        <u/>
        <sz val="13"/>
        <rFont val="Times New Roman"/>
        <family val="1"/>
        <charset val="186"/>
      </rPr>
      <t>Piebildes par darbības programmu "Cilvēkresursi un nodarbinātība" / Notes on Operational programme "Human resources and Employment"</t>
    </r>
  </si>
  <si>
    <t>* 1.1.2.1.1., 1.2.1.2.3.,1.4.1.2.4., 1.5.2.2.2., 1.5.2.2.3.,1.5.3.1. un 1.5.3.2. aktivitātēs/apakšaktivitātēs samazinājies gan apstiprināto projektu finansējums, gan arī noslēgto līgumu summa, jo veikti līgumu grozījumi jau pabeigtiem projektiem, kā rezultātā samazinājušās attiecināmās izmaksas (ietaupījums)/ In activities/subactivities 1.1.2.1.1., 1.2.1.2.3.,1.4.1.2.4., 1.5.2.2.2., 1.5.2.2.3.,1.5.3.1. and 1.5.3.2.  total amount of eligible expenditures of approved projects and contracts signed decreased due decrease of eligible expenditure (amendments of the contracts)</t>
  </si>
  <si>
    <t>*1.3.1.1.3. aktivitātēs/apakšaktivitātēs samazinājies gan apstiprināto projektu finansējums, gan arī noslēgto līgumu summa, jo veikti līgumu grozījumi, precizējot attiecināmo izmaksu sadalījums starp finansējuma avotiem/ In activities/subactivities 1.3.1.1.3.total amount of eligible expenditures of approved projects and contracts signed decreased due to specified distribution of eligible expenditure between sources of financing (amendments of the contracts)</t>
  </si>
  <si>
    <t xml:space="preserve">*Apakšaktivitāšu 1.3.1.3.1. un 1.5.1.3.1. izmaksātajā finansējumā tiek ieskaitīti arī atgūtie maksājumi. Reāli veikto maksājumu apjoms aktivitātē atbilst aktivitātes piešķīrumam./ The Payments to final beneficiaries within subactivities 1.3.1.3.1. and 1.5.1.3.1 .include also recovered payments. The volume of actual payments made correspond to allocation in activity. </t>
  </si>
  <si>
    <t>*Apakšaktivitātē 1.5.2.2.2. progress izmaksātajam finansējumam ir pieaugošs, bet % tiek uzrādīts ar negatīvu tendenci, jo % aprēķinos tiek izmantots aktivitātei pieejamais  ES fonda finansējums atbilstoši konceptuāli apst. MK, kas šajā mēnesī ir palielinājies/ In subactivity 1.5.2.2.2. the progress of payments made to final beneficiaries is growing because of increased ESF funding in subactivity notwithstanding that proportion indicates negative trend.</t>
  </si>
  <si>
    <r>
      <rPr>
        <b/>
        <i/>
        <u/>
        <vertAlign val="superscript"/>
        <sz val="13"/>
        <rFont val="Times New Roman"/>
        <family val="1"/>
        <charset val="186"/>
      </rPr>
      <t xml:space="preserve">6 </t>
    </r>
    <r>
      <rPr>
        <b/>
        <i/>
        <u/>
        <sz val="13"/>
        <rFont val="Times New Roman"/>
        <family val="1"/>
        <charset val="186"/>
      </rPr>
      <t>Piebildes par darbības programmu "Uzņēmējdarbība un inovācijas" / Notes on Operational programme  "Entrepreneurship and Innovations"</t>
    </r>
  </si>
  <si>
    <t>* Noslēgto līgumu un apstiprināto projektu apjoms 2.1.2.2.1., 2.1.2.2.2. un 2.3.1.1.1. apakšaktivitātēs samazinājies, jo veikti finansēšanas plānu grozījumi, samazinot sākotnēji plānotās projekta izmaksas, kā arī ir pārtrauktu projektu dēļ / Amount of approved projects and contracted amount in activities 2.1.2.2.1., 2.1.2.2.2. and 2.3.1.1.1. has decreased due to modifications of financial plans and project discharging</t>
  </si>
  <si>
    <t>* Nav veikti grozījumi darbības programmas „Uzņēmējdarbība un inovācijas” papildinājumā, kas paredz 2.3.2.2.2.apakšaktivitātes izveidi/ There are no amendments in  supplement of the operational programme  "Entrepreneurship and Innovations" regarding 2.3.2.2.2.sub-activity</t>
  </si>
  <si>
    <r>
      <rPr>
        <b/>
        <i/>
        <u/>
        <vertAlign val="superscript"/>
        <sz val="13"/>
        <rFont val="Times New Roman"/>
        <family val="1"/>
        <charset val="186"/>
      </rPr>
      <t xml:space="preserve">7 </t>
    </r>
    <r>
      <rPr>
        <b/>
        <i/>
        <u/>
        <sz val="13"/>
        <rFont val="Times New Roman"/>
        <family val="1"/>
        <charset val="186"/>
      </rPr>
      <t>Piebildes par darbības programmu "Infrastruktūra un pakalpojumi" / Notes on Operational programme  "Infrastructure and Services"</t>
    </r>
  </si>
  <si>
    <t>*3.1.2.1.1. un 3.1.3.3.1. (3.1.3.3.) apakšaktivitātēs ir samazinājies apstiprināto projektu un noslēgto līgumu apjoms, jo ir veikti projektu līgumu grozījumi atbilstoši faktiskajām izmaksām/ in the subactivities 3.1.2.1.1. and 3.1.3.3.1. (3.1.3.3.) the financial amount of approved projects and contract decrease due to decrease of eligible expenditure (amendments of the contracts)</t>
  </si>
  <si>
    <t>* 3.2.1.4. aktivitātei  izmaksātais finasējuma apjoms finansējuma saņēmējam neiekļauj valūtas konvertācijas svārstības, kas radušās piemērojot ECB noteiktā valūtas kursa / in the activity 3.2.1.4. the amount of financing for the final beneficiary does not include the result of the currency exchange, taking into account EIB rate.</t>
  </si>
  <si>
    <t xml:space="preserve">* 3.3.2.1. aktivitātē AS "Pasažieru vilciens" š.g. 25.oktobrī ir atmaksājis avansu 22 274 836 LVL apmērā, ņemot vērā, ka plānots šo projektu neīstenot/ In 3.3.2.1. activity  on October 25, 2012  “Passenger Train" has repaid the advance payment 22 274 836 LVL because it is not planned to implement this project. </t>
  </si>
  <si>
    <t>* 3.4.1.5.2  apakšaktivitātē projektiem veikti līgumu grozījumi, samazinot finansējuma apmēru/ decrease in the amount of financing due to contract amendments</t>
  </si>
  <si>
    <t xml:space="preserve">* 3.5.1.1. aktivitātē projektiem veikti līgumu grozījumi, samazinot finansējuma apmēru/ decrease in the amount of financing due to contract amendments </t>
  </si>
  <si>
    <t>*3.4.4.2. aktivitātēprojektiem veikti līgumu grozījumi, samazinot finansējuma apmēru/ decrease in the amount of financing due to contract amendments</t>
  </si>
  <si>
    <t>*3.5.2.1.1 apakšaktivitātē koriģēts finansējuma apmērs sakarā ar projektu iesniedzēju precizējumiem/ amount of financing has been corrected due to adjustments made by project beneficiaries</t>
  </si>
  <si>
    <r>
      <rPr>
        <vertAlign val="superscript"/>
        <sz val="13"/>
        <rFont val="Times New Roman"/>
        <family val="1"/>
        <charset val="186"/>
      </rPr>
      <t>8</t>
    </r>
    <r>
      <rPr>
        <sz val="13"/>
        <rFont val="Times New Roman"/>
        <family val="1"/>
        <charset val="186"/>
      </rPr>
      <t xml:space="preserve"> 2.4.1.1.aktivitātē ES fonda finansējums atbilstoši EK apstiprinātajai DP un ES fonda finansējums atbilstoši konceptuāli apst. MK p/l atšķiras, jo finansējums ticis pārdalīts citām aktivitātēm, kas ir saskaņots nacionālā līmenī, taču joprojām tiek skaņots ar EK/ In the activity 2.4.1.1. EU funding according to EC approved OP differes from EU funding according to decisions of Cabinet of Ministers because financing has been reallocated to other activities and that is approved at national level but not yet agreed with the EC (within the process of approvement).</t>
    </r>
  </si>
  <si>
    <t>*** Piešķirtais budžets 2007.-2011.gadam 1.6., 2.4., 3.7. un 3.8.prioritātēs sadalīts atbilstoši Tehniskās palīdzības aktivitātēm piešķirtā ES fondu finansējuma procentuālajai proporcijai / Available budget for priorities 1.6., 2.4., 3.7. and 3.8. is divided according to EU funding proportion for each priority</t>
  </si>
  <si>
    <t>**** Valsts budžeta līdzekļi tiek paredzēti maksājumiem gan par ES fondu daļu, gan par valsts līdzfinansējuma daļu, kā arī atsevišķu valsts budžeta iestāžu projektu neattiecināmo izmaksu segšanai. Turklāt valsts budžeta līdzekļus  plāno arī valsts budžeta iestāžu projekta priekšfinansēšanai, kas atspoguļojas maksājumos FS tikai tad, kad iestāde iesniegs maksājumu dokumentus un pārskatus par veiktajiem darbiem un izdevumiem. Līdz ar to budžetā plānotie līdzekļi ir lielāki nekā noteiktie mērķi FS.Finansējuma sadalījums pa aktivitātēm ir indikatīvs, jo ministrijas var veikt pārdales starp aktivitātēm.</t>
  </si>
  <si>
    <t>**** 80.00.00 esošā rezerve indikatīva</t>
  </si>
  <si>
    <t>Nepieciešamais finansējums 1.mērķa ES SF un KF īstenošanai 2013.-2015. gadā aktivitāšu dalījumā</t>
  </si>
  <si>
    <t>Valsts kases informācija</t>
  </si>
  <si>
    <t>Prioritātes/Pasākuma/Aktivitātes numurs</t>
  </si>
  <si>
    <t>Prioritātes/Pasākuma/Aktivitātes nosaukums</t>
  </si>
  <si>
    <t>Kopējais publiskais finansējums atbilstoši DP/DPP, LVL</t>
  </si>
  <si>
    <t>Virssaistības, LVL</t>
  </si>
  <si>
    <t>Kopējā piešķīruma un virssaistību kopsumma</t>
  </si>
  <si>
    <t>Budžeta izpilde 2007-2011</t>
  </si>
  <si>
    <t>Budžeta izpildes prognoze</t>
  </si>
  <si>
    <t>Budžetā esošais finansējums (ilgtermiņa saistībās iekļautais)</t>
  </si>
  <si>
    <t>Nepieciešams no 80.00.00 programmas</t>
  </si>
  <si>
    <t>Pārbaude - jābūt 0 vai skaidrojumam</t>
  </si>
  <si>
    <t xml:space="preserve">2012.g. budžets saskaņā ar likumu "Par valsts budžetu 2012.gadam" </t>
  </si>
  <si>
    <t>Pret 2012.gada apguves prognozi</t>
  </si>
  <si>
    <t>Procentuāli prognoze pret plānu</t>
  </si>
  <si>
    <t>Finansēšanas plāns 01.01.-31.12.2012. periodam</t>
  </si>
  <si>
    <t>Finansēšanas plāns 01.01.-31.10.2012. periodam</t>
  </si>
  <si>
    <t>Izpilde 01.01.-31.10.2012.</t>
  </si>
  <si>
    <t>Izpilde 01.01.-31.10.2012. pret gada plānu</t>
  </si>
  <si>
    <t>Prognoze par izpildi uz 03.12. pret finansēšanas plānu 01.01.-31.12.</t>
  </si>
  <si>
    <t>Ministriju sniegtās prognozes par izpildi uz 02.11., provizoriski pa aktivitātēm (ņemot vērā tendences)</t>
  </si>
  <si>
    <t>Izpildes prognoze pret VK finansēšanas plānu</t>
  </si>
  <si>
    <t>Pašavaldību aktivitaātes</t>
  </si>
  <si>
    <t>Pēc novembra BD rīkojumu ievades</t>
  </si>
  <si>
    <t>Fonds</t>
  </si>
  <si>
    <t>Atbildīgā iestāde</t>
  </si>
  <si>
    <t>Ministrijas, kuru budžetā ir piešķirts finansējums</t>
  </si>
  <si>
    <t>Finansējuma saņēmēji</t>
  </si>
  <si>
    <t>14= 6+7+8+9+10+11+12+15</t>
  </si>
  <si>
    <t>15' = 7 - 15</t>
  </si>
  <si>
    <t>15'' = 7  / 15</t>
  </si>
  <si>
    <t>16'</t>
  </si>
  <si>
    <t>16''</t>
  </si>
  <si>
    <t>Kopā VISI fondi/ Total EU funds</t>
  </si>
  <si>
    <t>Kopā ERAF/ Total ERDF</t>
  </si>
  <si>
    <t>Kopā ESF/ Total ESF</t>
  </si>
  <si>
    <t>Kopā KF/ Total CF</t>
  </si>
  <si>
    <t>TP/ TA</t>
  </si>
  <si>
    <t>rezerve</t>
  </si>
  <si>
    <t>I DP/ I OP</t>
  </si>
  <si>
    <t>II DP/ II OP</t>
  </si>
  <si>
    <t>III DP/ III OP</t>
  </si>
  <si>
    <t>1.</t>
  </si>
  <si>
    <t>I darbības programma  "Cilvēkresursi un nodarbinātība" (I Operational programme  "Human resources and employment")</t>
  </si>
  <si>
    <t>Prioritāte "Augstākā izglītība un zinātne" (Priority "Higher Education and Science")</t>
  </si>
  <si>
    <t>Pasākums "Zinātnes un pētniecības potenciāla attīstība" (Measure "Development of Scientific and Research Potential")</t>
  </si>
  <si>
    <t>Zinātnes un inovāciju politikas veidošanas un administratīvās kapacitātes stiprināšana (Strengthening of Research and Innovation Policy Development and Administrative Capacity)</t>
  </si>
  <si>
    <t>Valsts iestāde</t>
  </si>
  <si>
    <t>Cilvēkresursu piesaiste zinātnei (Attraction of Human Resources to Science)</t>
  </si>
  <si>
    <t>Neattiecināmās netiešās izmaksas, kas finansējuma saņēmējiem atmaksātas no Eiropas Savienības struktūrfondu finansēšanai paredzētajiem valsts budžeta līdzekļiem (2010.gadā 203 257 lati un 2011.gadā 17 247 lati). Neattiecināmās netiešās izmaksas tiek plānotas saskaņā ar Ministru kabineta 2008.gada 2.septembra noteikumiem Nr.703 „Noteikumi par darbības programmas „Cilvēkresursi un nodarbinātība” papildinājuma 1.1.1.2.aktivitāti „Cilvēkresursu piesaiste zinātnei””  (63.1, 83., 84.punkts)</t>
  </si>
  <si>
    <t>Motivācijas veicināšana zinātniskajai darbībai (Reinforcing Motivation for Scientific Activities)</t>
  </si>
  <si>
    <t>Juridiskas personas</t>
  </si>
  <si>
    <t>Pasākums "Augstākās izglītības attīstība" (Measure "Development of Tertiary (Higher) Education")</t>
  </si>
  <si>
    <t>Atbalsts doktora un maģistra studiju īstenošanai (Support to Doctor’s and Master’s study programmes)</t>
  </si>
  <si>
    <t xml:space="preserve">Atbalsts maģistra studiju programmu īstenošanai (Support to master’s studies) </t>
  </si>
  <si>
    <t>Augstākās izglītības institūcijas</t>
  </si>
  <si>
    <t xml:space="preserve">Finansējuma apmērs plānots 1.1.2.1.1.apakšaktivitātes spēkā esošo un izpildīto ieviešanas līgumu kopējam finansējumam </t>
  </si>
  <si>
    <t xml:space="preserve">Atbalsts doktora studiju programmu īstenošanai (Support to doctor’s studies) </t>
  </si>
  <si>
    <t xml:space="preserve">Finansējuma apmērs plānots 1.1.2.1.2.apakšaktivitātes spēkā esošo un izpildīto ieviešanas līgumu kopējam finansējumam </t>
  </si>
  <si>
    <t>Atbalsts augstākās izglītības studiju uzlabošanai (Support to improvement of tertiary education studies)</t>
  </si>
  <si>
    <t xml:space="preserve">Studiju programmu satura un īstenošanas uzlabošana un akadēmiskā personāla kompetences pilnveidošana (Improvement of Study Programme Contents, Its Implementation and Competence of Academic Personnel) </t>
  </si>
  <si>
    <r>
      <t xml:space="preserve">Boloņas procesa principu ieviešana augstākajā izglītībā (Implementation of Bologna Process Principles in Tertiary Education) </t>
    </r>
    <r>
      <rPr>
        <i/>
        <sz val="9"/>
        <color indexed="8"/>
        <rFont val="Times New Roman"/>
        <family val="1"/>
        <charset val="186"/>
      </rPr>
      <t/>
    </r>
  </si>
  <si>
    <t>Prioritāte "Izglītība un prasmes" (Priority "Education and Skills")</t>
  </si>
  <si>
    <t>Pasākums "Profesionālās izglītības un vispārējo prasmju attīstība" (Measure "Development of Vocational Education and General Skills")</t>
  </si>
  <si>
    <t>Profesionālās izglītības sistēmas attīstība, kvalitātes, atbilstības un pievilcības uzlabošana (Development of vocational educational system, improvement of quality, conformity and attraction)</t>
  </si>
  <si>
    <t xml:space="preserve">Nacionālās kvalifikāciju sistēmas pilnveide, profesionālās izglītības satura un profesionālajā izglītībā iesaistīto pušu sadarbības uzlabošana (Improvement of National Qualification System, Vocational Education Contents and Cooperation among the Bodies Involved in Vocational Education) </t>
  </si>
  <si>
    <t>valsts iestādes</t>
  </si>
  <si>
    <t>Apakšaktivitātē plānotās neattiecināmas izmaksas 156 579 LVL apmērā tiek segtas no valsts budžeta</t>
  </si>
  <si>
    <t>Profesionālajā izglītībā iesaistīto pedagogu kompetences paaugstināšana (Competence Promotion of the Educators Involved in Vocational Education)</t>
  </si>
  <si>
    <t>IZM,KM</t>
  </si>
  <si>
    <t>valsts iestādes, ausgtākās izglītības iestādes</t>
  </si>
  <si>
    <t xml:space="preserve">Atbalsts sākotnējās profesionālās izglītības programmu īstenošanas kvalitātes uzlabošanai un īstenošanai ("Support to improvement and Implementation of Primary Vocational Education Programme Quality) </t>
  </si>
  <si>
    <t xml:space="preserve">Profesionālās izglītības iestādes </t>
  </si>
  <si>
    <t xml:space="preserve">Sākotnējās profesionālās izglītības pievilcības veicināšana (Promotion of Primary Vocational Education Attraction) </t>
  </si>
  <si>
    <t>Vispārējo zināšanu un prasmju uzlabošana (Improvement of general knowledge and skills)</t>
  </si>
  <si>
    <t xml:space="preserve">Vispārējās vidējās izglītības satura reforma, mācību priekšmetu, metodikas un mācību sasniegumu vērtēšanas sistēmas uzlabošana (Reform of General Secondary Education Contents, Improvement of Study Subjects, Methodology and Evaluation System) </t>
  </si>
  <si>
    <t>Projektos plānotās neattiecināmas izmaksas  tiek segtas no valsts budžeta. Projekti pabeigti</t>
  </si>
  <si>
    <t xml:space="preserve">Atbalsts vispārējās izglītības pedagogu nodrošināšanai prioritārajos mācību priekšmetos (Support to Ensure Sufficiency of General Secondary Education Educators in Priority Subjects) </t>
  </si>
  <si>
    <t>Projekts pabeigts</t>
  </si>
  <si>
    <t xml:space="preserve">Vispārējās izglītības pedagogu kompetences paaugstināšana un prasmju atjaunošana (Competence Promotion of General Educators and Renewal of Skills) </t>
  </si>
  <si>
    <t>Pasākums "Mūžizglītības attīstība un izglītībā un mūžizglītībā iesaistīto institūciju rīcībspējas un sadarbības uzlabošana (Measure "Development of Lifelong Learning and Cooperation and Capacity Strengthening of Institutions responsible for Education and Lifelong Learning Policy")</t>
  </si>
  <si>
    <t>Mūžizglītības attīstība (Development of lifelong education)</t>
  </si>
  <si>
    <t xml:space="preserve">Mūžizglītības pārvaldes struktūras izveide nacionālā līmenī un inovatīvu mūžizglītības politikas instrumentu izstrāde (Lifelong learning administrating system foundation on national level and output of  innovative lifelong learning policy instruments) </t>
  </si>
  <si>
    <t xml:space="preserve">Atbalsts Mūžizglītības politikas pamatnostādņu īstenošanai (Support to Implement Lifelong Learning Policy Guidelines) </t>
  </si>
  <si>
    <t>LM</t>
  </si>
  <si>
    <t xml:space="preserve">Īpašu mūžizglītības politikas jomu atbalsts (Support for specific spheres of lifelong Learning Policy) </t>
  </si>
  <si>
    <t>1.2.2.1.5.</t>
  </si>
  <si>
    <t>Pedagogu konkurētspējas veicināšana izglītības sistēmas optimizācijas apstākļos(Promotion of Educators’ Competitiveness within the Optimization of Educational System)</t>
  </si>
  <si>
    <t>Profesionālās orientācijas un karjeras izglītības attīstība, profesionāli orientētās izglītības attīstība (Support to Implement Lifelong Learning Policy Guidelines)</t>
  </si>
  <si>
    <t xml:space="preserve">Profesionālās orientācijas un karjeras izglītības attīstība izglītības sistēmā (Development of Professional Orientation and Career-Related Education in the Educational System) </t>
  </si>
  <si>
    <t xml:space="preserve">Profesionālās orientācijas un karjeras izglītības pieejamības palielināšana jauniešiem, profesionāli orientētās izglītības attīstība (Increase of Youth Access to Professional Orientation and Career Education, Development of Profession-Related Education) </t>
  </si>
  <si>
    <t>Valsts iestāde, kapitālsabiedrības</t>
  </si>
  <si>
    <t>Par izglītības un mūžizglītības politiku atbildīgo institūciju rīcībspējas un sadarbības stiprināšana (Improvement of cooperation and capacity strengthening of institutions responsible for the education and lifelong learning policy</t>
  </si>
  <si>
    <t>Par izglītības un mūžizglītības politiku atbildīgo institūciju rīcībspējas un sadarbības stiprināšana (Improvement of cooperation and capacity strengthening of institutions responsible for the education and lifelong learning policy)</t>
  </si>
  <si>
    <t xml:space="preserve">Atbalsts izglītības pētījumiem (Support for education research) </t>
  </si>
  <si>
    <t>Izglītības pieejamības nodrošināšana sociālās atstumtības riskam pakļautajiem jauniešiem un iekļaujošas izglītības attīstība (Improvement of education accessibility for young people groups at risk of social exclusion and development of inclusive education)</t>
  </si>
  <si>
    <t>Iekļaujošas izglītības un sociālās atstumtības riskam pakļauto jauniešu atbalsta sistēmas izveide, nepieciešamā personāla sagatavošana, nodrošināšana un kompetences paaugstināšana (Formation of Support System for Inclusive Education and Youth at Risk of Social Exclusion, Training, Ensuring and Competence Promoting of the Necessary Personnel)</t>
  </si>
  <si>
    <t>Atbalsta pasākumu īstenošana jauniešu sociālās atstumtības riska mazināšanai un jauniešu ar funkcionālajiem traucējumiem integrācijai izglītībā (Implementation of Support Measures for Social Exclusion Decrease of Youth and Integration of Disabled Youth into Education)</t>
  </si>
  <si>
    <t>izglītības iestādes, pašvaldības, juridiskas personas</t>
  </si>
  <si>
    <t>1.3.</t>
  </si>
  <si>
    <t>Prioritāte "Nodarbinātības veicināšana un veselība darbā" (Priority "Promotion of Employment and Health at Work")</t>
  </si>
  <si>
    <t>Pasākums "Nodarbinātība" (Measure "Employment")</t>
  </si>
  <si>
    <t>Darbaspējas vecuma iedzīvotāju konkurētspējas paaugstināšana darba tirgū, t.sk., nodarbināto pārkvalifikācija un aktīvie nodarbinātības pasākumi (Enhancement of the competitiveness of residents in working age, including retraining and active employment measures)</t>
  </si>
  <si>
    <t>Atbalsts nodarbināto apmācībām komersantu konkurētspējas veicināšanai - atbalsts partnerībās organizētām apmācībām (Support to training for employed in partnership)</t>
  </si>
  <si>
    <t>EM</t>
  </si>
  <si>
    <t>biedrības</t>
  </si>
  <si>
    <t>Starpību veido virssaistības, kas paredzētas, lai, ņemot vērā pieprasījumu, būtu iespējams palielināt līgumu summas. Plānots, ka papildu budžeta līdzekļi tām nebūs nepieciešami.</t>
  </si>
  <si>
    <t>Apakšaktivitāte "Bezdarbnieku un darba meklētāju apmācība (Training of unemployed and job seekers)</t>
  </si>
  <si>
    <t>valsts iestāde</t>
  </si>
  <si>
    <t>Starpību starp 5. un 14.aili pamatā veido projekta administrēšanai piešķirtās neattiecināmās izmaksas.</t>
  </si>
  <si>
    <t>Atbalsts nodarbināto apmācībām komersantu konkurētspējas veicināšanai - atbalsts komersantu individuāli organizētām apmācībām (Support to training for employed for enhancing competitiveness of enterprises - support to individually organized training by enterprises)</t>
  </si>
  <si>
    <t xml:space="preserve">komersanti,  apvienības </t>
  </si>
  <si>
    <t>Projekti pabeigti</t>
  </si>
  <si>
    <t>Atbalsts potenciālo bezdarbnieku apmācībai (Support to people at risk of unemployment)</t>
  </si>
  <si>
    <t>Atbalsts darba vietu radīšanai (Support to create new jobs)</t>
  </si>
  <si>
    <t>Komersanti</t>
  </si>
  <si>
    <t>EM pārziņā esošā 1.3.1.1.6. apakšaktivitāte izveidota 2012.gadā. Turpinās projekta iesniegumu pieņemšana. Naudu ilgtermiņa saistības 2013-2015.g. drīkstēs plānot tikai pēc projektu apstiprināšanas, kas plānota līdz 2013.g. jūnijam.</t>
  </si>
  <si>
    <t>Atbalsts pašnodarbinātības un uzņēmējdarbības uzsākšanai (Support for self-employment and business start-ups)</t>
  </si>
  <si>
    <t>VAS</t>
  </si>
  <si>
    <t>Darba attiecību un darba drošības normatīvo aktu  praktiska piemērošana un uzraudzības pilnveidošana (Practical application of the legislation on labour relations, occupational safety and health, and improvement of supervision)</t>
  </si>
  <si>
    <t xml:space="preserve">Darba attiecību un darba drošības normatīvo aktu uzraudzības pilnveidošana (Improvement of supervision of labour relations and occupational safety and health legislation implementation) </t>
  </si>
  <si>
    <t xml:space="preserve">Darba attiecību un darba drošības normatīvo aktu praktiska piemērošana nozarēs un uzņēmumos (Practical application of the legislation on occupational safety and health and labour relations in sectors and enterprises) </t>
  </si>
  <si>
    <t>organizācijas</t>
  </si>
  <si>
    <t>Finansējuma atlikumu veido neatbilstoši veiktas izmaksas (ieturētas no maksājumiem finansējuma saņēmējiem).</t>
  </si>
  <si>
    <t>Kapacitātes stiprināšana darba tirgus institūcijām (Capacity reinforcement of labour market institutions)</t>
  </si>
  <si>
    <t>Starpību starp 5. un 14.aili veido neattiecināmās izmaksas 111 864 LVL apmērā un izmaksas, kas bija paredzētas darījumu kontā, par kuru, saskaņā ar 23.08.2011 MK sēdes protokola Nr49 25 § līgums tika lauzts un finansējums atgriezts budžetā.</t>
  </si>
  <si>
    <t>Vietējo nodarbinātības veicināšanas pasākumu plānu ieviešanas atbalsts (Support for the implementation of regional action plans for promotion of employment)</t>
  </si>
  <si>
    <t>1.kārta - valsts iestādes, 2.kārta -pašvaldības</t>
  </si>
  <si>
    <t>Starpību starp 5. un 14.aili pamatā veido projekta administrēšanai piešķirtās neattiecināmās izmaksas un neatbilstoši veiktās izmaksas.</t>
  </si>
  <si>
    <t>Atbalsts dzimumu līdztiesības veicināšanai darba tirgū (Promotion of gender equality in the labour market)</t>
  </si>
  <si>
    <t>Darba tirgus pieprasījuma īstermiņa un ilgtermiņa prognozēšanas un uzraudzības sistēmas attīstība (Forecasting short-term and long-term labour market demands and the development of a monitoring system)</t>
  </si>
  <si>
    <t>Atbalsts labāko inovatīvo risinājumu meklējumiem un labas prakses piemēru integrēšanai darba tirgus politikās un ieviešanas instrumentārijos (Support for seeking the best innovative solutions and for integrating the best practices in the labour market policies and implementation instruments)</t>
  </si>
  <si>
    <t>Augstas kvalifikācijas darbinieku piesaiste (Attraction of highly qualified employee)</t>
  </si>
  <si>
    <t>komersanti</t>
  </si>
  <si>
    <t>Pasākums "Veselība darbā" (Measure "Health at work")</t>
  </si>
  <si>
    <t>VeM</t>
  </si>
  <si>
    <t>Veselības uzlabošana darbavietā, veicinot ilgtspējīgu nodarbinātību (Better Health at Work and Sustaining Employment)</t>
  </si>
  <si>
    <t>Pētījumi un aptaujas par veselību darbā (Studies and surveys in health at work)</t>
  </si>
  <si>
    <t>Veselības aprūpes un veicināšanas procesā iesaistīto institūciju personāla kompetences, prasmju un iemaņu līmeņa paaugstināšana (Enhancement of competencies, qualification and skills of health care and health promotion professionals)</t>
  </si>
  <si>
    <t>102597 lati ir projekta neattiecināmās izmaksas, kas tika samaksātās 2010.gadā no valsts budžeta (ņemot vērā, ka VM ir valsts budžeta iestāde).</t>
  </si>
  <si>
    <t>Prioritāte "Sociālās iekļaušanas veicināšana" (Priority "Promotion of Social Inclusion")</t>
  </si>
  <si>
    <t>Pasākums "Sociālā iekļaušana" (Measure "Social Inclusion")</t>
  </si>
  <si>
    <t>Iedzīvotāju ekonomiskās aktivitātes stimulēšana (Stimulating economic activity of the population)</t>
  </si>
  <si>
    <t>Kompleksi atbalsta pasākumi iedzīvotāju integrēšanai darba tirgū (Complex supporting activities for inhabitants’ integration in labour market)</t>
  </si>
  <si>
    <t>Atbalstītās nodarbinātības pasākumi mērķgrupu bezdarbniekiem (Supported employment measures for unemployed persons from specific target groups)</t>
  </si>
  <si>
    <t>Valsts budžeta finansējums 572 937 LVL apmērā (norādītā summa indikatīva) netiks izmantots, jo netiešajās izmaksās (flat-rate) ir prognozējams finansējuma atlikums. Maksājumu pieprasījumos, saskaņā ar FM vadlīnijām "Metodika par netiešo izmaksu nemainīgās likmes plānošanu un piemērošanu" tiks iekļautas netiešās izmaksas atbilstoši likmi pilnā apmērā.</t>
  </si>
  <si>
    <t>Darbspēju vērtēšanas sistēmas un sociālo pakalpojumu ieviešanas sistēmas pilnveidošana (Improvement of the working capacity evaluation system and the system of introducing social services)</t>
  </si>
  <si>
    <t>Darbspēju vērtēšanas sistēmas pilnveidošana (The development of evaluating system of labour capacity)</t>
  </si>
  <si>
    <t>Starpību starp 5. un 14.aili veido projekta administrēšanai piešķirtās neattiecināmās izmaksas un pakalpojuma līguma izpildītāja budžetā atmaksāta summa pēc līguma laušanas.</t>
  </si>
  <si>
    <t>Sociālās rehabilitācijas pakalpojumu attīstība personām ar redzes un dzirdes traucējumiem(The development of social rehabilitation services for persons with optic and acoustic disorder)</t>
  </si>
  <si>
    <t>Biedrības un nodibinājumi</t>
  </si>
  <si>
    <t>Sociālās rehabilitācijas un institūcijām alternatīvu sociālās aprūpes pakalpojumu attīstība reģionos(The development of alternative services to social rehabilitation and institutions in regions)</t>
  </si>
  <si>
    <t>VARAM</t>
  </si>
  <si>
    <t>Pašvaldības, plānošanas reģioni</t>
  </si>
  <si>
    <t>Atlikumu veido līgumiem nepiesaistīts finansējums, atlikumi līgumiem noslēdzoties un neatbilstoši veikto izmaksu atlikums (gan līdz 08.052012. MK lēmumam konstatētās, gan pēc). Attiecināmo izmaksu atlikums ir lielāks, ņemot vērā, ka no budžeta tiek finansētas arī neattiecināmās izmaksas. Reālais atlikums ir aptuveni 400 000 LVL.</t>
  </si>
  <si>
    <t xml:space="preserve">Prioritāte "Administratīvās kapacitātes stiprināšana" </t>
  </si>
  <si>
    <t>Pasākums "Labāka regulējuma politika" (Measure "Better Regulation Policy")</t>
  </si>
  <si>
    <t>Politikas ietekmes novērtēšana un politikas pētījumu veikšana (Policy Impact Assessment and Conducting Policy Research)</t>
  </si>
  <si>
    <t>Atbalsts strukturālo reformu īstenošanai un analītisko spēju stiprināšanai valsts pārvaldē (Improvement of Policy Planning, Policy Implementation and Policy Impact Assessment)</t>
  </si>
  <si>
    <t>FM</t>
  </si>
  <si>
    <t>Politikas pētījumu veikšana (Conducting Policy Research)</t>
  </si>
  <si>
    <t>Vkanceleja</t>
  </si>
  <si>
    <t>valsts un pašvaldību iestādes</t>
  </si>
  <si>
    <t>Administratīvo šķēršļu samazināšana un publisko pakalpojumu kvalitātes uzlabošana (Reduction of Administrative Barriers and Quality Improvement of Public Services)</t>
  </si>
  <si>
    <t>07.09.2012. Projekta vadības sanāksmē tika pieņemts lēmums rosināt Projekta īstenošanas termiņa pagarināšanu un iesniegt Projekta grozījumus Sabiedrības integrācijas fondam. Projekta īstenošanas termiņa pagarinājums ir saistīts ar to, ka projekta rādītāji ir uzskatāmi par izpildītiem, ja projekta ietvaros izstrādātie administratīvo šķēršļu samazināšanas plāni ir īstenoti (projekta iesnieguma 2.10. sadaļā noteiktie uzraudzības rādītāji). Vienlaikus, ņemot vērā projekta ieviešanas gaitā pieņemtos lēmumus par izmaiņām aktivitātes īstenošanā (t.sk. ar Ministru kabineta noteikumiem Nr.964 apstiprināto finansējuma samazinājumu), kā arī ar publisko iepirkuma procedūru piemērošanu saistītās problēmas, administratīvo šķēršļu samazināšanas plānus īstenot projektā plānotajā apjomā iespējams līdz 2014.gada 31.decembrim.</t>
  </si>
  <si>
    <t>Publisko varu realizējošo institūciju darbības kvalitātes un efektivitātes paaugstināšana" (Increasing Operational Quality and Efficiency of Public Administration Institutions)</t>
  </si>
  <si>
    <t>Kvalitātes vadības sistēmas izveide un ieviešana (Development and Introduction of the Quality Management System)</t>
  </si>
  <si>
    <t>LM,VM, Vkanc, VARAM, ZM, VARAM, TM</t>
  </si>
  <si>
    <t>valsts iestāde, pašvaldības</t>
  </si>
  <si>
    <t>Publisko pakalpojumu kvalitātes paaugstināšana valsts, reģionālā un vietējā līmenī (Improvement of Quality of Public Services at the National, Regional and Local Level)</t>
  </si>
  <si>
    <t>Sabiedrības integrācijas fonda sekretariāta 2012.gada 9.oktobra lēmums Nr.317 par projekta iesnieguma Nr. 1DP/1.5.1.3.2/APIA/SIF/032 apstiprināšanu</t>
  </si>
  <si>
    <t>Pasākums "Cilvēkresursu kapacitātes stiprināšana"    (Measure "Capacity Building of Human Resources")</t>
  </si>
  <si>
    <t>Publiskās pārvaldes cilvēkresursu plānošanas un vadības sistēmas attīstība (Development of Human Resource Planning and Management System in Public Administration)</t>
  </si>
  <si>
    <t>Sociālo partneru, nevalstisko organizāciju un pašvaldību kapacitātes stiprināšana (Capacity Building of Social Partners, Non-Governmental Organisations and Municipalities)</t>
  </si>
  <si>
    <t>Sociālo partneru administratīvās kapacitātes stiprināšana (Administrative Capacity Building of Social Partners)</t>
  </si>
  <si>
    <t>TM</t>
  </si>
  <si>
    <t>LBAS, LDDK</t>
  </si>
  <si>
    <t>NVO administratīvās kapacitātes stiprināšana (Administrative Capacity Building of NGOs)</t>
  </si>
  <si>
    <t>KM</t>
  </si>
  <si>
    <t>NVO</t>
  </si>
  <si>
    <t>Atbalsts pašvaldībām kapacitātes stiprināšanā ES politiku instrumentu un pārējās ārvalstu finanšu palīdzības projektu un pasākumu īstenošanai (Support to Municipalities in Building their Capacities to Implement Measures financed by the Structural Funds)</t>
  </si>
  <si>
    <t>pašvaldības</t>
  </si>
  <si>
    <t>Lauzti līgumi, neattiecināmas izmaksas</t>
  </si>
  <si>
    <t>Pasākums "Plānošanas reģionu un vietējo pašvaldību administratīvās un attīstības plānošanas kapacitātes stiprināšana" (Measure "Administrative Capacity and Development Planning Capacity Building of Planning Regions and Local Governments")</t>
  </si>
  <si>
    <t>Speciālistu piesaiste plānošanas reģioniem, pilsētām un novadiem (Attracting Specialists to Planning Regions, Towns and Amalgamated Municipalities)</t>
  </si>
  <si>
    <t xml:space="preserve">ESF likme ir 100%.
Nepieciešams papildus finansējums, lai segtu saistības 2013. un 2014.gadā, atbilstoši finansējuma saņēmēju iesniegtajiem precizētajiem maksājumu pieprasījumu iesniegšanas grafikiem un plānotajām maksājumu pieprasījumu summām. 
VARAM norāda, ka apguve netiks nodrošināta pilnā apmērā, jo aktivitātes projektos tiek konstatētas neatbilstības un aktivitātes ietvaros nav plānotas nākamās atlases kārtas, noslēgto līgumu termiņi tiek pagarināti un maksājumi pārcelti uz nākamajiem gadiem, kā arī samazinās finansējuma saņēmējiem nepieciešamais finansējuma apjoms (iepirkuma rezultātā projekts tiek īstenots par mazāku finansējuma apjomu nekā sākotnēji plānots). </t>
  </si>
  <si>
    <t>Plānošanas reģionu un vietējo pašvaldību attīstības plānošanas kapacitātes paaugstināšana (Development Planning Capacity Building of Planning Regions and Local Governments)</t>
  </si>
  <si>
    <t>2.</t>
  </si>
  <si>
    <t>Darbības programma "Uzņēmējdarbība un inovācijas" [neiesk. TP] (II Operational programme "Entrepreneurship and Innovations"[without TA]</t>
  </si>
  <si>
    <t>Prioritāte "Zinātne un inovācijas" (Priority „Science and Innovations”)</t>
  </si>
  <si>
    <t>Pasākums "Zinātne, pētniecība un attīstība" (Measure „Science, Research and Development”)</t>
  </si>
  <si>
    <t>Atbalsts zinātnei un pētniecībai (Support to Science and Research)</t>
  </si>
  <si>
    <t>Atbalsts starptautiskās sadarbības projektiem zinātnē un tehnoloģijās (EUREKA, 7.IP un citi)  (Support to International Cooperation Projects in Research and Technologies (EUREKA, 7th FP, etc.))</t>
  </si>
  <si>
    <t>zinātniskā institūcija</t>
  </si>
  <si>
    <t xml:space="preserve">Finansējuma apmērs plānots 2.1.1.2.aktivitātes spēkā esošo un izpildīto ieviešanas līgumu kopējam finansējumam </t>
  </si>
  <si>
    <t>Zinātnes un pētniecības infrastruktūras attīstība (Development of the scientific and research infrastructure)</t>
  </si>
  <si>
    <t>Zinātnes infrastruktūras attīstība (Development of  Research Infrastructure)</t>
  </si>
  <si>
    <t>Nacionālo publisko finansējumu apakšaktivitātes ietvaros nenodrošina no valsts budžeta līdzekļiem</t>
  </si>
  <si>
    <t>Informācijas tehnoloģiju infrastruktūras un informācijas sistēmu uzlabošana zinātniskajai darbībai (Improvement of IT Infrastructure and IT System for the Research Needs)</t>
  </si>
  <si>
    <t>Pasākums "Inovācijas" (Measure „Innovations”)</t>
  </si>
  <si>
    <t>Zinātnes komercializācija un tehnoloģiju pārnese (Commercialisation of science and transfer of technologies)</t>
  </si>
  <si>
    <t>Apakšaktivitāte "Kompetences centri" (Competence centres)</t>
  </si>
  <si>
    <t>jurdiska persona</t>
  </si>
  <si>
    <t>Tehnoloģiju pārneses kontaktpunkti (Contact Points of Transfer of Technologies)</t>
  </si>
  <si>
    <t>valsts izglītības iestāde</t>
  </si>
  <si>
    <t>Tehnoloģiju pārneses centri (Centres of transfer of Technologies)</t>
  </si>
  <si>
    <t>sabiedrība ar ierobežotu atbildību un valsts aģentūra</t>
  </si>
  <si>
    <t>Jaunu produktu un tehnoloģiju izstrāde (Development of new products and technologies)</t>
  </si>
  <si>
    <t>sabiedrība ar ierobežotu atbildību</t>
  </si>
  <si>
    <t xml:space="preserve">Jaunu produktu un tehnoloģiju izstrāde (Development of new products and technologies) </t>
  </si>
  <si>
    <t>Jaunu produktu un tehnoloģiju izstrāde - atbalsts jaunu produktu un tehnoloģiju ieviešanai ražošanā (Development of new products and technologies - aid for implementation of new products and Technologies in production)</t>
  </si>
  <si>
    <t xml:space="preserve">Jaunu produktu un tehnoloģiju izstrāde - atbalsts rūpnieciskā īpašuma tiesību nostiprināšanai (Development of new products and technologies -  aid for industrial property rights) </t>
  </si>
  <si>
    <t>MVK jaunu produktu un tehnoloģiju attīstības programma (New product and technology development in SMEs)</t>
  </si>
  <si>
    <t>MVK</t>
  </si>
  <si>
    <t>Zinātnes un tehnoloģiju parks (Science and Technology park)</t>
  </si>
  <si>
    <t>Augstas pievienotās vērtības investīcijas (High value-added investments)</t>
  </si>
  <si>
    <t>Virssaistības paredzētas, lai būtu iespējams noslēgt līgumus. Plānots, ka papildu budžeta līdzekļi tām nebūs nepieciešami pilnā apmērā, jo no pieredzes paredzami projektu summu samazinājumi.</t>
  </si>
  <si>
    <t>Prioritāte "Finanšu pieejamība" (Priority “Access to Finances”)</t>
  </si>
  <si>
    <t>Pasākums "Finanšu resursu pieejamība" (Measure „Accessability of Financial Resources”)</t>
  </si>
  <si>
    <t xml:space="preserve">Ieguldījumu fonds investīcijām garantijās, paaugstināta riska aizdevumos, riska kapitāla fondos un cita veida finanšu instrumentos (Holding fund for the investment in guarantee, high-risk loans, and venture capital funds and other financial instruments) </t>
  </si>
  <si>
    <t>Eiropas Savienības institūcija</t>
  </si>
  <si>
    <t>Stratēģisko investoru piesaiste (Attraction of strategic investors)</t>
  </si>
  <si>
    <t>Biznesa eņģeļu tīkls (Business angels network)</t>
  </si>
  <si>
    <t>Vērtspapīru birža MVK (Stock Exchange for SMEs)</t>
  </si>
  <si>
    <t>akciju sabiedrība</t>
  </si>
  <si>
    <t>Garantijas komersantu konkurētspējas uzlabošanai (Guarantees for development of enterprise competitiveness)</t>
  </si>
  <si>
    <t>sabiedrība ar ierobežotu atbildību, valsts kapitālsabiedrība</t>
  </si>
  <si>
    <t>2.2.1.4.</t>
  </si>
  <si>
    <t>Aizdevumi komersantu konkurētspējas uzlabošanai (Loans for development of enterprise competitiveness)</t>
  </si>
  <si>
    <t>Atbalsts aizdevumu veidā komersantu konkurētspējas uzlabošanai (Support in a form of loans for development of enterprises' competitiveness)</t>
  </si>
  <si>
    <t>VAS "Latvijas Hipotēku un zemes banka”</t>
  </si>
  <si>
    <t>Mezanīna aizdevumi investīcijām komersantu konkurētspējas uzlabošanai (Mezzanine investment loans for development of enterprise competitiveness)</t>
  </si>
  <si>
    <t>SIA "Latvijas Garantiju aģentūra"</t>
  </si>
  <si>
    <t>Prioritāte "Uzņēmējdarbības veicināšana" (Priority “Promotion of Entrepreneurship”)</t>
  </si>
  <si>
    <t>Pasākums "Uzņēmējdarbības atbalsta aktivitātes" (Measure „Business Support Activities”)</t>
  </si>
  <si>
    <t>Ārējo tirgu apgūšana (Access to international trade markets) (Access to international trade markets)</t>
  </si>
  <si>
    <t>Ārējo tirgu apgūšana - ārējais mārketings (Access to international trade markets-external marketing)</t>
  </si>
  <si>
    <t>Ārējo tirgu apgūšana – nozaru starptautiskās konkurētspējas stiprināšana (Access to international trade markets-strengthening international competitiveness  of industry sector)</t>
  </si>
  <si>
    <t>valsts akciju sabiedrība</t>
  </si>
  <si>
    <t>2013.gadā no 80.00.00 programmas būs nepieciešama 2012.gada neizpilde. 466000 jābūt pie atmaksām</t>
  </si>
  <si>
    <t>Pasākumi motivācijas celšanai inovācijām un uzņēmējdarbības uzsākšanai (Measures to encourage innovations and business start-ups)</t>
  </si>
  <si>
    <t>valsts aģentūra</t>
  </si>
  <si>
    <t>Pasākums "Uzņēmējdarbības infrastruktūras un aprīkojuma uzlabojumi" (Measure „Business Infrastructure and Improvements to Equipment”)</t>
  </si>
  <si>
    <t>Biznesa inkubatori (Business incubators)</t>
  </si>
  <si>
    <t>2015.gadā no 80.00.00 programmas būs nepieciešama 2012.gada neizpilde</t>
  </si>
  <si>
    <t>Atbalsts ieguldījumiem mikro, maziem un vidējiem komersantiem īpaši atbalstāmajās teritorijās (ĪAT) (Co-financing to the investments in micro, small and medium-sized entreprises operating in the specially assisted arears)</t>
  </si>
  <si>
    <t>Virssaistības paredzētas 2.3.2.2.2. aktivitātē, lai būtu iespējams uzsākt aktivitātes ieviešanu un noslēgt līgumus. Plānots, ka papildu budžeta līdzekļi tām nebūs nepieciešami, jo paredzams, ka 2.3.2.2. (ĪAT) aktivitātes finansējums un līdz ar to budžeta līdzekļi netiks izmantoti pilnā apmērā.</t>
  </si>
  <si>
    <t>Klasteru programma (Cluster programm)</t>
  </si>
  <si>
    <t>biedrības un nodibinājumi</t>
  </si>
  <si>
    <t>III darbības programma "Infrastruktūra un pakalpojumi" [neiesk.TP] (III Operational programme "Infrastructure and Services" without TA)</t>
  </si>
  <si>
    <t>ERAF/KF</t>
  </si>
  <si>
    <t>III DP - ERAF (III OP - ERDF)</t>
  </si>
  <si>
    <t>III DP - KF (III OP - CF)</t>
  </si>
  <si>
    <t>KF</t>
  </si>
  <si>
    <t>Prioritāte "Infrastruktūra cilvēku kapitāla nostiprināšanai" (Priority "Infrastructure for Strengthening Human Capital")</t>
  </si>
  <si>
    <t>Pasākums "Profesionālās izglītības infrastruktūra" (Measure "Vocational Education Infrastructure")</t>
  </si>
  <si>
    <t>Mācību aprīkojuma modernizācija un infrastruktūras uzlabošana profesionālās izglītības programmu īstenošanai (Modernisation of Equipment and Improvement of Infrastructure for Implementation of Vocational Education Programmes)</t>
  </si>
  <si>
    <t>IZM/VIAA (arī KM un LM budžetā)</t>
  </si>
  <si>
    <t>Izglītības iestādes</t>
  </si>
  <si>
    <t>DPP norādītais finansējums kopā ar nacionālo publisko līdzfinansējumu, ko daļēji veido pašvaldības budžeta finansējums</t>
  </si>
  <si>
    <t>Profesionālās izglītības infrastruktūras attīstība un mācību aprīkojuma modernizācija ieslodzījuma vietās (Improvement of Vocational Education Infrastructure and Modernisation of Equipment in Places of Imprisonment)</t>
  </si>
  <si>
    <t>IZM/VIAA [atmaksas p/budžetam: TM]</t>
  </si>
  <si>
    <t>Valsts iestādes</t>
  </si>
  <si>
    <t>Pasākums "Augstākās izglītības infrastruktūra" (Measure "Tertiary (Higher) Education Infrastructure")</t>
  </si>
  <si>
    <t>IZM/VIAA</t>
  </si>
  <si>
    <t>Augstākās izglītības iestāžu telpu un iekārtu modernizēšana studiju programmu kvalitātes uzlabošanai, tajā skaitā, nodrošinot izglītības programmu apgūšanas iespējas arī personām ar funkcionāliem traucējumiem (Modernization of Premises and Devices for Improvement of Study Programme Quality at Higher Educational Establishments, including Provision of Education Opportunities for Individuals with Functional Disabilities)</t>
  </si>
  <si>
    <t>Augstākās izglītības iestādes</t>
  </si>
  <si>
    <t xml:space="preserve">Jaunu koledžas studiju programmu attīstība vai jaunu koledžu izveide (Improvement of New Study Programme at Colleges or Establishment of New Colleges) </t>
  </si>
  <si>
    <t>Valsts dibināta koledža</t>
  </si>
  <si>
    <t>Pasākums "Izglītības infrastruktūra vispārējo prasmju nodrošināšanai" (Measure "Ensuring Educational Infrastructure for General Skills")</t>
  </si>
  <si>
    <t xml:space="preserve">Kvalitatīvai dabaszinātņu apguvei atbilstošas materiālās bāzes nodrošināšana (Provision of Appropriate Material Supplies Required for the Implementation of High-quality Natural Science Programmes) </t>
  </si>
  <si>
    <t>Pašvaldība</t>
  </si>
  <si>
    <t>Atbalsts vispārējās izglītības iestāžu tīkla optimizācijai (Support for optimization of general educational establishments)</t>
  </si>
  <si>
    <t>3.1.3.3.</t>
  </si>
  <si>
    <t>Speciālās izglītības iestāžu un vispārējās izglītības iestāžu infrastruktūras uzlabošana izglītojamajiem ar speciālām vajadzībām (Improvement of Infrastructure for Students with Special Needs in Comprehensive and Special Education Establishments)</t>
  </si>
  <si>
    <t xml:space="preserve">Speciālās izglītības iestāžu infrastruktūras un aprīkojuma uzlabošana (Improvement of Infrastructure and Equipment in Special Educational Establishments) </t>
  </si>
  <si>
    <t>Valsts iestāde vai pašvaldība</t>
  </si>
  <si>
    <t xml:space="preserve">Finansējuma apmērs plānots 3.1.3.3.1. apakšaktivitātes spēkā esošo un izpildīto ieviešanas līgumu kopējam finansējumam </t>
  </si>
  <si>
    <t xml:space="preserve">Vispārējās izglītības iestāžu infrastruktūras uzlabošana izglītojamajiem ar funkcionāliem traucējumiem (Improvement of Infrastructure in General Educational Establishments for the Students with Functional Disabilities and other Disorders) </t>
  </si>
  <si>
    <t>Pasākums "Nodarbinātības un sociālo pakalpojumu infrastruktūra" (Measure "Employment and Social Services Infrastructure")</t>
  </si>
  <si>
    <t>Darbspēju vērtēšanas un sociālo pakalpojumu ieviešanas institūciju infrastruktūras pilnveidošana (Improvement of Infrastructure in Institutions Assessing Capacity for Work and Providing Social Services)</t>
  </si>
  <si>
    <t>Infrastruktūras pilnveidošana un zinātniski tehniskās bāzes nodrošināšana darbspēju un funkcionālo traucējumu izvērtēšanai  (Improvement of Infrastructure and Providing Scientific and Technical Base  to Estimate  a  Work Capacity and Functional Disorders)</t>
  </si>
  <si>
    <t>FM/CFLA</t>
  </si>
  <si>
    <t>Starpību starp 5. un 14.aili veido pakalpojuma līguma izpildītāja budžetā atgrieztais finansējums.</t>
  </si>
  <si>
    <t xml:space="preserve">Infrastruktūras pilnveidošana profesionālās rehabilitācijas pakalpojumu sniegšanai (Improvement of Infrastructure for Providing a Professional Rehabilitation Services) </t>
  </si>
  <si>
    <t>Valsts, privātās iestādes</t>
  </si>
  <si>
    <t>Infrastruktūras pilnveidošana sociālās rehabilitācijas pakalpojumu sniegšanai personām ar redzes un dzirdes traucējumiem  (Improvement of Infrastructure to Develop Social Rehabilitation Services for Persons with Hearing  and  Seeing Disorders)</t>
  </si>
  <si>
    <t>Sabiedriskas organizācijas</t>
  </si>
  <si>
    <t>Jaunu filiāļu izveide tehnisko palīglīdzekļu nodrošināšanai (Establishment of New Branch for Providing Technical Aid)</t>
  </si>
  <si>
    <t>SIA</t>
  </si>
  <si>
    <t>Infrastruktūras pilnveidošana sociālās rehabilitācijas pakalpojumu sniegšanai personām ar garīga rakstura traucējumiem (Improvement of Infrastructure to Develop Social Rehabilitation Services for Persons With Mental Disorders)</t>
  </si>
  <si>
    <t>Finansējuma atlikumu veido līgumiem nepiesaistīts finansējums un ietaupījumi projektu ietvaros.</t>
  </si>
  <si>
    <t>Darba tirgus institūciju infrastruktūras pilnveidošana (Improvement of Infrastructure in Labour Market Institutions)</t>
  </si>
  <si>
    <t>LM [atmaksas p/budžetam: FM/CFLA]</t>
  </si>
  <si>
    <t>Starpību starp 5. un 14.aili pamatā veido neattiecināmās izmaksas un neatbilstoši veiktās izmaksas.</t>
  </si>
  <si>
    <t>Pirmsskolas izglītības iestāžu infrastruktūras attīstība nacionālas un reģionālas nozīmes attīstības centros (Development Pre-school Educational Establishments’ Infrastructure in Development Centers of National and Regional Importance)</t>
  </si>
  <si>
    <t>VARAM/VRAA</t>
  </si>
  <si>
    <t>Starpība starp piešķirto publisko finansējumu, kas sastāv no ERAF, VBD un Pašvaldības līdzfinansējuma daļas, un valsts budžetā pieprasītajām summām, nevar būt vienāda ar 0, jo valsts budžetā tiek pieprasīta tikai ERAF un VBD daļa.</t>
  </si>
  <si>
    <t>Atbalsts alternatīvās aprūpes pakalpojumu pieejamības attīstībai (Supporting of Improved Accessibility to Alternative Care Services)</t>
  </si>
  <si>
    <t>Plānotā budžeta izpildes dati ir precizēti atbilstoši finansējuma saņēmēju iesniegtajiem precizētajiem maksājumu pieprasījumu summām. 
VARAM norāda, ka kopumā  netiks nodrošināta 100% apguve pret DPP, jo aktivitātes projektos tiek konstatētas neatbilstības un aktivitātes ietvaros nav plānotas nākamās atlases kārtas, un noslēgto līgumu ietvaros samazinās finansējuma saņēmējiem nepieciešamais finansējuma apjoms (iepirkuma rezultātā projekts tiek īstenots par mazāku finansējuma apjomu nekā sākotnēji plānots). 
Vienlaikus informējam, ka prioritātes ietvaros ir uzņemtas virssaistības, kuras var deklarēt uz citu aktivitāšu atlikumu rēķina.</t>
  </si>
  <si>
    <t>Pasākums "Veselības aprūpes infrastruktūra" (Measure "Health Care Infrastructure")</t>
  </si>
  <si>
    <t>VeM/VEC</t>
  </si>
  <si>
    <t>Ambulatorās veselības aprūpes attīstība (Development of Ambulatory Health Care)</t>
  </si>
  <si>
    <t xml:space="preserve">Ģimenes ārstu tīkla attīstība (Developemnt of Primary Health Care Physician Network) </t>
  </si>
  <si>
    <t>Ārstniecības iestādes</t>
  </si>
  <si>
    <t xml:space="preserve">335847 lati ar starpība starp plānoto finansējumu iesniegumu 3.atlases kārtas projektiem un reāli nepieciešamajam finansējumam atbilstoši CFLA iesniegtajiem projektu iesniegumiem (atklātu projektu iesniegumu iesniegšana ir noslēgusies). Atlikušais finansējums tiks novirzīts iesniegumu 4.atlases projektiem. </t>
  </si>
  <si>
    <t>Veselības aprūpes centru attīstība (Development of the Health Care Centre)</t>
  </si>
  <si>
    <t xml:space="preserve">Veselības aprūpes iestādes </t>
  </si>
  <si>
    <t>Aktivitātes īstenošana beidgsies 2012.gadā (2013. gadā ieplānotais finansējums paredzēts  pēdējo maksājumu veikšanai). Starpība 156589 lati ir salietinājums projektu ietvaros, neatbilstoši veiktie izdevumi projektu ietvaros utt.</t>
  </si>
  <si>
    <t>Neatliekamās medicīniskās palīdzības attīstība (Development of Emergency Medical Assistance)</t>
  </si>
  <si>
    <t>Stacionārās veselības aprūpes pakalpojumu sniedzēju attīstība (Development of providers of stationary health care)</t>
  </si>
  <si>
    <t>Stacionārās veselības aprūpes attīstība  (Development of Stationary Health Care)</t>
  </si>
  <si>
    <t>Slimnīcas</t>
  </si>
  <si>
    <t>48171 lats ir starpība starp faktiski noslēgto līgumu apjomu un MK paredzēto finansējumu.</t>
  </si>
  <si>
    <t>Onkoloģijas slimnieku radioterapijas ārstēšanas attīstība (Development of Radiotherapy Treatments of Oncology Patients)</t>
  </si>
  <si>
    <t>Pasākums "Pieejamības un transporta sistēmas attīstība" (Priority "Promotion of Territorial Accessability")</t>
  </si>
  <si>
    <t>Pasākums "Pieejamības un transporta sistēmas attīstība" (Measure "Promotion of Accessibility and Transport System")</t>
  </si>
  <si>
    <t>SM</t>
  </si>
  <si>
    <t>Valsts 1.šķiras autoceļu maršrutu sakārtošana (Improvement of State Category 1 Motorway Network)</t>
  </si>
  <si>
    <t xml:space="preserve">Tranzītielu sakārtošana pilsētu teritorijās (Improvement of Transit Streets in Cities) </t>
  </si>
  <si>
    <t>Satiksmes drošības uzlabojumi apdzīvotās vietās un Rīgā (Traffic Safety Improvement in Populated Areas and Riga)</t>
  </si>
  <si>
    <t>Satiksmes drošības uzlabojumi apdzīvotās vietās ārpus Rīgas(Traffic Safety Improvement in Populated Areas Outside Riga)</t>
  </si>
  <si>
    <t>Papildu finansējums 2013.gadā nepieciešams sakarā ar to, ka finansējuma saņēmēji 2012.gadā kavēja prognozēto maksājuma pieprasījumu iesniegšanu, kā arī pagarināja projekta īstenošanas termiņus, līdz ar to plānotā atmaksa no 2012.gada pārceļas uz 2013.gadu</t>
  </si>
  <si>
    <t xml:space="preserve">Satiksmes drošības uzlabojumi Rīgā (Traffic safety improvement in Riga) </t>
  </si>
  <si>
    <t>Finansējuma saņēmēji pagarina projekta īstenošanas termiņus, līdz ar to plānotā atmaksa pārceļas laika periodā uz priekšu. Noslēgti divi jauni līgumi, kas uz šo brīdi prognozē pirmā maksājuma pieprasījuma iesniegšanu 2013.gada septembrī, bet ņemot vērā līdzšinējo pieredzi projekta īstenošanas gaitā, finansējuma saņēmējs līguma ietvaros iesniedz tikai vienu maksājuma pieprasījumu (kas ir arī gala) pēc līguma darbu izpildes, tāpēc plānots, ka līgumiem, kuru īstenošanas termiņš ir 2014.gads, atmaksa tiks veikta šajā gadā.</t>
  </si>
  <si>
    <t>Mazo ostu infrastruktūras uzlabošana (Improvement of Infrastructure in Small Ports)</t>
  </si>
  <si>
    <t>ostas</t>
  </si>
  <si>
    <t>Publiskais transports ārpus Rīgas (Public Transport Outside Riga)</t>
  </si>
  <si>
    <t>valsts vai pašvaldību komercsabiedrības</t>
  </si>
  <si>
    <t>IKT infrastruktūra un pakalpojumi (Measure "ICT Infrastructure and Services")</t>
  </si>
  <si>
    <t>Publiskās pārvaldes elektronisko pakalpojumu un informācijas sistēmu attīstība (Development of Electronic Services and Information Systems of Public Administration)</t>
  </si>
  <si>
    <t>Informācijas sistēmu un elektronisko pakalpojumu attīstība (Development of Information Systems and Electronic Services)</t>
  </si>
  <si>
    <t>EM, KM, VARAM,TM, IZM,IeM, VeM; ĀM; ZM; LM; VARAM [atmaksas p/budžetam: FM/CFLA]</t>
  </si>
  <si>
    <t>valsts iestādes, plānošanas reģioni</t>
  </si>
  <si>
    <t>Ņemot vērā iepriekšējo gadu pieredzi,  2.kārtas projektiem ir samazināts 2013.gadā plānotais finansējums novembra un decembra mēnesim un pārcelts uz 2014.gadu par kopējo summu 2.kārtai 2544607.65 LVL, un 3.kārtai ir samazināts 2013.gadā plānotais finansējums decembra mēnesim – 478575 LVL  
Nepieciešamais budžets - IZM, EM, VRAA, VZD, VVD, LNB, ZM, KIS, NVD, ĀM, VI, VDI, TA, LM, VR, VK, UR, VID, SM, FM, TM, IeM, Prokuratūra, IeMIC</t>
  </si>
  <si>
    <t xml:space="preserve">Izglītības iestāžu informatizācija (Informatisation of Educational Institutions) </t>
  </si>
  <si>
    <t>IZM/VIAA (arī KM budžetā)</t>
  </si>
  <si>
    <t>valsts iestādes, pašvaldības</t>
  </si>
  <si>
    <t xml:space="preserve">Finansējuma apmērs plānots 3.2.2.1.2. apakšaktivitātes spēkā esošo un izpildīto ieviešanas līgumu kopējam finansējumam </t>
  </si>
  <si>
    <t>Publisko interneta pieejas punktu attīstība (Development of Public Internet Access Points)</t>
  </si>
  <si>
    <t>Plānošanas reģioni</t>
  </si>
  <si>
    <t>Elektronisko sakaru pakalpojumu vienlīdzīgas pieejamības nodrošināšana visā valsts teritorijā (platjoslas tīkla attīstība) (Provision of Equal Access Opportunities to Electronic Communications Services in the Whole Territory of the Country (Development of Broadband Network))</t>
  </si>
  <si>
    <t>Privātie</t>
  </si>
  <si>
    <t>Valsts nozīmes elektronisko sakaru tīklu izveide, attīstība un pilnveidošana, informācijas datu pārraides drošības nodrošināšana ( Establishment, Development and Improvement of Electronic Communications Network of National Significance and Ensuring Security of Information Data Transmission)</t>
  </si>
  <si>
    <t>Valsts nozīmes elektronisko sakaru tīklu izveide, attīstība un pilnveidošana (Establishment, Development and Improvement of Electronic Communications Network of National Significance)</t>
  </si>
  <si>
    <t>Informācijas datu pārraides drošības nodrošināšana  (Ensuarance of information data transmission safety)</t>
  </si>
  <si>
    <t>Prioritāte "Eiropas nozīmes transporta tīklu attīstība un ilgtspējīga transporta veicināšana"  (Priority "Development of Transport Network of European Significance and Promotion of Sustainable Transport")</t>
  </si>
  <si>
    <t>Prioritāte "Eiropas nozīmes transporta tīklu attīstība un ilgtspējīga transporta veicināšana"  (Measure "Improvements and Development of Large Scale Transport Infrastructure")</t>
  </si>
  <si>
    <r>
      <t xml:space="preserve">TEN-T autoceļu tīkla uzlabojumi (Improvement of the TEN-T Road Network) </t>
    </r>
    <r>
      <rPr>
        <vertAlign val="superscript"/>
        <sz val="10"/>
        <rFont val="Times New Roman"/>
        <family val="2"/>
        <charset val="186"/>
      </rPr>
      <t>4</t>
    </r>
  </si>
  <si>
    <t>TEN-T dzelzceļa posmu rekonstrukcija un attīstība (Austrumu-Rietumu dzelzceļa koridora infrastruktūras attīstība un Rail Baltica) (Reconstruction and Development of the TEN-T Railway Segments (Development of the East-west Rail Corridor Infrastructure and Rail Baltica))</t>
  </si>
  <si>
    <t>Lielo ostu infrastruktūras attīstība „Jūras maģistrāļu” ietvaros (Development of Infrastructure of Large Ports within the Framework of the "Motorways of the Sea")</t>
  </si>
  <si>
    <t>ostas, pašvaldības, pašvaldību kapitālsabiedrības</t>
  </si>
  <si>
    <t>Lidostu infrastruktūras attīstība (Development of airport infrastructure)</t>
  </si>
  <si>
    <t>lidostas</t>
  </si>
  <si>
    <t>Pilsētu infrastruktūras uzlabojumi sasaistei ar TEN-T (City Infrastructure Improvements for Linkage with the TEN-T)</t>
  </si>
  <si>
    <t>Pašvaldības</t>
  </si>
  <si>
    <t>Liepājas Karostas ilgtspējīgas attīstības priekšnoteikumu nodrošināšana (Provision of precondtions for Liepaja Karosta sustainable development)</t>
  </si>
  <si>
    <t>Plānojot ilgtermiņa saistības tika paredzēts, ka projektā finanšu apguve sāksies tikai ar 2013.gadu. Bet tā kā reālā finanšu apguve aktivitātes projektā notiek jau 2012.gadā, tad kopējais budžetā paredzētais finansējums pārsniedz aktivitātei pieejamo finansējumu. Summa (2311567 LVL), kas pārsniedz aktivitātei nepieciešamo finansējumu ar iekšējām budžeta līdzekļu  pārdalēm tiks novirzīta 3.5.1.2.1.apakšaktivitātes projektu ieviešanai</t>
  </si>
  <si>
    <t>Pasākums "Ilgtspējīgas transporta sistēmas attīstība" (Measure "Development of Sustainable Transport System")</t>
  </si>
  <si>
    <t>Aktivitāte "Ilgtspējīga sabiedriskā transporta sistēmas attīstība" (Development of Sustainable Public Transport System)</t>
  </si>
  <si>
    <t>CF</t>
  </si>
  <si>
    <t>Pārtraukts Pasažieru vilciena projekts</t>
  </si>
  <si>
    <t>Prioritāte "Kvalitatīvas vides dzīvei un ekonomiskai aktivitātei nodrošināšana" (Priority "Quality Environment for Life and Economic Activity")</t>
  </si>
  <si>
    <t>Pasākums "Vide" (Measure "Environment")</t>
  </si>
  <si>
    <t>Ūdenssaimniecības attīstība apdzīvotās vietās ar iedzīvotāju skaitu līdz 2000 (Development of Water Management Infrastructure in Populated Areas where Number of Residents is up to 2000)</t>
  </si>
  <si>
    <t>pašvaldības, pašvaldību iestādes un aģentūras, kā arī kapitālsabiedrības</t>
  </si>
  <si>
    <t>Nepieciešamais budžets - CFLA (sadarbības iestāde)</t>
  </si>
  <si>
    <t>3.4.1.2.</t>
  </si>
  <si>
    <t>Infrastruktūras izveide natura 2000 teritorijās (Developing Infrastructure in the Areas of Natura 2000)</t>
  </si>
  <si>
    <t>Bioloģiskās daudzveidības saglabāšanas ex situ infrastruktūras izveide (Development of Infrastructure for Conservation of Biological Diversity)</t>
  </si>
  <si>
    <t>valsts aģentūras, atvasinātas publiskas personas un to izveidotas aģentūras, kapitālsabiedrības</t>
  </si>
  <si>
    <t>Vēsturiski piesārņoto vietu sanācija (Rehabilitation of Inherited Contaminated Sites)</t>
  </si>
  <si>
    <t>Pašvaldības, valsts vai pašvaldības iestādes vai aģentūras, speciālās ekonomiskās zonas pārvaldes</t>
  </si>
  <si>
    <t>Vides risku samazināšana (Reduction of Environmental Risks)</t>
  </si>
  <si>
    <t>Plūdu risku samazināšana grūti prognozējamu vižņu-ledus parādību gadījumos (Elimination of flood risk caused by hardly predictable phenomena of ice jams)</t>
  </si>
  <si>
    <t>Pašvaldības un valsts iestādes</t>
  </si>
  <si>
    <t>Hidrotehnisko būvju rekonstrukcija plūdu draudu risku novēršanai un samazināšanai (Reconstruction of hydro technical structures for the education and prevention of the flood risk)</t>
  </si>
  <si>
    <t>ZM</t>
  </si>
  <si>
    <t>3.4.1.6.</t>
  </si>
  <si>
    <t>Vides monitoringa un kontroles sistēmas attīstība (Development of a System of Environmental Monitoring and Control)</t>
  </si>
  <si>
    <t>Pasākums "Tūrisms" (Measure "Tourism")</t>
  </si>
  <si>
    <t>Nacionālās nozīmes tūrisma produkta attīstība (Development of Tourism Product of National importance)</t>
  </si>
  <si>
    <t>Valsts nozīmes pilsētbūvniecības pieminekļu saglabāšana, atjaunošana un infrastruktūras pielāgošana tūrisma produkta attīstībai  (Maintenance and Renewal of Town Planning Monuments of National Importance and Infrastructure Adjustment to Develop a Tourism Product)</t>
  </si>
  <si>
    <t>Nacionālās nozīmes velotūrisma produkta attīstība (Development of Cycling Tourism Product of National Importance)</t>
  </si>
  <si>
    <t>Nacionālās nozīmes kultūras, aktīvā, veselības un rekreatīvā tūrisma produkta attīstība  (Development of Cultural, Active and Recreative Tourism Product of National Importance)</t>
  </si>
  <si>
    <t>Pašvaldības, komersanti</t>
  </si>
  <si>
    <t>Tūrisma informācijas sistēmas attīstība (Development of Tourism Information System)</t>
  </si>
  <si>
    <t>Pasākums "Kultūrvides sociālekonomiskā ietekme" (Measure "Socio-economic Impact of Cultural Environment")</t>
  </si>
  <si>
    <t>Nacionālas un reģionālas nozīmes daudzfunkcionālu centru izveide (Establishment of a Network of Multifunctional Culture Halls of National and Regional Importance)</t>
  </si>
  <si>
    <t>valsts, pašvaldību iestādes</t>
  </si>
  <si>
    <t>Finansējuma saņēmējs pagarina projekta īstenošanas termiņu</t>
  </si>
  <si>
    <t>Sociālekonomiski nozīmīgu kultūrvēstursikā mantojuma objektu atjaunošana (Renovation of Objects of Important Cultural and Historical Heritage)</t>
  </si>
  <si>
    <t>Kopā ar papildus 2012.gadā uzņemtajām virssaistībām.</t>
  </si>
  <si>
    <t>Atbalsts kultūras pieminekļu privātīpašniekiem kultūras pieminekļu saglabāšanā un to sociālekonomiskā potenciāla efektīvā izmantošanā (Assistance to Private Owners of Cultural Monuments in Monument Conservation and in the Effective use of their Socio-economic Potential)</t>
  </si>
  <si>
    <t>Fiziskas un juridiskas personas</t>
  </si>
  <si>
    <t>Finansējuma saņēmējs pagarina projekta īstenošanas termiņu, kā arī divi līgumi tika lauzti. Kā arī papildus 2012.gadā uzņemtās virssaistības.</t>
  </si>
  <si>
    <t>Pasākums "Mājokļa energoefektivitāte"   (Measure "Energy Efficiency of Housing")</t>
  </si>
  <si>
    <t>Daudzdzīvokļu māju siltumnoturības uzlabošanas pasākumi (Improvement of Heat Insulation of Multi-apartment Residential Buildings)</t>
  </si>
  <si>
    <t>Fiziskas  personas</t>
  </si>
  <si>
    <t>Virssaistības paredzētas, lai būtu iespējams noslēgt līgumus un turpināt aktivitātes ieviešanu. Plānots, ka papildu budžeta līdzekļi tām nebūs nepieciešami, jo paredzami projektu summu samazinājumi.</t>
  </si>
  <si>
    <t>Sociālo dzīvojamo māju siltumnoturības uzlabošanas pasākumi (Improvement of Heat Insulation of Social Residential Buildings)</t>
  </si>
  <si>
    <t>Prioritāte "Vides infrastruktūras un videi draudzīgas enerģētikas veidošana"  (Priority "Promotion of Environmental Infrastructure And Environmentally Friendly Energy")</t>
  </si>
  <si>
    <t>Pasākums "Vides aizsardzības infrastruktūra" (Measure "Infrastructure of Environmental Protection")</t>
  </si>
  <si>
    <t>Ūdenssaimniecības infrastruktūras attīstība aglomerācijās ar cilvēku ekvivalentu lielāku par 2000 (Development of water management infrastructure in agglomerations with more than 2000 residents)</t>
  </si>
  <si>
    <t xml:space="preserve">Reģionālu atkritumu apsaimniekošanas sistēmu attīstība (Development of regional systems for waste management) </t>
  </si>
  <si>
    <t>Normatīvo aktu prasībām neatbilstošo izgāztuvju rekultivācija (Remediation of with legaslation non-coplying dumpsite)</t>
  </si>
  <si>
    <t>Iztrūkstūšais finansējums (2311567 LVL) ar budžeta līdzekļu iekšējām pārdalēm tik pārdalīts no 3.3.1.6.aktivitātes projekta</t>
  </si>
  <si>
    <t xml:space="preserve">Reģionālu atkritumu apsaimniekošanas sistēmu attīstība (Development of the regional waste managment systems) </t>
  </si>
  <si>
    <t>Kapitālsabiedrības</t>
  </si>
  <si>
    <t xml:space="preserve">Dalītās atkritumu apsaimniekošanas sistēmas attīstība (Development of separate WASTE collection system) </t>
  </si>
  <si>
    <t>VARAM/ CFLA</t>
  </si>
  <si>
    <t>Vides monitpringa un kontroles sistēmas attīstība (Development of a System of Environmental Monitoring and Control)</t>
  </si>
  <si>
    <t>Valsts iestādes (Valsts vides dienests)</t>
  </si>
  <si>
    <t>Pasākums "Enerģētika"  (Measure "Energy")</t>
  </si>
  <si>
    <t>Pasākumi siltumapgādes sistēmu efektivitātes paaugstināšanai (Measures Regarding The Increase of Efficiency of Heat Supply Systems)</t>
  </si>
  <si>
    <t>Komercabiedrības</t>
  </si>
  <si>
    <t>Pasākumi centralizētās siltumapgādes sistēmu efektivitātes paaugstināšanai (Measures Regarding The Increase of Efficiency of Centralised Heat Supply Systems)</t>
  </si>
  <si>
    <t>Komercsabiedrības, pašvaldības</t>
  </si>
  <si>
    <t>Pasākumi uzņēmumu siltumapgādes sistēmu efektivitātes paaugstināšanai (Measures Regarding The Increase of Efficiency of Enterprise Heat Supply Systems)</t>
  </si>
  <si>
    <t>Aktivitātes vienīgajā uzsaukumā neviens projekts netika apstiprināts. Plānots pārdalīt citām EM energoefektivitātes uzlabošanas aktivitātēm</t>
  </si>
  <si>
    <t>Atjaunojamo energoresursu izmantojošu koģenerācijas elektrostaciju attīstība (Development of Cogeneration Power Plants Utilising Renewable Energy Sources)</t>
  </si>
  <si>
    <t>Komercabiedrības, pašvaldību komercsabiedrības</t>
  </si>
  <si>
    <t>Vēja elektrostaciju attīstība (Development of Wind Power Stations)</t>
  </si>
  <si>
    <t>Daugavas hidroelektrostaciju aizsprostu pārgāžņu rekonstrukcija (Development of Dam Spillways for Daugava Hydroelectric Power Plant)</t>
  </si>
  <si>
    <t>AS</t>
  </si>
  <si>
    <t>Prioritāte "Policentriska attīstība" (Priority "Polycentric Development)</t>
  </si>
  <si>
    <t xml:space="preserve">Pasākums "Atbalsts ilgtspējīgai pilsētvides un pilsētreģionu attīstībai" (Measure "Support for Sustainable Urban Environment and Urban Area Development") </t>
  </si>
  <si>
    <t>Nacionālas un reģionālas nozīmes attīstības centru izaugsmes veicināšana līdzsvarotai valsts attīstībai (Growth of National and Regional Development Centres for Sustainable and Balanced Development of the Country)</t>
  </si>
  <si>
    <t xml:space="preserve">Starpība starp pieškirto publisko finansējumu, kas sastāv no ERAF, VBD un Pašvaldības līdzfinansējuma daļas, un valsts budžetā pieprasītajām summām, nevar būt vienāda ar 0, jo valsts budžetā tiek pieprasīta tikai ERAF un VBD daļa.
Pašvaldību līdzfinansējuma daļa nacionālajā līdzfinansējumā netiek plānota valsts budžetā un nevar tikt pieprasīta no 80.00 00 programmas. </t>
  </si>
  <si>
    <t>Rīgas pilsētas ilgtspējīga attīstība (Sustainable Development of Riga)</t>
  </si>
  <si>
    <t>Pasākums "Komplekss atbalsts novadu pašvaldību izaugsmes sekmēšanai" (Complex support to promote growth of amalgamated municipalities)</t>
  </si>
  <si>
    <t>Atbalsts novadu pašvaldību kompleksai attīstībai (Support of amalgamated municipalities to promote complex growth)</t>
  </si>
  <si>
    <t>Starpība starp pieškirto publisko finansējumu, kas sastāv no ERAF, VBD un Pašvaldības līdzfinansējuma daļas, un valsts budžetā pieprasītajām summām, nevar būt vienāda ar 0, jo valsts budžetā tiek pieprasīta tikai ERAF un VBD daļa.
Pašvaldību līdzfinansējuma daļa nacionālajā līdzfinansējumā netiek plānota valsts budžetā un nevar tikt pieprasīta no 80.00 00 programmas.</t>
  </si>
  <si>
    <t>Tehniskā palīdzība (1.6.1.1., 2.4.1.1., 3.7.1.1., 3.8.1.1.) (Technical Assistance - TA)</t>
  </si>
  <si>
    <t>ERAF, ESF, KF</t>
  </si>
  <si>
    <t>1) Kolonnā Nr. 5 norādītais finansējums ir kopējais atteicināmais finansējums bez neattiecināmā VB finansējuma.
2) Kolonnās no 6. līdz 14. finansējums norādīts kopā ar VB neattiecināmajām izmaksām (2.k neattiecināmas izmaksas ir 487 265 LVL).
3) Kolonnā Nr. 14 finansējums ir mazāks nekā  fiannsējums kolonnā Nr. 5, jo šobrīd TP projektiem nav  pieejams viss maksimāli peieejamais  finansējumu kāds ir pieejams atbilstoši DPP un MK noteikumiem Nr.694.  8 290 198 LVL ir finansējuma rezerve, kura tiks pieejama projektiem pēc MK noteikumu grozījumiem.
4) Pēc MK noteikumu Nr. 694 grozījumu projekta spēkā stāšanās, tiks veikti grozījumi TP projektos un palielinātas konkrētu proejktu kopējās summas.</t>
  </si>
  <si>
    <t>80.00.00 rezerve</t>
  </si>
  <si>
    <t>VM</t>
  </si>
  <si>
    <t>TP</t>
  </si>
  <si>
    <t>Valsts kanceleja</t>
  </si>
  <si>
    <t>Programmas Nr.</t>
  </si>
  <si>
    <t>Ekonomikas ministrija</t>
  </si>
  <si>
    <t>LV06</t>
  </si>
  <si>
    <t>Inovācijas "zaļās" ražošanas jomā</t>
  </si>
  <si>
    <t>LV04</t>
  </si>
  <si>
    <t>Kultūras un dabas mantojuma saglabāšana un atjaunināšana</t>
  </si>
  <si>
    <t>Tieslietu ministrija</t>
  </si>
  <si>
    <t>LV08</t>
  </si>
  <si>
    <t>Sabiedrības integrācijas fonds</t>
  </si>
  <si>
    <t>LV03</t>
  </si>
  <si>
    <t>NVO fonds</t>
  </si>
  <si>
    <t>LV02</t>
  </si>
  <si>
    <t>LV07</t>
  </si>
  <si>
    <t>Kapacitātes stiprināšana un institucionālā sadarbība ar Norvēģijas valsts iestādēm, vietējām un reģionālām iestādēm</t>
  </si>
  <si>
    <t>Finanšu ministrija</t>
  </si>
  <si>
    <t>LV01</t>
  </si>
  <si>
    <t xml:space="preserve">LV05 </t>
  </si>
  <si>
    <t xml:space="preserve">KOPĀ: </t>
  </si>
  <si>
    <t>Izglītības un zinātnes ministrija</t>
  </si>
  <si>
    <t xml:space="preserve">Kopā: </t>
  </si>
  <si>
    <t>Mērķis maksājumiem 2017.gadā</t>
  </si>
  <si>
    <t>Programmas kopējais līdzfinansējums</t>
  </si>
  <si>
    <t>Kultūras ministrija</t>
  </si>
  <si>
    <t>Plānots kopā, t.sk.</t>
  </si>
  <si>
    <t>4.</t>
  </si>
  <si>
    <t>5.</t>
  </si>
  <si>
    <t>Vides aizsardzības un reģionālās attistības</t>
  </si>
  <si>
    <t>Pētniecība un stipendijas</t>
  </si>
  <si>
    <t>Ministrija; Programma</t>
  </si>
  <si>
    <t>Nacionālā klimata politika</t>
  </si>
  <si>
    <t>Veiktie maksājumi līdz 31.12.2016.</t>
  </si>
  <si>
    <t>EEZ/NOR granta daļa</t>
  </si>
  <si>
    <t>1.pusgads</t>
  </si>
  <si>
    <t>2.pusgads</t>
  </si>
  <si>
    <t>* TP, izņemot neattiecināmās izmaksas.</t>
  </si>
  <si>
    <t>Tehniskās palīdzības fonds 2011.- 2017.gadam*</t>
  </si>
  <si>
    <t>6.=6.1+6.2</t>
  </si>
  <si>
    <t>6.2.</t>
  </si>
  <si>
    <t>3. =4.+5.</t>
  </si>
  <si>
    <t>Latvijas korekcijas dienestu un Valsts policijas īslaicīgās aizturēšanas vietu reforma, t.sk:</t>
  </si>
  <si>
    <t>1.pielikums</t>
  </si>
  <si>
    <t>Finanšu ministre</t>
  </si>
  <si>
    <t>D.Reizniece-Ozola</t>
  </si>
  <si>
    <t>Lazdiņa, 67083928</t>
  </si>
  <si>
    <t>lauma.lazdina@fm.gov.lv</t>
  </si>
  <si>
    <t>Iekšlietu ministrija</t>
  </si>
  <si>
    <t xml:space="preserve"> 2017.gada plāns maksājumiem Eiropas Ekonomikas zonas finanšu instrumenta un Norvēģijas finanšu instrumenta programmās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</si>
</sst>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43" formatCode="_-* #,##0.00_-;\-* #,##0.00_-;_-* &quot;-&quot;??_-;_-@_-"/>
    <numFmt numFmtId="164" formatCode="_-&quot;£&quot;* #,##0.00_-;\-&quot;£&quot;* #,##0.00_-;_-&quot;£&quot;* &quot;-&quot;??_-;_-@_-"/>
    <numFmt numFmtId="165" formatCode="0.0"/>
    <numFmt numFmtId="166" formatCode="________@"/>
    <numFmt numFmtId="167" formatCode="____________@"/>
    <numFmt numFmtId="168" formatCode="________________@"/>
    <numFmt numFmtId="169" formatCode="____________________@"/>
    <numFmt numFmtId="170" formatCode="0.000"/>
    <numFmt numFmtId="171" formatCode="#,##0_ ;\-#,##0\ "/>
    <numFmt numFmtId="172" formatCode="0.0%"/>
    <numFmt numFmtId="173" formatCode="[$-1010426]#,##0.00;\-#,##0.00"/>
    <numFmt numFmtId="174" formatCode="_-* #,##0_-;\-* #,##0_-;_-* &quot;-&quot;??_-;_-@_-"/>
  </numFmts>
  <fonts count="154">
    <font>
      <sz val="12"/>
      <color theme="1"/>
      <name val="Times New Roman"/>
      <family val="2"/>
      <charset val="186"/>
    </font>
    <font>
      <sz val="12"/>
      <color theme="1"/>
      <name val="Times New Roman"/>
      <family val="2"/>
      <charset val="186"/>
    </font>
    <font>
      <sz val="11"/>
      <color theme="1"/>
      <name val="Calibri"/>
      <family val="2"/>
      <charset val="186"/>
      <scheme val="minor"/>
    </font>
    <font>
      <b/>
      <sz val="10"/>
      <name val="Times New Roman"/>
      <family val="1"/>
      <charset val="186"/>
    </font>
    <font>
      <sz val="10"/>
      <name val="Times New Roman"/>
      <family val="1"/>
      <charset val="186"/>
    </font>
    <font>
      <sz val="12"/>
      <name val="Times New Roman"/>
      <family val="1"/>
      <charset val="186"/>
    </font>
    <font>
      <sz val="11"/>
      <color indexed="8"/>
      <name val="Calibri"/>
      <family val="2"/>
      <charset val="186"/>
    </font>
    <font>
      <sz val="12"/>
      <color indexed="8"/>
      <name val="Times New Roman"/>
      <family val="2"/>
      <charset val="186"/>
    </font>
    <font>
      <sz val="10"/>
      <name val="Arial"/>
      <family val="2"/>
      <charset val="186"/>
    </font>
    <font>
      <sz val="10"/>
      <name val="Helv"/>
    </font>
    <font>
      <sz val="12"/>
      <color rgb="FF000000"/>
      <name val="Times New Roman"/>
      <family val="2"/>
      <charset val="186"/>
    </font>
    <font>
      <sz val="12"/>
      <color indexed="9"/>
      <name val="Times New Roman"/>
      <family val="2"/>
      <charset val="186"/>
    </font>
    <font>
      <sz val="12"/>
      <color indexed="20"/>
      <name val="Times New Roman"/>
      <family val="2"/>
      <charset val="186"/>
    </font>
    <font>
      <b/>
      <sz val="12"/>
      <color indexed="52"/>
      <name val="Times New Roman"/>
      <family val="2"/>
      <charset val="186"/>
    </font>
    <font>
      <i/>
      <sz val="10"/>
      <color indexed="10"/>
      <name val="BaltTimesRoman"/>
      <family val="2"/>
      <charset val="186"/>
    </font>
    <font>
      <b/>
      <sz val="12"/>
      <color indexed="9"/>
      <name val="Times New Roman"/>
      <family val="2"/>
      <charset val="186"/>
    </font>
    <font>
      <sz val="10"/>
      <color indexed="8"/>
      <name val="Arial"/>
      <family val="2"/>
      <charset val="186"/>
    </font>
    <font>
      <sz val="10"/>
      <color indexed="8"/>
      <name val="BaltTimesRoman"/>
      <family val="2"/>
      <charset val="186"/>
    </font>
    <font>
      <sz val="10"/>
      <name val="BaltGaramond"/>
      <family val="2"/>
    </font>
    <font>
      <i/>
      <sz val="12"/>
      <color indexed="23"/>
      <name val="Times New Roman"/>
      <family val="2"/>
      <charset val="186"/>
    </font>
    <font>
      <sz val="12"/>
      <color indexed="17"/>
      <name val="Times New Roman"/>
      <family val="2"/>
      <charset val="186"/>
    </font>
    <font>
      <b/>
      <sz val="12"/>
      <name val="Lat Times New Roman"/>
      <family val="1"/>
      <charset val="186"/>
    </font>
    <font>
      <b/>
      <sz val="15"/>
      <color indexed="56"/>
      <name val="Times New Roman"/>
      <family val="2"/>
      <charset val="186"/>
    </font>
    <font>
      <b/>
      <sz val="13"/>
      <color indexed="56"/>
      <name val="Times New Roman"/>
      <family val="2"/>
      <charset val="186"/>
    </font>
    <font>
      <b/>
      <sz val="11"/>
      <color indexed="56"/>
      <name val="Times New Roman"/>
      <family val="2"/>
      <charset val="186"/>
    </font>
    <font>
      <b/>
      <sz val="10"/>
      <name val="Lat Times New Roman"/>
      <family val="1"/>
      <charset val="186"/>
    </font>
    <font>
      <sz val="10"/>
      <name val="BaltTimesRoman"/>
      <family val="2"/>
      <charset val="186"/>
    </font>
    <font>
      <sz val="10"/>
      <name val="RimHelvetica"/>
      <charset val="186"/>
    </font>
    <font>
      <sz val="10"/>
      <name val="Lat Times New Roman"/>
      <family val="1"/>
      <charset val="186"/>
    </font>
    <font>
      <sz val="10"/>
      <color indexed="12"/>
      <name val="BaltTimesRoman"/>
      <family val="2"/>
      <charset val="186"/>
    </font>
    <font>
      <sz val="12"/>
      <color indexed="62"/>
      <name val="Times New Roman"/>
      <family val="2"/>
      <charset val="186"/>
    </font>
    <font>
      <sz val="12"/>
      <color indexed="52"/>
      <name val="Times New Roman"/>
      <family val="2"/>
      <charset val="186"/>
    </font>
    <font>
      <sz val="12"/>
      <color indexed="60"/>
      <name val="Times New Roman"/>
      <family val="2"/>
      <charset val="186"/>
    </font>
    <font>
      <sz val="11"/>
      <name val="BaltOptima"/>
      <charset val="186"/>
    </font>
    <font>
      <sz val="10"/>
      <name val="Arial"/>
      <family val="2"/>
    </font>
    <font>
      <sz val="11"/>
      <name val="Arial"/>
      <family val="2"/>
      <charset val="186"/>
    </font>
    <font>
      <b/>
      <sz val="12"/>
      <color indexed="63"/>
      <name val="Times New Roman"/>
      <family val="2"/>
      <charset val="186"/>
    </font>
    <font>
      <sz val="10"/>
      <color indexed="10"/>
      <name val="BaltTimesRoman"/>
      <family val="2"/>
      <charset val="186"/>
    </font>
    <font>
      <sz val="10"/>
      <color indexed="8"/>
      <name val="Times New Roman"/>
      <family val="1"/>
      <charset val="186"/>
    </font>
    <font>
      <b/>
      <sz val="14"/>
      <name val="Times New Roman"/>
      <family val="1"/>
      <charset val="186"/>
    </font>
    <font>
      <b/>
      <sz val="10"/>
      <name val="BaltTimesRoman"/>
      <family val="2"/>
      <charset val="186"/>
    </font>
    <font>
      <b/>
      <sz val="18"/>
      <color indexed="56"/>
      <name val="Cambria"/>
      <family val="2"/>
      <charset val="186"/>
    </font>
    <font>
      <b/>
      <sz val="12"/>
      <color indexed="8"/>
      <name val="Times New Roman"/>
      <family val="2"/>
      <charset val="186"/>
    </font>
    <font>
      <sz val="10"/>
      <name val="BaltGaramond"/>
      <family val="2"/>
      <charset val="186"/>
    </font>
    <font>
      <sz val="12"/>
      <color indexed="10"/>
      <name val="Times New Roman"/>
      <family val="2"/>
      <charset val="186"/>
    </font>
    <font>
      <sz val="10"/>
      <name val="Arial"/>
      <family val="2"/>
      <charset val="186"/>
    </font>
    <font>
      <sz val="10"/>
      <color theme="1"/>
      <name val="Times New Roman"/>
      <family val="2"/>
      <charset val="186"/>
    </font>
    <font>
      <sz val="11"/>
      <color indexed="8"/>
      <name val="Calibri"/>
      <family val="2"/>
    </font>
    <font>
      <sz val="11"/>
      <color indexed="9"/>
      <name val="Calibri"/>
      <family val="2"/>
    </font>
    <font>
      <b/>
      <sz val="11"/>
      <color indexed="8"/>
      <name val="Calibri"/>
      <family val="2"/>
    </font>
    <font>
      <sz val="10"/>
      <color theme="1"/>
      <name val="Arial"/>
      <family val="2"/>
      <charset val="186"/>
    </font>
    <font>
      <sz val="10"/>
      <color indexed="12"/>
      <name val="Arial"/>
      <family val="2"/>
      <charset val="186"/>
    </font>
    <font>
      <sz val="10"/>
      <name val="BaltHelvetica"/>
    </font>
    <font>
      <b/>
      <sz val="10"/>
      <color indexed="8"/>
      <name val="Times New Roman"/>
      <family val="1"/>
      <charset val="186"/>
    </font>
    <font>
      <b/>
      <sz val="10"/>
      <color indexed="39"/>
      <name val="Arial"/>
      <family val="2"/>
    </font>
    <font>
      <b/>
      <sz val="10"/>
      <color indexed="8"/>
      <name val="Arial"/>
      <family val="2"/>
    </font>
    <font>
      <b/>
      <sz val="12"/>
      <color indexed="8"/>
      <name val="Arial"/>
      <family val="2"/>
      <charset val="186"/>
    </font>
    <font>
      <sz val="10"/>
      <color indexed="8"/>
      <name val="Arial"/>
      <family val="2"/>
    </font>
    <font>
      <sz val="10"/>
      <color indexed="39"/>
      <name val="Arial"/>
      <family val="2"/>
    </font>
    <font>
      <b/>
      <sz val="18"/>
      <color indexed="62"/>
      <name val="Cambria"/>
      <family val="2"/>
    </font>
    <font>
      <b/>
      <sz val="8"/>
      <color indexed="81"/>
      <name val="Tahoma"/>
      <family val="2"/>
      <charset val="186"/>
    </font>
    <font>
      <sz val="8"/>
      <color indexed="81"/>
      <name val="Tahoma"/>
      <family val="2"/>
      <charset val="186"/>
    </font>
    <font>
      <sz val="12"/>
      <color theme="1"/>
      <name val="Times New Roman"/>
      <family val="1"/>
      <charset val="186"/>
    </font>
    <font>
      <b/>
      <sz val="12"/>
      <color theme="1"/>
      <name val="Times New Roman"/>
      <family val="1"/>
      <charset val="186"/>
    </font>
    <font>
      <b/>
      <sz val="10"/>
      <color theme="1"/>
      <name val="Times New Roman"/>
      <family val="1"/>
      <charset val="186"/>
    </font>
    <font>
      <sz val="10"/>
      <color theme="1"/>
      <name val="Times New Roman"/>
      <family val="1"/>
      <charset val="186"/>
    </font>
    <font>
      <b/>
      <sz val="12"/>
      <color indexed="8"/>
      <name val="Times New Roman"/>
      <family val="1"/>
      <charset val="186"/>
    </font>
    <font>
      <b/>
      <sz val="12"/>
      <name val="Times New Roman"/>
      <family val="1"/>
      <charset val="186"/>
    </font>
    <font>
      <sz val="9"/>
      <color indexed="81"/>
      <name val="Tahoma"/>
      <family val="2"/>
      <charset val="186"/>
    </font>
    <font>
      <b/>
      <sz val="9"/>
      <color indexed="81"/>
      <name val="Tahoma"/>
      <family val="2"/>
      <charset val="186"/>
    </font>
    <font>
      <b/>
      <sz val="16"/>
      <name val="Times New Roman"/>
      <family val="1"/>
      <charset val="204"/>
    </font>
    <font>
      <b/>
      <vertAlign val="superscript"/>
      <sz val="16"/>
      <name val="Times New Roman"/>
      <family val="1"/>
      <charset val="204"/>
    </font>
    <font>
      <sz val="13"/>
      <name val="Calibri"/>
      <family val="2"/>
      <charset val="186"/>
      <scheme val="minor"/>
    </font>
    <font>
      <i/>
      <sz val="16"/>
      <name val="Times New Roman"/>
      <family val="1"/>
      <charset val="204"/>
    </font>
    <font>
      <sz val="13"/>
      <color theme="1"/>
      <name val="Calibri"/>
      <family val="2"/>
      <charset val="186"/>
      <scheme val="minor"/>
    </font>
    <font>
      <b/>
      <sz val="13"/>
      <name val="Times New Roman"/>
      <family val="1"/>
      <charset val="204"/>
    </font>
    <font>
      <b/>
      <vertAlign val="superscript"/>
      <sz val="13"/>
      <name val="Times New Roman"/>
      <family val="1"/>
      <charset val="204"/>
    </font>
    <font>
      <b/>
      <sz val="13"/>
      <color theme="1"/>
      <name val="Times New Roman"/>
      <family val="1"/>
      <charset val="204"/>
    </font>
    <font>
      <b/>
      <vertAlign val="superscript"/>
      <sz val="13"/>
      <name val="Times New Roman"/>
      <family val="1"/>
      <charset val="186"/>
    </font>
    <font>
      <b/>
      <sz val="13"/>
      <name val="Times New Roman"/>
      <family val="1"/>
      <charset val="186"/>
    </font>
    <font>
      <b/>
      <sz val="13"/>
      <color theme="1"/>
      <name val="Times New Roman"/>
      <family val="1"/>
      <charset val="186"/>
    </font>
    <font>
      <b/>
      <i/>
      <sz val="13"/>
      <name val="Times New Roman"/>
      <family val="1"/>
      <charset val="204"/>
    </font>
    <font>
      <b/>
      <i/>
      <vertAlign val="superscript"/>
      <sz val="13"/>
      <name val="Times New Roman"/>
      <family val="1"/>
      <charset val="186"/>
    </font>
    <font>
      <b/>
      <i/>
      <sz val="13"/>
      <color theme="1"/>
      <name val="Times New Roman"/>
      <family val="1"/>
      <charset val="204"/>
    </font>
    <font>
      <i/>
      <sz val="13"/>
      <name val="Times New Roman"/>
      <family val="1"/>
      <charset val="204"/>
    </font>
    <font>
      <b/>
      <i/>
      <sz val="13"/>
      <name val="Times New Roman"/>
      <family val="1"/>
      <charset val="186"/>
    </font>
    <font>
      <sz val="13"/>
      <name val="Times New Roman"/>
      <family val="1"/>
      <charset val="204"/>
    </font>
    <font>
      <sz val="13"/>
      <name val="Times New Roman"/>
      <family val="1"/>
      <charset val="186"/>
    </font>
    <font>
      <sz val="13"/>
      <color theme="1"/>
      <name val="Times New Roman"/>
      <family val="1"/>
      <charset val="204"/>
    </font>
    <font>
      <sz val="13"/>
      <color rgb="FFFF0000"/>
      <name val="Times New Roman"/>
      <family val="1"/>
      <charset val="204"/>
    </font>
    <font>
      <sz val="13"/>
      <color rgb="FF000000"/>
      <name val="Times New Roman"/>
      <family val="1"/>
      <charset val="186"/>
    </font>
    <font>
      <sz val="13"/>
      <color indexed="8"/>
      <name val="Times New Roman"/>
      <family val="1"/>
      <charset val="186"/>
    </font>
    <font>
      <sz val="13"/>
      <color theme="1"/>
      <name val="Times New Roman"/>
      <family val="1"/>
      <charset val="186"/>
    </font>
    <font>
      <b/>
      <i/>
      <vertAlign val="superscript"/>
      <sz val="13"/>
      <name val="Times New Roman"/>
      <family val="1"/>
      <charset val="204"/>
    </font>
    <font>
      <sz val="11"/>
      <color rgb="FFFF0000"/>
      <name val="Times New Roman"/>
      <family val="1"/>
      <charset val="186"/>
    </font>
    <font>
      <sz val="12"/>
      <color rgb="FFFF0000"/>
      <name val="Times New Roman"/>
      <family val="1"/>
      <charset val="186"/>
    </font>
    <font>
      <sz val="13"/>
      <color rgb="FFFF0000"/>
      <name val="Times New Roman"/>
      <family val="1"/>
      <charset val="186"/>
    </font>
    <font>
      <vertAlign val="superscript"/>
      <sz val="13"/>
      <name val="Times New Roman"/>
      <family val="1"/>
      <charset val="186"/>
    </font>
    <font>
      <sz val="13"/>
      <name val="Times New Roman"/>
      <family val="1"/>
    </font>
    <font>
      <b/>
      <sz val="13"/>
      <name val="Calibri"/>
      <family val="2"/>
      <charset val="186"/>
      <scheme val="minor"/>
    </font>
    <font>
      <i/>
      <sz val="13"/>
      <name val="Times New Roman"/>
      <family val="1"/>
      <charset val="186"/>
    </font>
    <font>
      <i/>
      <vertAlign val="superscript"/>
      <sz val="13"/>
      <name val="Times New Roman"/>
      <family val="1"/>
      <charset val="186"/>
    </font>
    <font>
      <i/>
      <sz val="13"/>
      <color theme="1"/>
      <name val="Times New Roman"/>
      <family val="1"/>
      <charset val="186"/>
    </font>
    <font>
      <b/>
      <i/>
      <u/>
      <vertAlign val="superscript"/>
      <sz val="13"/>
      <name val="Times New Roman"/>
      <family val="1"/>
      <charset val="186"/>
    </font>
    <font>
      <b/>
      <i/>
      <u/>
      <sz val="13"/>
      <name val="Times New Roman"/>
      <family val="1"/>
      <charset val="186"/>
    </font>
    <font>
      <sz val="11"/>
      <name val="Calibri"/>
      <family val="2"/>
      <charset val="186"/>
      <scheme val="minor"/>
    </font>
    <font>
      <b/>
      <sz val="14"/>
      <color indexed="81"/>
      <name val="Times New Roman"/>
      <family val="1"/>
      <charset val="186"/>
    </font>
    <font>
      <sz val="14"/>
      <color indexed="81"/>
      <name val="Times New Roman"/>
      <family val="1"/>
      <charset val="186"/>
    </font>
    <font>
      <b/>
      <sz val="12"/>
      <color indexed="81"/>
      <name val="Tahoma"/>
      <family val="2"/>
      <charset val="186"/>
    </font>
    <font>
      <sz val="12"/>
      <color indexed="81"/>
      <name val="Tahoma"/>
      <family val="2"/>
      <charset val="186"/>
    </font>
    <font>
      <b/>
      <sz val="10"/>
      <color indexed="81"/>
      <name val="Tahoma"/>
      <family val="2"/>
      <charset val="186"/>
    </font>
    <font>
      <sz val="10"/>
      <color indexed="81"/>
      <name val="Tahoma"/>
      <family val="2"/>
      <charset val="186"/>
    </font>
    <font>
      <b/>
      <sz val="10"/>
      <name val="Times New Roman"/>
      <family val="2"/>
      <charset val="186"/>
    </font>
    <font>
      <b/>
      <sz val="10"/>
      <name val="Times New Roman"/>
      <family val="1"/>
      <charset val="204"/>
    </font>
    <font>
      <sz val="10"/>
      <color rgb="FFFF0000"/>
      <name val="Times New Roman"/>
      <family val="2"/>
      <charset val="186"/>
    </font>
    <font>
      <b/>
      <sz val="10"/>
      <name val="Times New Roman"/>
      <family val="1"/>
    </font>
    <font>
      <b/>
      <u/>
      <sz val="10"/>
      <name val="Times New Roman"/>
      <family val="1"/>
    </font>
    <font>
      <b/>
      <u/>
      <sz val="10"/>
      <name val="Times New Roman"/>
      <family val="1"/>
      <charset val="204"/>
    </font>
    <font>
      <sz val="10"/>
      <name val="Times New Roman"/>
      <family val="2"/>
      <charset val="186"/>
    </font>
    <font>
      <b/>
      <sz val="10"/>
      <color theme="3" tint="0.39997558519241921"/>
      <name val="Times New Roman"/>
      <family val="2"/>
      <charset val="186"/>
    </font>
    <font>
      <sz val="10"/>
      <name val="Times New Roman"/>
      <family val="1"/>
    </font>
    <font>
      <sz val="10"/>
      <name val="Cambria"/>
      <family val="1"/>
      <charset val="186"/>
    </font>
    <font>
      <i/>
      <sz val="10"/>
      <name val="Times New Roman"/>
      <family val="2"/>
      <charset val="186"/>
    </font>
    <font>
      <i/>
      <sz val="9"/>
      <color indexed="8"/>
      <name val="Times New Roman"/>
      <family val="1"/>
      <charset val="186"/>
    </font>
    <font>
      <sz val="10"/>
      <color indexed="8"/>
      <name val="Times New Roman"/>
      <family val="2"/>
      <charset val="186"/>
    </font>
    <font>
      <b/>
      <i/>
      <sz val="10"/>
      <name val="Times New Roman"/>
      <family val="2"/>
      <charset val="186"/>
    </font>
    <font>
      <vertAlign val="superscript"/>
      <sz val="10"/>
      <name val="Times New Roman"/>
      <family val="2"/>
      <charset val="186"/>
    </font>
    <font>
      <sz val="12"/>
      <color indexed="8"/>
      <name val="Times New Roman"/>
      <family val="1"/>
      <charset val="186"/>
    </font>
    <font>
      <b/>
      <i/>
      <sz val="12"/>
      <color indexed="8"/>
      <name val="Times New Roman"/>
      <family val="1"/>
      <charset val="186"/>
    </font>
    <font>
      <b/>
      <sz val="8"/>
      <name val="Arial"/>
      <family val="2"/>
    </font>
    <font>
      <sz val="8"/>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Verdana"/>
      <family val="2"/>
      <charset val="186"/>
    </font>
    <font>
      <b/>
      <sz val="11"/>
      <color indexed="63"/>
      <name val="Calibri"/>
      <family val="2"/>
    </font>
    <font>
      <b/>
      <sz val="18"/>
      <color indexed="56"/>
      <name val="Cambria"/>
      <family val="2"/>
    </font>
    <font>
      <sz val="11"/>
      <color indexed="10"/>
      <name val="Calibri"/>
      <family val="2"/>
    </font>
    <font>
      <b/>
      <sz val="11"/>
      <color indexed="8"/>
      <name val="Times New Roman"/>
      <family val="1"/>
      <charset val="186"/>
    </font>
    <font>
      <sz val="11"/>
      <color theme="1"/>
      <name val="Times New Roman"/>
      <family val="2"/>
      <charset val="186"/>
    </font>
    <font>
      <sz val="12"/>
      <name val="Times New Roman"/>
      <family val="2"/>
      <charset val="186"/>
    </font>
    <font>
      <b/>
      <i/>
      <sz val="12"/>
      <name val="Times New Roman"/>
      <family val="2"/>
      <charset val="186"/>
    </font>
    <font>
      <i/>
      <sz val="12"/>
      <name val="Times New Roman"/>
      <family val="1"/>
      <charset val="186"/>
    </font>
    <font>
      <sz val="18"/>
      <name val="Times New Roman"/>
      <family val="1"/>
      <charset val="186"/>
    </font>
    <font>
      <sz val="18"/>
      <color rgb="FF000000"/>
      <name val="Times New Roman"/>
      <family val="1"/>
      <charset val="186"/>
    </font>
    <font>
      <u/>
      <sz val="12"/>
      <color theme="10"/>
      <name val="Times New Roman"/>
      <family val="2"/>
      <charset val="186"/>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1"/>
        <bgColor indexed="64"/>
      </patternFill>
    </fill>
    <fill>
      <patternFill patternType="solid">
        <fgColor indexed="26"/>
        <bgColor indexed="64"/>
      </patternFill>
    </fill>
    <fill>
      <patternFill patternType="solid">
        <fgColor indexed="42"/>
        <bgColor indexed="64"/>
      </patternFill>
    </fill>
    <fill>
      <patternFill patternType="solid">
        <fgColor indexed="43"/>
      </patternFill>
    </fill>
    <fill>
      <patternFill patternType="solid">
        <fgColor indexed="26"/>
      </patternFill>
    </fill>
    <fill>
      <patternFill patternType="solid">
        <fgColor indexed="11"/>
        <bgColor indexed="64"/>
      </patternFill>
    </fill>
    <fill>
      <patternFill patternType="solid">
        <fgColor indexed="22"/>
        <bgColor indexed="64"/>
      </patternFill>
    </fill>
    <fill>
      <patternFill patternType="solid">
        <fgColor indexed="10"/>
        <bgColor indexed="64"/>
      </patternFill>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indexed="54"/>
      </patternFill>
    </fill>
    <fill>
      <patternFill patternType="solid">
        <fgColor indexed="20"/>
      </patternFill>
    </fill>
    <fill>
      <patternFill patternType="solid">
        <fgColor rgb="FFFFC000"/>
        <bgColor indexed="64"/>
      </patternFill>
    </fill>
    <fill>
      <patternFill patternType="solid">
        <fgColor theme="2" tint="-0.249977111117893"/>
        <bgColor indexed="64"/>
      </patternFill>
    </fill>
    <fill>
      <patternFill patternType="solid">
        <fgColor theme="2" tint="-9.9978637043366805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ck">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C0C0C0"/>
      </left>
      <right/>
      <top/>
      <bottom style="thin">
        <color rgb="FFC0C0C0"/>
      </bottom>
      <diagonal/>
    </border>
    <border>
      <left style="thin">
        <color indexed="54"/>
      </left>
      <right/>
      <top style="thin">
        <color indexed="5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s>
  <cellStyleXfs count="483">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41" fontId="7" fillId="0" borderId="0" applyFont="0" applyFill="0" applyBorder="0" applyAlignment="0" applyProtection="0"/>
    <xf numFmtId="0" fontId="2" fillId="0" borderId="0"/>
    <xf numFmtId="0" fontId="2" fillId="0" borderId="0"/>
    <xf numFmtId="0" fontId="2" fillId="0" borderId="0"/>
    <xf numFmtId="0" fontId="2" fillId="0" borderId="0"/>
    <xf numFmtId="0" fontId="8" fillId="0" borderId="0"/>
    <xf numFmtId="0" fontId="9" fillId="0" borderId="0"/>
    <xf numFmtId="0" fontId="10" fillId="0" borderId="0"/>
    <xf numFmtId="0" fontId="7" fillId="0" borderId="0"/>
    <xf numFmtId="0" fontId="9"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3" applyNumberFormat="0" applyAlignment="0" applyProtection="0"/>
    <xf numFmtId="0" fontId="13" fillId="20" borderId="3" applyNumberFormat="0" applyAlignment="0" applyProtection="0"/>
    <xf numFmtId="0" fontId="13" fillId="20" borderId="3" applyNumberFormat="0" applyAlignment="0" applyProtection="0"/>
    <xf numFmtId="1" fontId="14" fillId="0" borderId="0"/>
    <xf numFmtId="0" fontId="15" fillId="21" borderId="4" applyNumberFormat="0" applyAlignment="0" applyProtection="0"/>
    <xf numFmtId="43" fontId="16" fillId="0" borderId="0" applyFont="0" applyFill="0" applyBorder="0" applyAlignment="0" applyProtection="0"/>
    <xf numFmtId="43" fontId="8" fillId="0" borderId="0" applyBorder="0" applyAlignment="0" applyProtection="0"/>
    <xf numFmtId="164" fontId="8" fillId="0" borderId="0" applyFont="0" applyFill="0" applyBorder="0" applyAlignment="0" applyProtection="0"/>
    <xf numFmtId="165" fontId="8" fillId="22" borderId="0" applyNumberFormat="0" applyFont="0" applyBorder="0" applyAlignment="0" applyProtection="0"/>
    <xf numFmtId="0" fontId="17" fillId="22" borderId="0"/>
    <xf numFmtId="165" fontId="18" fillId="0" borderId="0" applyBorder="0" applyAlignment="0" applyProtection="0"/>
    <xf numFmtId="0" fontId="19" fillId="0" borderId="0" applyNumberFormat="0" applyFill="0" applyBorder="0" applyAlignment="0" applyProtection="0"/>
    <xf numFmtId="165" fontId="4" fillId="23" borderId="0" applyNumberFormat="0" applyFont="0" applyBorder="0" applyAlignment="0" applyProtection="0"/>
    <xf numFmtId="0" fontId="20" fillId="4" borderId="0" applyNumberFormat="0" applyBorder="0" applyAlignment="0" applyProtection="0"/>
    <xf numFmtId="49" fontId="21" fillId="0" borderId="0" applyFill="0" applyBorder="0" applyAlignment="0" applyProtection="0">
      <alignment horizontal="left"/>
    </xf>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65" fontId="4" fillId="24" borderId="0" applyNumberFormat="0" applyFont="0" applyBorder="0" applyAlignment="0" applyProtection="0"/>
    <xf numFmtId="49" fontId="25" fillId="0" borderId="0" applyFill="0" applyBorder="0" applyAlignment="0" applyProtection="0"/>
    <xf numFmtId="0" fontId="26" fillId="0" borderId="0" applyFill="0" applyBorder="0" applyAlignment="0" applyProtection="0"/>
    <xf numFmtId="166" fontId="26" fillId="0" borderId="0" applyFill="0" applyBorder="0" applyAlignment="0" applyProtection="0"/>
    <xf numFmtId="167" fontId="27" fillId="0" borderId="0" applyFill="0" applyBorder="0" applyAlignment="0" applyProtection="0"/>
    <xf numFmtId="168" fontId="28" fillId="0" borderId="0" applyFill="0" applyBorder="0" applyAlignment="0" applyProtection="0"/>
    <xf numFmtId="169" fontId="28" fillId="0" borderId="0" applyFill="0" applyBorder="0" applyAlignment="0" applyProtection="0"/>
    <xf numFmtId="10" fontId="29" fillId="0" borderId="0"/>
    <xf numFmtId="0" fontId="30" fillId="7" borderId="3" applyNumberFormat="0" applyAlignment="0" applyProtection="0"/>
    <xf numFmtId="0" fontId="30" fillId="7" borderId="3" applyNumberFormat="0" applyAlignment="0" applyProtection="0"/>
    <xf numFmtId="0" fontId="30" fillId="7" borderId="3" applyNumberFormat="0" applyAlignment="0" applyProtection="0"/>
    <xf numFmtId="170" fontId="18" fillId="23" borderId="0"/>
    <xf numFmtId="0" fontId="31" fillId="0" borderId="8" applyNumberFormat="0" applyFill="0" applyAlignment="0" applyProtection="0"/>
    <xf numFmtId="0" fontId="32" fillId="25" borderId="0" applyNumberFormat="0" applyBorder="0" applyAlignment="0" applyProtection="0"/>
    <xf numFmtId="0" fontId="6" fillId="0" borderId="0"/>
    <xf numFmtId="0" fontId="33" fillId="0" borderId="0"/>
    <xf numFmtId="0" fontId="8" fillId="0" borderId="0"/>
    <xf numFmtId="0" fontId="33" fillId="0" borderId="0"/>
    <xf numFmtId="0" fontId="1" fillId="0" borderId="0"/>
    <xf numFmtId="0" fontId="34" fillId="0" borderId="0"/>
    <xf numFmtId="0" fontId="6"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35" fillId="0" borderId="0"/>
    <xf numFmtId="0" fontId="6" fillId="0" borderId="0"/>
    <xf numFmtId="0" fontId="6" fillId="0" borderId="0"/>
    <xf numFmtId="0" fontId="8" fillId="0" borderId="0"/>
    <xf numFmtId="0" fontId="7" fillId="26" borderId="9" applyNumberFormat="0" applyFont="0" applyAlignment="0" applyProtection="0"/>
    <xf numFmtId="0" fontId="7" fillId="26" borderId="9" applyNumberFormat="0" applyFont="0" applyAlignment="0" applyProtection="0"/>
    <xf numFmtId="0" fontId="7" fillId="26" borderId="9" applyNumberFormat="0" applyFont="0" applyAlignment="0" applyProtection="0"/>
    <xf numFmtId="0" fontId="36" fillId="20" borderId="10" applyNumberFormat="0" applyAlignment="0" applyProtection="0"/>
    <xf numFmtId="0" fontId="36" fillId="20" borderId="10" applyNumberFormat="0" applyAlignment="0" applyProtection="0"/>
    <xf numFmtId="0" fontId="36" fillId="20" borderId="10"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18" fillId="27" borderId="0" applyBorder="0" applyProtection="0"/>
    <xf numFmtId="0" fontId="3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 fontId="38" fillId="0" borderId="1" applyNumberFormat="0" applyProtection="0">
      <alignment horizontal="right" vertical="center"/>
    </xf>
    <xf numFmtId="4" fontId="38" fillId="0" borderId="1" applyNumberFormat="0" applyProtection="0">
      <alignment horizontal="right" vertical="center"/>
    </xf>
    <xf numFmtId="0" fontId="33" fillId="0" borderId="0"/>
    <xf numFmtId="4" fontId="38" fillId="0" borderId="1" applyNumberFormat="0" applyProtection="0">
      <alignment horizontal="left" wrapText="1" indent="1"/>
    </xf>
    <xf numFmtId="4" fontId="38" fillId="0" borderId="1" applyNumberFormat="0" applyProtection="0">
      <alignment horizontal="left" wrapText="1" indent="1"/>
    </xf>
    <xf numFmtId="0" fontId="33" fillId="0" borderId="0"/>
    <xf numFmtId="0" fontId="33" fillId="0" borderId="0"/>
    <xf numFmtId="0" fontId="33" fillId="0" borderId="0"/>
    <xf numFmtId="0" fontId="39" fillId="0" borderId="0" applyNumberFormat="0" applyFill="0" applyBorder="0" applyProtection="0">
      <alignment horizontal="centerContinuous"/>
    </xf>
    <xf numFmtId="0" fontId="9" fillId="0" borderId="0"/>
    <xf numFmtId="0" fontId="3" fillId="0" borderId="0" applyNumberFormat="0" applyFill="0" applyBorder="0" applyAlignment="0" applyProtection="0"/>
    <xf numFmtId="43" fontId="8" fillId="0" borderId="0" applyBorder="0" applyAlignment="0" applyProtection="0"/>
    <xf numFmtId="0" fontId="40" fillId="0" borderId="0"/>
    <xf numFmtId="0" fontId="41" fillId="0" borderId="0" applyNumberFormat="0" applyFill="0" applyBorder="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165" fontId="43" fillId="28" borderId="0" applyBorder="0" applyProtection="0"/>
    <xf numFmtId="0" fontId="44" fillId="0" borderId="0" applyNumberFormat="0" applyFill="0" applyBorder="0" applyAlignment="0" applyProtection="0"/>
    <xf numFmtId="1" fontId="8" fillId="29" borderId="0"/>
    <xf numFmtId="0" fontId="45" fillId="0" borderId="0"/>
    <xf numFmtId="0" fontId="8" fillId="0" borderId="0"/>
    <xf numFmtId="0" fontId="2" fillId="0" borderId="0"/>
    <xf numFmtId="4" fontId="46" fillId="32" borderId="1"/>
    <xf numFmtId="9" fontId="2" fillId="0" borderId="0" applyFont="0" applyFill="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8" fillId="35"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48" fillId="38"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0" fontId="48" fillId="41"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8" fillId="41"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8" fillId="34" borderId="0" applyNumberFormat="0" applyBorder="0" applyAlignment="0" applyProtection="0"/>
    <xf numFmtId="0" fontId="47" fillId="42" borderId="0" applyNumberFormat="0" applyBorder="0" applyAlignment="0" applyProtection="0"/>
    <xf numFmtId="0" fontId="47" fillId="37" borderId="0" applyNumberFormat="0" applyBorder="0" applyAlignment="0" applyProtection="0"/>
    <xf numFmtId="0" fontId="48" fillId="43" borderId="0" applyNumberFormat="0" applyBorder="0" applyAlignment="0" applyProtection="0"/>
    <xf numFmtId="0" fontId="49" fillId="44"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8" fillId="0" borderId="0"/>
    <xf numFmtId="0" fontId="2" fillId="0" borderId="0"/>
    <xf numFmtId="0" fontId="8" fillId="0" borderId="0"/>
    <xf numFmtId="0" fontId="8" fillId="0" borderId="0"/>
    <xf numFmtId="0" fontId="8" fillId="0" borderId="0"/>
    <xf numFmtId="0" fontId="51" fillId="0" borderId="0"/>
    <xf numFmtId="0" fontId="2" fillId="0" borderId="0"/>
    <xf numFmtId="0" fontId="16" fillId="0" borderId="0"/>
    <xf numFmtId="0" fontId="8" fillId="0" borderId="0"/>
    <xf numFmtId="0" fontId="8" fillId="0" borderId="0"/>
    <xf numFmtId="0" fontId="8" fillId="0" borderId="0"/>
    <xf numFmtId="0" fontId="50" fillId="0" borderId="0"/>
    <xf numFmtId="0" fontId="8" fillId="0" borderId="0"/>
    <xf numFmtId="0" fontId="8" fillId="0" borderId="0"/>
    <xf numFmtId="0" fontId="8" fillId="0" borderId="0"/>
    <xf numFmtId="0" fontId="2" fillId="0" borderId="0"/>
    <xf numFmtId="0" fontId="8" fillId="0" borderId="0"/>
    <xf numFmtId="0" fontId="8" fillId="0" borderId="0"/>
    <xf numFmtId="0" fontId="52" fillId="0" borderId="0"/>
    <xf numFmtId="4" fontId="53" fillId="0" borderId="0" applyNumberFormat="0" applyProtection="0"/>
    <xf numFmtId="4" fontId="54" fillId="47" borderId="15" applyNumberFormat="0" applyProtection="0">
      <alignment vertical="center"/>
    </xf>
    <xf numFmtId="4" fontId="53" fillId="0" borderId="0" applyNumberFormat="0" applyProtection="0">
      <alignment horizontal="left" wrapText="1" indent="1" shrinkToFit="1"/>
    </xf>
    <xf numFmtId="0" fontId="55" fillId="47" borderId="15" applyNumberFormat="0" applyProtection="0">
      <alignment horizontal="left" vertical="top" indent="1"/>
    </xf>
    <xf numFmtId="4" fontId="38" fillId="0" borderId="1" applyNumberFormat="0" applyProtection="0">
      <alignment horizontal="left" vertical="center" indent="1"/>
    </xf>
    <xf numFmtId="4" fontId="56" fillId="48" borderId="0" applyNumberFormat="0" applyProtection="0">
      <alignment horizontal="left" vertical="center" indent="1"/>
    </xf>
    <xf numFmtId="4" fontId="16" fillId="49" borderId="0" applyNumberFormat="0" applyProtection="0">
      <alignment horizontal="left" vertical="center" indent="1"/>
    </xf>
    <xf numFmtId="0" fontId="4" fillId="0" borderId="0" applyNumberFormat="0" applyProtection="0">
      <alignment horizontal="left" wrapText="1" indent="1" shrinkToFit="1"/>
    </xf>
    <xf numFmtId="0" fontId="8" fillId="48" borderId="15" applyNumberFormat="0" applyProtection="0">
      <alignment horizontal="left" vertical="top" indent="1"/>
    </xf>
    <xf numFmtId="0" fontId="4" fillId="0" borderId="0" applyNumberFormat="0" applyProtection="0">
      <alignment horizontal="left" wrapText="1" indent="1" shrinkToFit="1"/>
    </xf>
    <xf numFmtId="0" fontId="8" fillId="49" borderId="15" applyNumberFormat="0" applyProtection="0">
      <alignment horizontal="left" vertical="top" indent="1"/>
    </xf>
    <xf numFmtId="0" fontId="4" fillId="0" borderId="0" applyNumberFormat="0" applyProtection="0">
      <alignment horizontal="left" wrapText="1" indent="1" shrinkToFit="1"/>
    </xf>
    <xf numFmtId="0" fontId="8" fillId="50" borderId="15" applyNumberFormat="0" applyProtection="0">
      <alignment horizontal="left" vertical="top" indent="1"/>
    </xf>
    <xf numFmtId="0" fontId="4" fillId="0" borderId="0" applyNumberFormat="0" applyProtection="0">
      <alignment horizontal="left" wrapText="1" indent="1" shrinkToFit="1"/>
    </xf>
    <xf numFmtId="0" fontId="8" fillId="22" borderId="15" applyNumberFormat="0" applyProtection="0">
      <alignment horizontal="left" vertical="top" indent="1"/>
    </xf>
    <xf numFmtId="0" fontId="8" fillId="30" borderId="1" applyNumberFormat="0">
      <protection locked="0"/>
    </xf>
    <xf numFmtId="4" fontId="57" fillId="23" borderId="15" applyNumberFormat="0" applyProtection="0">
      <alignment vertical="center"/>
    </xf>
    <xf numFmtId="4" fontId="58" fillId="23" borderId="15" applyNumberFormat="0" applyProtection="0">
      <alignment vertical="center"/>
    </xf>
    <xf numFmtId="4" fontId="57" fillId="0" borderId="1" applyNumberFormat="0" applyProtection="0">
      <alignment horizontal="left" vertical="center" indent="1"/>
    </xf>
    <xf numFmtId="0" fontId="57" fillId="23" borderId="15" applyNumberFormat="0" applyProtection="0">
      <alignment horizontal="left" vertical="top" indent="1"/>
    </xf>
    <xf numFmtId="4" fontId="38" fillId="0" borderId="0" applyNumberFormat="0" applyProtection="0">
      <alignment horizontal="right"/>
    </xf>
    <xf numFmtId="4" fontId="38" fillId="0" borderId="0" applyNumberFormat="0" applyProtection="0">
      <alignment horizontal="left" wrapText="1" indent="1"/>
    </xf>
    <xf numFmtId="4" fontId="38" fillId="0" borderId="0" applyNumberFormat="0" applyProtection="0">
      <alignment horizontal="left" wrapText="1" indent="1" shrinkToFit="1"/>
    </xf>
    <xf numFmtId="0" fontId="57" fillId="49" borderId="15" applyNumberFormat="0" applyProtection="0">
      <alignment horizontal="left" vertical="top" indent="1"/>
    </xf>
    <xf numFmtId="0" fontId="5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6" fillId="0" borderId="0"/>
    <xf numFmtId="0" fontId="2" fillId="0" borderId="0"/>
    <xf numFmtId="0" fontId="6"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 fillId="0" borderId="0"/>
    <xf numFmtId="43"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29" fillId="56" borderId="28" applyBorder="0"/>
    <xf numFmtId="0" fontId="130" fillId="57" borderId="1"/>
    <xf numFmtId="4" fontId="46" fillId="24" borderId="1"/>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47" fillId="2"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5"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8"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5" borderId="0" applyNumberFormat="0" applyBorder="0" applyAlignment="0" applyProtection="0"/>
    <xf numFmtId="0" fontId="47" fillId="8" borderId="0" applyNumberFormat="0" applyBorder="0" applyAlignment="0" applyProtection="0"/>
    <xf numFmtId="0" fontId="47" fillId="11" borderId="0" applyNumberFormat="0" applyBorder="0" applyAlignment="0" applyProtection="0"/>
    <xf numFmtId="0" fontId="48" fillId="12"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6" borderId="0" applyNumberFormat="0" applyBorder="0" applyAlignment="0" applyProtection="0"/>
    <xf numFmtId="0" fontId="48" fillId="16" borderId="0" applyNumberFormat="0" applyBorder="0" applyAlignment="0" applyProtection="0"/>
    <xf numFmtId="0" fontId="48" fillId="16"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131" fillId="3" borderId="0" applyNumberFormat="0" applyBorder="0" applyAlignment="0" applyProtection="0"/>
    <xf numFmtId="0" fontId="132" fillId="20" borderId="3" applyNumberFormat="0" applyAlignment="0" applyProtection="0"/>
    <xf numFmtId="0" fontId="133" fillId="21" borderId="4" applyNumberFormat="0" applyAlignment="0" applyProtection="0"/>
    <xf numFmtId="0" fontId="134" fillId="0" borderId="0" applyNumberFormat="0" applyFill="0" applyBorder="0" applyAlignment="0" applyProtection="0"/>
    <xf numFmtId="0" fontId="135" fillId="4" borderId="0" applyNumberFormat="0" applyBorder="0" applyAlignment="0" applyProtection="0"/>
    <xf numFmtId="0" fontId="136" fillId="0" borderId="5" applyNumberFormat="0" applyFill="0" applyAlignment="0" applyProtection="0"/>
    <xf numFmtId="0" fontId="137" fillId="0" borderId="6" applyNumberFormat="0" applyFill="0" applyAlignment="0" applyProtection="0"/>
    <xf numFmtId="0" fontId="138" fillId="0" borderId="7" applyNumberFormat="0" applyFill="0" applyAlignment="0" applyProtection="0"/>
    <xf numFmtId="0" fontId="138" fillId="0" borderId="0" applyNumberFormat="0" applyFill="0" applyBorder="0" applyAlignment="0" applyProtection="0"/>
    <xf numFmtId="0" fontId="139" fillId="7" borderId="3" applyNumberFormat="0" applyAlignment="0" applyProtection="0"/>
    <xf numFmtId="0" fontId="140" fillId="0" borderId="8" applyNumberFormat="0" applyFill="0" applyAlignment="0" applyProtection="0"/>
    <xf numFmtId="0" fontId="141" fillId="2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2" fillId="26" borderId="9" applyNumberFormat="0" applyFont="0" applyAlignment="0" applyProtection="0"/>
    <xf numFmtId="0" fontId="143" fillId="20" borderId="10" applyNumberFormat="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44" fillId="0" borderId="0" applyNumberFormat="0" applyFill="0" applyBorder="0" applyAlignment="0" applyProtection="0"/>
    <xf numFmtId="0" fontId="49" fillId="0" borderId="11" applyNumberFormat="0" applyFill="0" applyAlignment="0" applyProtection="0"/>
    <xf numFmtId="0" fontId="145" fillId="0" borderId="0" applyNumberFormat="0" applyFill="0" applyBorder="0" applyAlignment="0" applyProtection="0"/>
    <xf numFmtId="43"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53" fillId="0" borderId="0" applyNumberFormat="0" applyFill="0" applyBorder="0" applyAlignment="0" applyProtection="0"/>
  </cellStyleXfs>
  <cellXfs count="511">
    <xf numFmtId="0" fontId="0" fillId="0" borderId="0" xfId="0"/>
    <xf numFmtId="0" fontId="70" fillId="0" borderId="0" xfId="2" applyFont="1" applyAlignment="1" applyProtection="1">
      <alignment horizontal="center"/>
      <protection locked="0"/>
    </xf>
    <xf numFmtId="0" fontId="72" fillId="0" borderId="0" xfId="0" applyFont="1"/>
    <xf numFmtId="0" fontId="73" fillId="0" borderId="0" xfId="2" applyFont="1" applyBorder="1" applyAlignment="1" applyProtection="1">
      <alignment horizontal="center"/>
      <protection locked="0"/>
    </xf>
    <xf numFmtId="4" fontId="72" fillId="0" borderId="0" xfId="0" applyNumberFormat="1" applyFont="1"/>
    <xf numFmtId="10" fontId="72" fillId="0" borderId="0" xfId="0" applyNumberFormat="1" applyFont="1"/>
    <xf numFmtId="0" fontId="72" fillId="0" borderId="0" xfId="0" applyFont="1" applyAlignment="1">
      <alignment wrapText="1"/>
    </xf>
    <xf numFmtId="3" fontId="72" fillId="0" borderId="0" xfId="0" applyNumberFormat="1" applyFont="1"/>
    <xf numFmtId="3" fontId="72" fillId="0" borderId="0" xfId="0" applyNumberFormat="1" applyFont="1" applyProtection="1"/>
    <xf numFmtId="3" fontId="74" fillId="0" borderId="0" xfId="0" applyNumberFormat="1" applyFont="1"/>
    <xf numFmtId="3" fontId="72" fillId="0" borderId="0" xfId="0" applyNumberFormat="1" applyFont="1" applyFill="1"/>
    <xf numFmtId="0" fontId="72" fillId="0" borderId="0" xfId="0" applyFont="1" applyFill="1"/>
    <xf numFmtId="0" fontId="75" fillId="51" borderId="21" xfId="2" applyFont="1" applyFill="1" applyBorder="1" applyAlignment="1" applyProtection="1">
      <alignment horizontal="left" vertical="center" wrapText="1"/>
    </xf>
    <xf numFmtId="0" fontId="75" fillId="51" borderId="22" xfId="2" applyFont="1" applyFill="1" applyBorder="1" applyAlignment="1" applyProtection="1">
      <alignment horizontal="left" vertical="center" wrapText="1"/>
    </xf>
    <xf numFmtId="0" fontId="75" fillId="51" borderId="22" xfId="2" applyFont="1" applyFill="1" applyBorder="1" applyAlignment="1" applyProtection="1">
      <alignment horizontal="center" vertical="center" wrapText="1"/>
    </xf>
    <xf numFmtId="3" fontId="75" fillId="51" borderId="22" xfId="2" applyNumberFormat="1" applyFont="1" applyFill="1" applyBorder="1" applyAlignment="1" applyProtection="1">
      <alignment horizontal="center" vertical="center" wrapText="1"/>
    </xf>
    <xf numFmtId="3" fontId="77" fillId="51" borderId="22" xfId="2" applyNumberFormat="1" applyFont="1" applyFill="1" applyBorder="1" applyAlignment="1" applyProtection="1">
      <alignment horizontal="center" vertical="center" wrapText="1"/>
    </xf>
    <xf numFmtId="0" fontId="75" fillId="51" borderId="23" xfId="2" applyFont="1" applyFill="1" applyBorder="1" applyAlignment="1" applyProtection="1">
      <alignment horizontal="center" vertical="center" wrapText="1"/>
    </xf>
    <xf numFmtId="0" fontId="72" fillId="0" borderId="0" xfId="0" applyFont="1" applyProtection="1"/>
    <xf numFmtId="0" fontId="75" fillId="51" borderId="24" xfId="2" applyFont="1" applyFill="1" applyBorder="1" applyAlignment="1" applyProtection="1">
      <alignment horizontal="center" vertical="center" wrapText="1"/>
    </xf>
    <xf numFmtId="0" fontId="75" fillId="51" borderId="1" xfId="2" applyFont="1" applyFill="1" applyBorder="1" applyAlignment="1" applyProtection="1">
      <alignment horizontal="center" vertical="center" wrapText="1"/>
    </xf>
    <xf numFmtId="0" fontId="77" fillId="51" borderId="1" xfId="2" applyFont="1" applyFill="1" applyBorder="1" applyAlignment="1" applyProtection="1">
      <alignment horizontal="center" vertical="center" wrapText="1"/>
    </xf>
    <xf numFmtId="16" fontId="75" fillId="51" borderId="1" xfId="2" applyNumberFormat="1" applyFont="1" applyFill="1" applyBorder="1" applyAlignment="1" applyProtection="1">
      <alignment horizontal="center" vertical="center" wrapText="1"/>
    </xf>
    <xf numFmtId="3" fontId="75" fillId="51" borderId="1" xfId="2" applyNumberFormat="1" applyFont="1" applyFill="1" applyBorder="1" applyAlignment="1" applyProtection="1">
      <alignment horizontal="center" vertical="center" wrapText="1"/>
    </xf>
    <xf numFmtId="0" fontId="72" fillId="0" borderId="1" xfId="0" applyFont="1" applyBorder="1" applyProtection="1"/>
    <xf numFmtId="0" fontId="79" fillId="0" borderId="1" xfId="0" applyFont="1" applyBorder="1" applyAlignment="1" applyProtection="1">
      <alignment horizontal="left" vertical="center" wrapText="1"/>
    </xf>
    <xf numFmtId="0" fontId="79" fillId="0" borderId="1" xfId="0" applyFont="1" applyBorder="1" applyProtection="1"/>
    <xf numFmtId="3" fontId="79" fillId="0" borderId="1" xfId="0" applyNumberFormat="1" applyFont="1" applyBorder="1" applyAlignment="1" applyProtection="1">
      <alignment horizontal="center" vertical="center"/>
      <protection locked="0"/>
    </xf>
    <xf numFmtId="3" fontId="80" fillId="0" borderId="1" xfId="0" applyNumberFormat="1" applyFont="1" applyBorder="1" applyAlignment="1" applyProtection="1">
      <alignment horizontal="center" vertical="center"/>
    </xf>
    <xf numFmtId="3" fontId="79" fillId="0" borderId="1" xfId="0" applyNumberFormat="1" applyFont="1" applyFill="1" applyBorder="1" applyAlignment="1" applyProtection="1">
      <alignment horizontal="center" vertical="center"/>
    </xf>
    <xf numFmtId="172" fontId="79" fillId="0" borderId="1" xfId="0" applyNumberFormat="1" applyFont="1" applyBorder="1" applyAlignment="1" applyProtection="1">
      <alignment horizontal="center" vertical="center"/>
    </xf>
    <xf numFmtId="3" fontId="79" fillId="0" borderId="1" xfId="0" applyNumberFormat="1" applyFont="1" applyBorder="1" applyAlignment="1" applyProtection="1">
      <alignment horizontal="center" vertical="center"/>
    </xf>
    <xf numFmtId="3" fontId="79" fillId="0" borderId="1" xfId="2" applyNumberFormat="1" applyFont="1" applyFill="1" applyBorder="1" applyAlignment="1" applyProtection="1">
      <alignment horizontal="center" vertical="center" wrapText="1"/>
    </xf>
    <xf numFmtId="0" fontId="75" fillId="51" borderId="1" xfId="2" applyFont="1" applyFill="1" applyBorder="1" applyAlignment="1" applyProtection="1">
      <alignment horizontal="left" vertical="center" wrapText="1"/>
    </xf>
    <xf numFmtId="3" fontId="75" fillId="51" borderId="1" xfId="2" applyNumberFormat="1" applyFont="1" applyFill="1" applyBorder="1" applyAlignment="1" applyProtection="1">
      <alignment horizontal="center" vertical="center" wrapText="1"/>
      <protection locked="0"/>
    </xf>
    <xf numFmtId="3" fontId="77" fillId="51" borderId="1" xfId="2" applyNumberFormat="1" applyFont="1" applyFill="1" applyBorder="1" applyAlignment="1" applyProtection="1">
      <alignment horizontal="center" vertical="center" wrapText="1"/>
      <protection locked="0"/>
    </xf>
    <xf numFmtId="172" fontId="75" fillId="51" borderId="1" xfId="2" applyNumberFormat="1" applyFont="1" applyFill="1" applyBorder="1" applyAlignment="1" applyProtection="1">
      <alignment horizontal="center" vertical="center" wrapText="1"/>
    </xf>
    <xf numFmtId="0" fontId="72" fillId="31" borderId="1" xfId="0" applyFont="1" applyFill="1" applyBorder="1" applyProtection="1"/>
    <xf numFmtId="0" fontId="79" fillId="31" borderId="1" xfId="0" applyFont="1" applyFill="1" applyBorder="1" applyAlignment="1" applyProtection="1">
      <alignment horizontal="left" vertical="center" wrapText="1"/>
    </xf>
    <xf numFmtId="0" fontId="79" fillId="31" borderId="1" xfId="0" applyFont="1" applyFill="1" applyBorder="1" applyProtection="1"/>
    <xf numFmtId="3" fontId="79" fillId="31" borderId="1" xfId="0" applyNumberFormat="1" applyFont="1" applyFill="1" applyBorder="1" applyProtection="1"/>
    <xf numFmtId="3" fontId="79" fillId="31" borderId="1" xfId="0" applyNumberFormat="1" applyFont="1" applyFill="1" applyBorder="1" applyAlignment="1" applyProtection="1">
      <alignment horizontal="center" vertical="center"/>
      <protection locked="0"/>
    </xf>
    <xf numFmtId="3" fontId="80" fillId="31" borderId="1" xfId="0" applyNumberFormat="1" applyFont="1" applyFill="1" applyBorder="1" applyAlignment="1" applyProtection="1">
      <alignment horizontal="center" vertical="center"/>
    </xf>
    <xf numFmtId="3" fontId="79" fillId="31" borderId="1" xfId="0" applyNumberFormat="1" applyFont="1" applyFill="1" applyBorder="1" applyAlignment="1" applyProtection="1">
      <alignment horizontal="center" vertical="center"/>
    </xf>
    <xf numFmtId="172" fontId="79" fillId="31" borderId="1" xfId="0" applyNumberFormat="1" applyFont="1" applyFill="1" applyBorder="1" applyAlignment="1" applyProtection="1">
      <alignment horizontal="center" vertical="center"/>
    </xf>
    <xf numFmtId="3" fontId="79" fillId="31" borderId="1" xfId="2" applyNumberFormat="1" applyFont="1" applyFill="1" applyBorder="1" applyAlignment="1" applyProtection="1">
      <alignment horizontal="center" vertical="center" wrapText="1"/>
    </xf>
    <xf numFmtId="0" fontId="81" fillId="52" borderId="24" xfId="2" applyFont="1" applyFill="1" applyBorder="1" applyAlignment="1" applyProtection="1">
      <alignment horizontal="left" vertical="center" wrapText="1"/>
    </xf>
    <xf numFmtId="0" fontId="81" fillId="52" borderId="1" xfId="2" applyFont="1" applyFill="1" applyBorder="1" applyAlignment="1" applyProtection="1">
      <alignment horizontal="left" vertical="center" wrapText="1"/>
    </xf>
    <xf numFmtId="0" fontId="81" fillId="52" borderId="1" xfId="2" applyFont="1" applyFill="1" applyBorder="1" applyAlignment="1" applyProtection="1">
      <alignment horizontal="center" vertical="center" wrapText="1"/>
    </xf>
    <xf numFmtId="3" fontId="81" fillId="52" borderId="1" xfId="2" applyNumberFormat="1" applyFont="1" applyFill="1" applyBorder="1" applyAlignment="1" applyProtection="1">
      <alignment horizontal="center" vertical="center" wrapText="1"/>
      <protection locked="0"/>
    </xf>
    <xf numFmtId="3" fontId="83" fillId="52" borderId="1" xfId="2" applyNumberFormat="1" applyFont="1" applyFill="1" applyBorder="1" applyAlignment="1" applyProtection="1">
      <alignment horizontal="center" vertical="center" wrapText="1"/>
    </xf>
    <xf numFmtId="3" fontId="81" fillId="52" borderId="1" xfId="2" applyNumberFormat="1" applyFont="1" applyFill="1" applyBorder="1" applyAlignment="1" applyProtection="1">
      <alignment horizontal="center" vertical="center" wrapText="1"/>
    </xf>
    <xf numFmtId="172" fontId="75" fillId="52" borderId="1" xfId="2" applyNumberFormat="1" applyFont="1" applyFill="1" applyBorder="1" applyAlignment="1" applyProtection="1">
      <alignment horizontal="center" vertical="center" wrapText="1"/>
    </xf>
    <xf numFmtId="172" fontId="84" fillId="52" borderId="1" xfId="2" applyNumberFormat="1" applyFont="1" applyFill="1" applyBorder="1" applyAlignment="1" applyProtection="1">
      <alignment horizontal="center" vertical="center" wrapText="1"/>
    </xf>
    <xf numFmtId="172" fontId="85" fillId="52" borderId="1" xfId="2" applyNumberFormat="1" applyFont="1" applyFill="1" applyBorder="1" applyAlignment="1" applyProtection="1">
      <alignment horizontal="center" vertical="center" wrapText="1"/>
    </xf>
    <xf numFmtId="172" fontId="81" fillId="52" borderId="1" xfId="2" applyNumberFormat="1" applyFont="1" applyFill="1" applyBorder="1" applyAlignment="1" applyProtection="1">
      <alignment horizontal="center" vertical="center" wrapText="1"/>
    </xf>
    <xf numFmtId="3" fontId="81" fillId="31" borderId="1" xfId="2" applyNumberFormat="1" applyFont="1" applyFill="1" applyBorder="1" applyAlignment="1" applyProtection="1">
      <alignment horizontal="center" vertical="center" wrapText="1"/>
      <protection locked="0"/>
    </xf>
    <xf numFmtId="172" fontId="81" fillId="31" borderId="1" xfId="2" applyNumberFormat="1" applyFont="1" applyFill="1" applyBorder="1" applyAlignment="1" applyProtection="1">
      <alignment horizontal="center" vertical="center"/>
      <protection locked="0"/>
    </xf>
    <xf numFmtId="172" fontId="81" fillId="31" borderId="25" xfId="2" applyNumberFormat="1" applyFont="1" applyFill="1" applyBorder="1" applyAlignment="1" applyProtection="1">
      <alignment horizontal="center" vertical="center"/>
      <protection locked="0"/>
    </xf>
    <xf numFmtId="0" fontId="75" fillId="31" borderId="24" xfId="2" applyFont="1" applyFill="1" applyBorder="1" applyAlignment="1" applyProtection="1">
      <alignment horizontal="left" vertical="center" wrapText="1"/>
    </xf>
    <xf numFmtId="0" fontId="75" fillId="31" borderId="1" xfId="2" applyFont="1" applyFill="1" applyBorder="1" applyAlignment="1" applyProtection="1">
      <alignment horizontal="left" vertical="center" wrapText="1"/>
    </xf>
    <xf numFmtId="0" fontId="75" fillId="31" borderId="1" xfId="2" applyFont="1" applyFill="1" applyBorder="1" applyAlignment="1" applyProtection="1">
      <alignment horizontal="center" vertical="center" wrapText="1"/>
    </xf>
    <xf numFmtId="3" fontId="75" fillId="31" borderId="1" xfId="2" applyNumberFormat="1" applyFont="1" applyFill="1" applyBorder="1" applyAlignment="1" applyProtection="1">
      <alignment horizontal="center" vertical="center" wrapText="1"/>
      <protection locked="0"/>
    </xf>
    <xf numFmtId="3" fontId="77" fillId="31" borderId="1" xfId="2" applyNumberFormat="1" applyFont="1" applyFill="1" applyBorder="1" applyAlignment="1" applyProtection="1">
      <alignment horizontal="center" vertical="center" wrapText="1"/>
    </xf>
    <xf numFmtId="3" fontId="75" fillId="31" borderId="1" xfId="2" applyNumberFormat="1" applyFont="1" applyFill="1" applyBorder="1" applyAlignment="1" applyProtection="1">
      <alignment horizontal="center" vertical="center" wrapText="1"/>
    </xf>
    <xf numFmtId="172" fontId="75" fillId="31" borderId="1" xfId="2" applyNumberFormat="1" applyFont="1" applyFill="1" applyBorder="1" applyAlignment="1" applyProtection="1">
      <alignment horizontal="center" vertical="center" wrapText="1"/>
    </xf>
    <xf numFmtId="3" fontId="75" fillId="31" borderId="1" xfId="0" applyNumberFormat="1" applyFont="1" applyFill="1" applyBorder="1" applyAlignment="1" applyProtection="1">
      <alignment horizontal="center" vertical="center"/>
    </xf>
    <xf numFmtId="172" fontId="75" fillId="31" borderId="1" xfId="2" applyNumberFormat="1" applyFont="1" applyFill="1" applyBorder="1" applyAlignment="1" applyProtection="1">
      <alignment horizontal="center" vertical="center"/>
      <protection locked="0"/>
    </xf>
    <xf numFmtId="172" fontId="75" fillId="31" borderId="25" xfId="2" applyNumberFormat="1" applyFont="1" applyFill="1" applyBorder="1" applyAlignment="1" applyProtection="1">
      <alignment horizontal="center" vertical="center"/>
      <protection locked="0"/>
    </xf>
    <xf numFmtId="0" fontId="86" fillId="31" borderId="24" xfId="2" applyFont="1" applyFill="1" applyBorder="1" applyAlignment="1" applyProtection="1">
      <alignment horizontal="left" vertical="center" wrapText="1"/>
      <protection locked="0"/>
    </xf>
    <xf numFmtId="0" fontId="86" fillId="31" borderId="1" xfId="2" applyFont="1" applyFill="1" applyBorder="1" applyAlignment="1" applyProtection="1">
      <alignment horizontal="left" vertical="center" wrapText="1"/>
      <protection locked="0"/>
    </xf>
    <xf numFmtId="0" fontId="86" fillId="31" borderId="1" xfId="2" applyFont="1" applyFill="1" applyBorder="1" applyAlignment="1" applyProtection="1">
      <alignment horizontal="center" vertical="center" wrapText="1"/>
      <protection locked="0"/>
    </xf>
    <xf numFmtId="3" fontId="86" fillId="31" borderId="1" xfId="2" applyNumberFormat="1" applyFont="1" applyFill="1" applyBorder="1" applyAlignment="1" applyProtection="1">
      <alignment horizontal="center" vertical="center"/>
      <protection locked="0"/>
    </xf>
    <xf numFmtId="3" fontId="87" fillId="31" borderId="1" xfId="0" applyNumberFormat="1" applyFont="1" applyFill="1" applyBorder="1" applyAlignment="1" applyProtection="1">
      <alignment horizontal="center" vertical="center"/>
      <protection locked="0"/>
    </xf>
    <xf numFmtId="3" fontId="88" fillId="31" borderId="1" xfId="2" applyNumberFormat="1" applyFont="1" applyFill="1" applyBorder="1" applyAlignment="1" applyProtection="1">
      <alignment horizontal="center" vertical="center"/>
      <protection locked="0"/>
    </xf>
    <xf numFmtId="172" fontId="86" fillId="31" borderId="1" xfId="2" applyNumberFormat="1" applyFont="1" applyFill="1" applyBorder="1" applyAlignment="1" applyProtection="1">
      <alignment horizontal="center" vertical="center" wrapText="1"/>
    </xf>
    <xf numFmtId="172" fontId="86" fillId="31" borderId="1" xfId="2" applyNumberFormat="1" applyFont="1" applyFill="1" applyBorder="1" applyAlignment="1" applyProtection="1">
      <alignment horizontal="center" vertical="center" wrapText="1"/>
      <protection locked="0"/>
    </xf>
    <xf numFmtId="3" fontId="86" fillId="31" borderId="1" xfId="2" applyNumberFormat="1" applyFont="1" applyFill="1" applyBorder="1" applyAlignment="1" applyProtection="1">
      <alignment horizontal="center" vertical="center" wrapText="1"/>
      <protection locked="0"/>
    </xf>
    <xf numFmtId="1" fontId="86" fillId="31" borderId="1" xfId="2" applyNumberFormat="1" applyFont="1" applyFill="1" applyBorder="1" applyAlignment="1" applyProtection="1">
      <alignment horizontal="center" vertical="center" wrapText="1"/>
      <protection locked="0"/>
    </xf>
    <xf numFmtId="3" fontId="86" fillId="31" borderId="1" xfId="0" applyNumberFormat="1" applyFont="1" applyFill="1" applyBorder="1" applyAlignment="1" applyProtection="1">
      <alignment horizontal="center" vertical="center"/>
      <protection locked="0"/>
    </xf>
    <xf numFmtId="172" fontId="87" fillId="31" borderId="1" xfId="0" applyNumberFormat="1" applyFont="1" applyFill="1" applyBorder="1" applyAlignment="1" applyProtection="1">
      <alignment horizontal="center" vertical="center"/>
    </xf>
    <xf numFmtId="172" fontId="86" fillId="31" borderId="1" xfId="2" applyNumberFormat="1" applyFont="1" applyFill="1" applyBorder="1" applyAlignment="1" applyProtection="1">
      <alignment horizontal="center" vertical="center"/>
      <protection locked="0"/>
    </xf>
    <xf numFmtId="172" fontId="86" fillId="31" borderId="25" xfId="2" applyNumberFormat="1" applyFont="1" applyFill="1" applyBorder="1" applyAlignment="1" applyProtection="1">
      <alignment horizontal="center" vertical="center"/>
      <protection locked="0"/>
    </xf>
    <xf numFmtId="3" fontId="89" fillId="31" borderId="1" xfId="2" applyNumberFormat="1" applyFont="1" applyFill="1" applyBorder="1" applyAlignment="1" applyProtection="1">
      <alignment horizontal="center" vertical="center"/>
      <protection locked="0"/>
    </xf>
    <xf numFmtId="3" fontId="90" fillId="0" borderId="26" xfId="0" applyNumberFormat="1" applyFont="1" applyFill="1" applyBorder="1" applyAlignment="1">
      <alignment horizontal="center" vertical="center" wrapText="1" readingOrder="1"/>
    </xf>
    <xf numFmtId="172" fontId="86" fillId="0" borderId="1" xfId="2" applyNumberFormat="1" applyFont="1" applyFill="1" applyBorder="1" applyAlignment="1" applyProtection="1">
      <alignment horizontal="center" vertical="center" wrapText="1"/>
    </xf>
    <xf numFmtId="172" fontId="86" fillId="0" borderId="1" xfId="2" applyNumberFormat="1" applyFont="1" applyFill="1" applyBorder="1" applyAlignment="1" applyProtection="1">
      <alignment horizontal="center" vertical="center" wrapText="1"/>
      <protection locked="0"/>
    </xf>
    <xf numFmtId="3" fontId="87" fillId="0" borderId="1" xfId="0" applyNumberFormat="1" applyFont="1" applyFill="1" applyBorder="1" applyAlignment="1">
      <alignment horizontal="center" vertical="center"/>
    </xf>
    <xf numFmtId="3" fontId="87" fillId="0" borderId="1" xfId="2" applyNumberFormat="1" applyFont="1" applyFill="1" applyBorder="1" applyAlignment="1" applyProtection="1">
      <alignment horizontal="center" vertical="center" wrapText="1"/>
      <protection locked="0"/>
    </xf>
    <xf numFmtId="3" fontId="86" fillId="0" borderId="1" xfId="2" applyNumberFormat="1" applyFont="1" applyFill="1" applyBorder="1" applyAlignment="1" applyProtection="1">
      <alignment horizontal="center" vertical="center" wrapText="1"/>
      <protection locked="0"/>
    </xf>
    <xf numFmtId="3" fontId="86" fillId="0" borderId="1" xfId="2" applyNumberFormat="1" applyFont="1" applyFill="1" applyBorder="1" applyAlignment="1" applyProtection="1">
      <alignment horizontal="center" vertical="center"/>
      <protection locked="0"/>
    </xf>
    <xf numFmtId="1" fontId="86" fillId="0" borderId="1" xfId="2" applyNumberFormat="1" applyFont="1" applyFill="1" applyBorder="1" applyAlignment="1" applyProtection="1">
      <alignment horizontal="center" vertical="center" wrapText="1"/>
      <protection locked="0"/>
    </xf>
    <xf numFmtId="3" fontId="75" fillId="0" borderId="1" xfId="2" applyNumberFormat="1" applyFont="1" applyFill="1" applyBorder="1" applyAlignment="1" applyProtection="1">
      <alignment horizontal="center" vertical="center" wrapText="1"/>
    </xf>
    <xf numFmtId="172" fontId="75" fillId="0" borderId="1" xfId="2" applyNumberFormat="1" applyFont="1" applyFill="1" applyBorder="1" applyAlignment="1" applyProtection="1">
      <alignment horizontal="center" vertical="center" wrapText="1"/>
    </xf>
    <xf numFmtId="0" fontId="86" fillId="31" borderId="24" xfId="2" applyFont="1" applyFill="1" applyBorder="1" applyAlignment="1" applyProtection="1">
      <alignment horizontal="left" vertical="center" wrapText="1"/>
    </xf>
    <xf numFmtId="0" fontId="86" fillId="31" borderId="1" xfId="2" applyFont="1" applyFill="1" applyBorder="1" applyAlignment="1" applyProtection="1">
      <alignment horizontal="left" vertical="center" wrapText="1"/>
    </xf>
    <xf numFmtId="0" fontId="86" fillId="31" borderId="1" xfId="2" applyFont="1" applyFill="1" applyBorder="1" applyAlignment="1" applyProtection="1">
      <alignment horizontal="center" vertical="center" wrapText="1"/>
    </xf>
    <xf numFmtId="3" fontId="88" fillId="31" borderId="1" xfId="2" applyNumberFormat="1" applyFont="1" applyFill="1" applyBorder="1" applyAlignment="1" applyProtection="1">
      <alignment horizontal="center" vertical="center"/>
    </xf>
    <xf numFmtId="3" fontId="86" fillId="0" borderId="1" xfId="2" applyNumberFormat="1" applyFont="1" applyFill="1" applyBorder="1" applyAlignment="1" applyProtection="1">
      <alignment horizontal="center" vertical="center"/>
    </xf>
    <xf numFmtId="3" fontId="86" fillId="0" borderId="1" xfId="2" applyNumberFormat="1" applyFont="1" applyFill="1" applyBorder="1" applyAlignment="1" applyProtection="1">
      <alignment horizontal="center" vertical="center" wrapText="1"/>
    </xf>
    <xf numFmtId="3" fontId="86" fillId="31" borderId="1" xfId="2" applyNumberFormat="1" applyFont="1" applyFill="1" applyBorder="1" applyAlignment="1" applyProtection="1">
      <alignment horizontal="center" vertical="center" wrapText="1"/>
    </xf>
    <xf numFmtId="3" fontId="86" fillId="31" borderId="1" xfId="0" applyNumberFormat="1" applyFont="1" applyFill="1" applyBorder="1" applyAlignment="1" applyProtection="1">
      <alignment horizontal="center" vertical="center"/>
    </xf>
    <xf numFmtId="171" fontId="91" fillId="0" borderId="1" xfId="0" applyNumberFormat="1" applyFont="1" applyFill="1" applyBorder="1" applyAlignment="1">
      <alignment horizontal="center" vertical="center" wrapText="1"/>
    </xf>
    <xf numFmtId="172" fontId="87" fillId="0" borderId="1" xfId="2" applyNumberFormat="1" applyFont="1" applyFill="1" applyBorder="1" applyAlignment="1" applyProtection="1">
      <alignment horizontal="center" vertical="center" wrapText="1"/>
    </xf>
    <xf numFmtId="172" fontId="87" fillId="0" borderId="1" xfId="2" applyNumberFormat="1" applyFont="1" applyFill="1" applyBorder="1" applyAlignment="1" applyProtection="1">
      <alignment horizontal="center" vertical="center" wrapText="1"/>
      <protection locked="0"/>
    </xf>
    <xf numFmtId="1" fontId="87" fillId="0" borderId="1" xfId="2" applyNumberFormat="1" applyFont="1" applyFill="1" applyBorder="1" applyAlignment="1" applyProtection="1">
      <alignment horizontal="center" vertical="center" wrapText="1"/>
      <protection locked="0"/>
    </xf>
    <xf numFmtId="3" fontId="87" fillId="31" borderId="1" xfId="2" applyNumberFormat="1" applyFont="1" applyFill="1" applyBorder="1" applyAlignment="1" applyProtection="1">
      <alignment horizontal="center" vertical="center" wrapText="1"/>
      <protection locked="0"/>
    </xf>
    <xf numFmtId="172" fontId="87" fillId="31" borderId="1" xfId="2" applyNumberFormat="1" applyFont="1" applyFill="1" applyBorder="1" applyAlignment="1" applyProtection="1">
      <alignment horizontal="center" vertical="center" wrapText="1"/>
    </xf>
    <xf numFmtId="3" fontId="87" fillId="0" borderId="27" xfId="0" applyNumberFormat="1" applyFont="1" applyFill="1" applyBorder="1" applyAlignment="1">
      <alignment horizontal="center" vertical="center"/>
    </xf>
    <xf numFmtId="3" fontId="86" fillId="31" borderId="1" xfId="2" applyNumberFormat="1" applyFont="1" applyFill="1" applyBorder="1" applyAlignment="1" applyProtection="1">
      <alignment horizontal="center" vertical="center"/>
    </xf>
    <xf numFmtId="171" fontId="91" fillId="0" borderId="18" xfId="0" applyNumberFormat="1" applyFont="1" applyFill="1" applyBorder="1" applyAlignment="1">
      <alignment horizontal="center" vertical="center" wrapText="1"/>
    </xf>
    <xf numFmtId="9" fontId="86" fillId="0" borderId="1" xfId="170" applyFont="1" applyFill="1" applyBorder="1" applyAlignment="1" applyProtection="1">
      <alignment horizontal="center" vertical="center" wrapText="1"/>
      <protection locked="0"/>
    </xf>
    <xf numFmtId="171" fontId="92" fillId="31" borderId="1" xfId="0" applyNumberFormat="1" applyFont="1" applyFill="1" applyBorder="1" applyAlignment="1">
      <alignment horizontal="center" vertical="center" wrapText="1"/>
    </xf>
    <xf numFmtId="3" fontId="77" fillId="31" borderId="12" xfId="2" applyNumberFormat="1" applyFont="1" applyFill="1" applyBorder="1" applyAlignment="1" applyProtection="1">
      <alignment horizontal="center" vertical="center" wrapText="1"/>
    </xf>
    <xf numFmtId="172" fontId="75" fillId="0" borderId="13" xfId="2" applyNumberFormat="1" applyFont="1" applyFill="1" applyBorder="1" applyAlignment="1" applyProtection="1">
      <alignment horizontal="center" vertical="center" wrapText="1"/>
    </xf>
    <xf numFmtId="3" fontId="88" fillId="31" borderId="12" xfId="2" applyNumberFormat="1" applyFont="1" applyFill="1" applyBorder="1" applyAlignment="1" applyProtection="1">
      <alignment horizontal="center" vertical="center"/>
      <protection locked="0"/>
    </xf>
    <xf numFmtId="172" fontId="86" fillId="0" borderId="13" xfId="2" applyNumberFormat="1" applyFont="1" applyFill="1" applyBorder="1" applyAlignment="1" applyProtection="1">
      <alignment horizontal="center" vertical="center" wrapText="1"/>
    </xf>
    <xf numFmtId="3" fontId="75" fillId="31" borderId="19" xfId="2" applyNumberFormat="1" applyFont="1" applyFill="1" applyBorder="1" applyAlignment="1" applyProtection="1">
      <alignment horizontal="center" vertical="center" wrapText="1"/>
    </xf>
    <xf numFmtId="165" fontId="86" fillId="31" borderId="1" xfId="2" applyNumberFormat="1" applyFont="1" applyFill="1" applyBorder="1" applyAlignment="1" applyProtection="1">
      <alignment horizontal="center" vertical="center" wrapText="1"/>
      <protection locked="0"/>
    </xf>
    <xf numFmtId="3" fontId="87" fillId="31" borderId="1" xfId="2" applyNumberFormat="1" applyFont="1" applyFill="1" applyBorder="1" applyAlignment="1" applyProtection="1">
      <alignment horizontal="center" vertical="center" wrapText="1"/>
    </xf>
    <xf numFmtId="38" fontId="86" fillId="31" borderId="1" xfId="2" applyNumberFormat="1" applyFont="1" applyFill="1" applyBorder="1" applyAlignment="1" applyProtection="1">
      <alignment horizontal="center" vertical="center"/>
      <protection locked="0"/>
    </xf>
    <xf numFmtId="172" fontId="87" fillId="31" borderId="1" xfId="2" applyNumberFormat="1" applyFont="1" applyFill="1" applyBorder="1" applyAlignment="1" applyProtection="1">
      <alignment horizontal="center" vertical="center"/>
      <protection locked="0"/>
    </xf>
    <xf numFmtId="3" fontId="87" fillId="52" borderId="1" xfId="2" applyNumberFormat="1" applyFont="1" applyFill="1" applyBorder="1" applyAlignment="1" applyProtection="1">
      <alignment horizontal="center" vertical="center" wrapText="1"/>
      <protection locked="0"/>
    </xf>
    <xf numFmtId="3" fontId="81" fillId="31" borderId="1" xfId="2" applyNumberFormat="1" applyFont="1" applyFill="1" applyBorder="1" applyAlignment="1" applyProtection="1">
      <alignment horizontal="center" vertical="center" wrapText="1"/>
    </xf>
    <xf numFmtId="0" fontId="94" fillId="31" borderId="1" xfId="0" applyFont="1" applyFill="1" applyBorder="1" applyAlignment="1">
      <alignment vertical="center" wrapText="1"/>
    </xf>
    <xf numFmtId="0" fontId="95" fillId="31" borderId="1" xfId="0" applyFont="1" applyFill="1" applyBorder="1" applyAlignment="1">
      <alignment vertical="top" wrapText="1"/>
    </xf>
    <xf numFmtId="3" fontId="86" fillId="31" borderId="1" xfId="0" applyNumberFormat="1" applyFont="1" applyFill="1" applyBorder="1" applyAlignment="1">
      <alignment horizontal="center" vertical="center"/>
    </xf>
    <xf numFmtId="0" fontId="95" fillId="31" borderId="1" xfId="0" applyFont="1" applyFill="1" applyBorder="1" applyAlignment="1">
      <alignment horizontal="left" vertical="top" wrapText="1"/>
    </xf>
    <xf numFmtId="3" fontId="88" fillId="31" borderId="1" xfId="0" applyNumberFormat="1" applyFont="1" applyFill="1" applyBorder="1" applyAlignment="1" applyProtection="1">
      <alignment horizontal="center" vertical="center"/>
      <protection locked="0"/>
    </xf>
    <xf numFmtId="3" fontId="86" fillId="0" borderId="1" xfId="0" applyNumberFormat="1" applyFont="1" applyFill="1" applyBorder="1" applyAlignment="1" applyProtection="1">
      <alignment horizontal="center" vertical="center"/>
      <protection locked="0"/>
    </xf>
    <xf numFmtId="172" fontId="87" fillId="0" borderId="1" xfId="0" applyNumberFormat="1" applyFont="1" applyBorder="1" applyAlignment="1" applyProtection="1">
      <alignment horizontal="center" vertical="center"/>
    </xf>
    <xf numFmtId="3" fontId="88" fillId="31" borderId="1" xfId="2" applyNumberFormat="1" applyFont="1" applyFill="1" applyBorder="1" applyAlignment="1" applyProtection="1">
      <alignment horizontal="center" vertical="center" wrapText="1"/>
      <protection locked="0"/>
    </xf>
    <xf numFmtId="3" fontId="88" fillId="31" borderId="1" xfId="2" applyNumberFormat="1" applyFont="1" applyFill="1" applyBorder="1" applyAlignment="1" applyProtection="1">
      <alignment horizontal="center" vertical="center" wrapText="1"/>
    </xf>
    <xf numFmtId="3" fontId="86" fillId="0" borderId="1" xfId="0" applyNumberFormat="1" applyFont="1" applyFill="1" applyBorder="1" applyAlignment="1" applyProtection="1">
      <alignment horizontal="center" vertical="center"/>
    </xf>
    <xf numFmtId="3" fontId="89" fillId="31" borderId="1" xfId="2" applyNumberFormat="1" applyFont="1" applyFill="1" applyBorder="1" applyAlignment="1" applyProtection="1">
      <alignment horizontal="left" vertical="top" wrapText="1"/>
      <protection locked="0"/>
    </xf>
    <xf numFmtId="3" fontId="89" fillId="31" borderId="1" xfId="2" applyNumberFormat="1" applyFont="1" applyFill="1" applyBorder="1" applyAlignment="1" applyProtection="1">
      <alignment horizontal="left" vertical="center" wrapText="1"/>
      <protection locked="0"/>
    </xf>
    <xf numFmtId="3" fontId="89" fillId="31" borderId="1" xfId="2" applyNumberFormat="1" applyFont="1" applyFill="1" applyBorder="1" applyAlignment="1" applyProtection="1">
      <alignment horizontal="center" vertical="center" wrapText="1"/>
      <protection locked="0"/>
    </xf>
    <xf numFmtId="0" fontId="95" fillId="31" borderId="1" xfId="0" applyFont="1" applyFill="1" applyBorder="1" applyAlignment="1">
      <alignment horizontal="justify" vertical="top"/>
    </xf>
    <xf numFmtId="0" fontId="95" fillId="31" borderId="1" xfId="0" applyFont="1" applyFill="1" applyBorder="1" applyAlignment="1">
      <alignment horizontal="justify" vertical="center"/>
    </xf>
    <xf numFmtId="3" fontId="96" fillId="31" borderId="1" xfId="2" applyNumberFormat="1" applyFont="1" applyFill="1" applyBorder="1" applyAlignment="1" applyProtection="1">
      <alignment horizontal="left" vertical="center" wrapText="1"/>
      <protection locked="0"/>
    </xf>
    <xf numFmtId="3" fontId="96" fillId="31" borderId="1" xfId="2" applyNumberFormat="1" applyFont="1" applyFill="1" applyBorder="1" applyAlignment="1" applyProtection="1">
      <alignment horizontal="left" vertical="top" wrapText="1"/>
      <protection locked="0"/>
    </xf>
    <xf numFmtId="172" fontId="75" fillId="0" borderId="1" xfId="2" applyNumberFormat="1" applyFont="1" applyFill="1" applyBorder="1" applyAlignment="1" applyProtection="1">
      <alignment horizontal="center" vertical="center" wrapText="1"/>
      <protection locked="0"/>
    </xf>
    <xf numFmtId="3" fontId="86" fillId="0" borderId="1" xfId="0" applyNumberFormat="1" applyFont="1" applyBorder="1" applyAlignment="1" applyProtection="1">
      <alignment horizontal="center" vertical="center"/>
      <protection locked="0"/>
    </xf>
    <xf numFmtId="172" fontId="75" fillId="31" borderId="1" xfId="2" applyNumberFormat="1" applyFont="1" applyFill="1" applyBorder="1" applyAlignment="1" applyProtection="1">
      <alignment horizontal="center" vertical="center" wrapText="1"/>
      <protection locked="0"/>
    </xf>
    <xf numFmtId="3" fontId="75" fillId="52" borderId="1" xfId="2" applyNumberFormat="1" applyFont="1" applyFill="1" applyBorder="1" applyAlignment="1" applyProtection="1">
      <alignment horizontal="center" vertical="center" wrapText="1"/>
      <protection locked="0"/>
    </xf>
    <xf numFmtId="3" fontId="83" fillId="52" borderId="1" xfId="2" applyNumberFormat="1" applyFont="1" applyFill="1" applyBorder="1" applyAlignment="1" applyProtection="1">
      <alignment horizontal="center" vertical="center" wrapText="1"/>
      <protection locked="0"/>
    </xf>
    <xf numFmtId="3" fontId="81" fillId="31" borderId="1" xfId="168" applyNumberFormat="1" applyFont="1" applyFill="1" applyBorder="1" applyAlignment="1" applyProtection="1">
      <alignment horizontal="center" vertical="center" wrapText="1"/>
      <protection locked="0"/>
    </xf>
    <xf numFmtId="0" fontId="81" fillId="53" borderId="24" xfId="2" applyFont="1" applyFill="1" applyBorder="1" applyAlignment="1" applyProtection="1">
      <alignment horizontal="left" vertical="center" wrapText="1"/>
    </xf>
    <xf numFmtId="0" fontId="81" fillId="53" borderId="1" xfId="2" applyFont="1" applyFill="1" applyBorder="1" applyAlignment="1" applyProtection="1">
      <alignment horizontal="left" vertical="center" wrapText="1"/>
    </xf>
    <xf numFmtId="0" fontId="81" fillId="53" borderId="1" xfId="2" applyFont="1" applyFill="1" applyBorder="1" applyAlignment="1" applyProtection="1">
      <alignment horizontal="center" vertical="center" wrapText="1"/>
    </xf>
    <xf numFmtId="3" fontId="81" fillId="53" borderId="1" xfId="2" applyNumberFormat="1" applyFont="1" applyFill="1" applyBorder="1" applyAlignment="1" applyProtection="1">
      <alignment horizontal="center" vertical="center" wrapText="1"/>
    </xf>
    <xf numFmtId="3" fontId="81" fillId="53" borderId="1" xfId="2" applyNumberFormat="1" applyFont="1" applyFill="1" applyBorder="1" applyAlignment="1" applyProtection="1">
      <alignment horizontal="center" vertical="center" wrapText="1"/>
      <protection locked="0"/>
    </xf>
    <xf numFmtId="3" fontId="75" fillId="53" borderId="1" xfId="2" applyNumberFormat="1" applyFont="1" applyFill="1" applyBorder="1" applyAlignment="1" applyProtection="1">
      <alignment horizontal="center" vertical="center" wrapText="1"/>
      <protection locked="0"/>
    </xf>
    <xf numFmtId="3" fontId="83" fillId="53" borderId="1" xfId="2" applyNumberFormat="1" applyFont="1" applyFill="1" applyBorder="1" applyAlignment="1" applyProtection="1">
      <alignment horizontal="center" vertical="center" wrapText="1"/>
    </xf>
    <xf numFmtId="172" fontId="75" fillId="53" borderId="1" xfId="2" applyNumberFormat="1" applyFont="1" applyFill="1" applyBorder="1" applyAlignment="1" applyProtection="1">
      <alignment horizontal="center" vertical="center" wrapText="1"/>
    </xf>
    <xf numFmtId="172" fontId="84" fillId="53" borderId="1" xfId="2" applyNumberFormat="1" applyFont="1" applyFill="1" applyBorder="1" applyAlignment="1" applyProtection="1">
      <alignment horizontal="center" vertical="center" wrapText="1"/>
    </xf>
    <xf numFmtId="172" fontId="75" fillId="53" borderId="1" xfId="2" applyNumberFormat="1" applyFont="1" applyFill="1" applyBorder="1" applyAlignment="1" applyProtection="1">
      <alignment horizontal="center" vertical="center" wrapText="1"/>
      <protection locked="0"/>
    </xf>
    <xf numFmtId="172" fontId="81" fillId="31" borderId="1" xfId="2" applyNumberFormat="1" applyFont="1" applyFill="1" applyBorder="1" applyAlignment="1" applyProtection="1">
      <alignment horizontal="center" vertical="center" wrapText="1"/>
    </xf>
    <xf numFmtId="172" fontId="81" fillId="53" borderId="1" xfId="2" applyNumberFormat="1" applyFont="1" applyFill="1" applyBorder="1" applyAlignment="1" applyProtection="1">
      <alignment horizontal="center" vertical="center" wrapText="1"/>
    </xf>
    <xf numFmtId="0" fontId="72" fillId="0" borderId="0" xfId="0" applyFont="1" applyFill="1" applyProtection="1"/>
    <xf numFmtId="3" fontId="88" fillId="0" borderId="1" xfId="2" applyNumberFormat="1" applyFont="1" applyFill="1" applyBorder="1" applyAlignment="1" applyProtection="1">
      <alignment horizontal="center" vertical="center"/>
      <protection locked="0"/>
    </xf>
    <xf numFmtId="3" fontId="86" fillId="31" borderId="1" xfId="169" applyNumberFormat="1" applyFont="1" applyFill="1" applyBorder="1" applyAlignment="1">
      <alignment horizontal="center" vertical="center"/>
    </xf>
    <xf numFmtId="3" fontId="77" fillId="0" borderId="1" xfId="2" applyNumberFormat="1" applyFont="1" applyFill="1" applyBorder="1" applyAlignment="1" applyProtection="1">
      <alignment horizontal="center" vertical="center" wrapText="1"/>
    </xf>
    <xf numFmtId="3" fontId="88" fillId="0" borderId="1" xfId="2" applyNumberFormat="1" applyFont="1" applyFill="1" applyBorder="1" applyAlignment="1" applyProtection="1">
      <alignment horizontal="center" vertical="center"/>
    </xf>
    <xf numFmtId="4" fontId="98" fillId="0" borderId="0" xfId="0" applyNumberFormat="1" applyFont="1" applyFill="1" applyAlignment="1">
      <alignment vertical="center"/>
    </xf>
    <xf numFmtId="0" fontId="72" fillId="31" borderId="0" xfId="0" applyFont="1" applyFill="1"/>
    <xf numFmtId="0" fontId="72" fillId="31" borderId="0" xfId="0" applyFont="1" applyFill="1" applyProtection="1"/>
    <xf numFmtId="3" fontId="75" fillId="31" borderId="1" xfId="2" applyNumberFormat="1" applyFont="1" applyFill="1" applyBorder="1" applyAlignment="1" applyProtection="1">
      <alignment horizontal="center" vertical="center"/>
      <protection locked="0"/>
    </xf>
    <xf numFmtId="0" fontId="99" fillId="0" borderId="0" xfId="0" applyFont="1" applyFill="1" applyProtection="1"/>
    <xf numFmtId="0" fontId="86" fillId="0" borderId="24" xfId="2" applyFont="1" applyFill="1" applyBorder="1" applyAlignment="1" applyProtection="1">
      <alignment horizontal="left" vertical="center" wrapText="1"/>
      <protection locked="0"/>
    </xf>
    <xf numFmtId="0" fontId="86" fillId="0" borderId="1" xfId="2" applyFont="1" applyFill="1" applyBorder="1" applyAlignment="1" applyProtection="1">
      <alignment horizontal="left" vertical="center" wrapText="1"/>
      <protection locked="0"/>
    </xf>
    <xf numFmtId="0" fontId="86" fillId="0" borderId="1" xfId="2" applyFont="1" applyFill="1" applyBorder="1" applyAlignment="1" applyProtection="1">
      <alignment horizontal="center" vertical="center" wrapText="1"/>
      <protection locked="0"/>
    </xf>
    <xf numFmtId="3" fontId="86" fillId="0" borderId="1" xfId="169" applyNumberFormat="1" applyFont="1" applyFill="1" applyBorder="1" applyAlignment="1">
      <alignment horizontal="center" vertical="center"/>
    </xf>
    <xf numFmtId="3" fontId="75" fillId="0" borderId="1" xfId="2" applyNumberFormat="1" applyFont="1" applyFill="1" applyBorder="1" applyAlignment="1" applyProtection="1">
      <alignment horizontal="center" vertical="center" wrapText="1"/>
      <protection locked="0"/>
    </xf>
    <xf numFmtId="3" fontId="87" fillId="0" borderId="1" xfId="0" applyNumberFormat="1" applyFont="1" applyFill="1" applyBorder="1" applyAlignment="1" applyProtection="1">
      <alignment horizontal="center" vertical="center"/>
      <protection locked="0"/>
    </xf>
    <xf numFmtId="172" fontId="87" fillId="0" borderId="1" xfId="0" applyNumberFormat="1" applyFont="1" applyFill="1" applyBorder="1" applyAlignment="1" applyProtection="1">
      <alignment horizontal="center" vertical="center"/>
    </xf>
    <xf numFmtId="172" fontId="86" fillId="0" borderId="1" xfId="2" applyNumberFormat="1" applyFont="1" applyFill="1" applyBorder="1" applyAlignment="1" applyProtection="1">
      <alignment horizontal="center" vertical="center"/>
      <protection locked="0"/>
    </xf>
    <xf numFmtId="172" fontId="86" fillId="0" borderId="25" xfId="2" applyNumberFormat="1" applyFont="1" applyFill="1" applyBorder="1" applyAlignment="1" applyProtection="1">
      <alignment horizontal="center" vertical="center"/>
      <protection locked="0"/>
    </xf>
    <xf numFmtId="4" fontId="86" fillId="31" borderId="1" xfId="2" applyNumberFormat="1" applyFont="1" applyFill="1" applyBorder="1" applyAlignment="1" applyProtection="1">
      <alignment horizontal="center" vertical="center"/>
      <protection locked="0"/>
    </xf>
    <xf numFmtId="3" fontId="77" fillId="0" borderId="1" xfId="2" applyNumberFormat="1" applyFont="1" applyFill="1" applyBorder="1" applyAlignment="1" applyProtection="1">
      <alignment horizontal="center" vertical="center" wrapText="1"/>
      <protection locked="0"/>
    </xf>
    <xf numFmtId="3" fontId="88" fillId="0" borderId="1" xfId="2" applyNumberFormat="1" applyFont="1" applyFill="1" applyBorder="1" applyAlignment="1" applyProtection="1">
      <alignment horizontal="center" vertical="center" wrapText="1"/>
    </xf>
    <xf numFmtId="3" fontId="79" fillId="31" borderId="1" xfId="2" applyNumberFormat="1" applyFont="1" applyFill="1" applyBorder="1" applyAlignment="1" applyProtection="1">
      <alignment horizontal="center" vertical="center"/>
      <protection locked="0"/>
    </xf>
    <xf numFmtId="171" fontId="86" fillId="31" borderId="1" xfId="2" applyNumberFormat="1" applyFont="1" applyFill="1" applyBorder="1" applyAlignment="1" applyProtection="1">
      <alignment horizontal="center" vertical="center" wrapText="1"/>
      <protection locked="0"/>
    </xf>
    <xf numFmtId="173" fontId="86" fillId="31" borderId="1" xfId="2" applyNumberFormat="1" applyFont="1" applyFill="1" applyBorder="1" applyAlignment="1" applyProtection="1">
      <alignment horizontal="center" vertical="center" wrapText="1"/>
      <protection locked="0"/>
    </xf>
    <xf numFmtId="3" fontId="86" fillId="31" borderId="0" xfId="169" applyNumberFormat="1" applyFont="1" applyFill="1" applyBorder="1" applyAlignment="1">
      <alignment horizontal="center" vertical="center"/>
    </xf>
    <xf numFmtId="3" fontId="86" fillId="31" borderId="17" xfId="2" applyNumberFormat="1" applyFont="1" applyFill="1" applyBorder="1" applyAlignment="1" applyProtection="1">
      <alignment horizontal="center" vertical="center" wrapText="1"/>
      <protection locked="0"/>
    </xf>
    <xf numFmtId="3" fontId="86" fillId="31" borderId="0" xfId="2" applyNumberFormat="1" applyFont="1" applyFill="1" applyBorder="1" applyAlignment="1" applyProtection="1">
      <alignment horizontal="center" vertical="center" wrapText="1"/>
      <protection locked="0"/>
    </xf>
    <xf numFmtId="3" fontId="92" fillId="31" borderId="1" xfId="2" applyNumberFormat="1" applyFont="1" applyFill="1" applyBorder="1" applyAlignment="1" applyProtection="1">
      <alignment horizontal="center" vertical="center"/>
      <protection locked="0"/>
    </xf>
    <xf numFmtId="3" fontId="87" fillId="31" borderId="1" xfId="2" applyNumberFormat="1" applyFont="1" applyFill="1" applyBorder="1" applyAlignment="1" applyProtection="1">
      <alignment horizontal="center" vertical="center"/>
      <protection locked="0"/>
    </xf>
    <xf numFmtId="172" fontId="87" fillId="31" borderId="1" xfId="2" applyNumberFormat="1" applyFont="1" applyFill="1" applyBorder="1" applyAlignment="1" applyProtection="1">
      <alignment horizontal="center" vertical="center" wrapText="1"/>
      <protection locked="0"/>
    </xf>
    <xf numFmtId="38" fontId="87" fillId="31" borderId="1" xfId="2" applyNumberFormat="1" applyFont="1" applyFill="1" applyBorder="1" applyAlignment="1" applyProtection="1">
      <alignment horizontal="center" vertical="center"/>
      <protection locked="0"/>
    </xf>
    <xf numFmtId="0" fontId="72" fillId="0" borderId="0" xfId="0" applyFont="1" applyProtection="1">
      <protection locked="0"/>
    </xf>
    <xf numFmtId="0" fontId="72" fillId="0" borderId="0" xfId="0" applyFont="1" applyAlignment="1" applyProtection="1">
      <alignment wrapText="1"/>
      <protection locked="0"/>
    </xf>
    <xf numFmtId="3" fontId="72" fillId="0" borderId="0" xfId="0" applyNumberFormat="1" applyFont="1" applyProtection="1">
      <protection locked="0"/>
    </xf>
    <xf numFmtId="3" fontId="74" fillId="0" borderId="0" xfId="0" applyNumberFormat="1" applyFont="1" applyProtection="1">
      <protection locked="0"/>
    </xf>
    <xf numFmtId="3" fontId="72" fillId="0" borderId="0" xfId="0" applyNumberFormat="1" applyFont="1" applyFill="1" applyProtection="1">
      <protection locked="0"/>
    </xf>
    <xf numFmtId="172" fontId="72" fillId="0" borderId="0" xfId="0" applyNumberFormat="1" applyFont="1" applyProtection="1">
      <protection locked="0"/>
    </xf>
    <xf numFmtId="0" fontId="100" fillId="0" borderId="0" xfId="2" applyFont="1" applyBorder="1" applyAlignment="1" applyProtection="1">
      <alignment horizontal="left"/>
      <protection locked="0"/>
    </xf>
    <xf numFmtId="0" fontId="84" fillId="0" borderId="0" xfId="2" applyFont="1" applyBorder="1" applyAlignment="1" applyProtection="1">
      <alignment horizontal="left" wrapText="1"/>
      <protection locked="0"/>
    </xf>
    <xf numFmtId="0" fontId="86" fillId="0" borderId="0" xfId="2" applyFont="1" applyAlignment="1" applyProtection="1">
      <alignment horizontal="center" vertical="center" wrapText="1"/>
      <protection locked="0"/>
    </xf>
    <xf numFmtId="4" fontId="86" fillId="0" borderId="0" xfId="2" applyNumberFormat="1" applyFont="1" applyBorder="1" applyAlignment="1" applyProtection="1">
      <alignment horizontal="right" vertical="center"/>
      <protection locked="0"/>
    </xf>
    <xf numFmtId="9" fontId="88" fillId="0" borderId="0" xfId="170" applyFont="1" applyBorder="1" applyAlignment="1" applyProtection="1">
      <alignment horizontal="right" vertical="center"/>
      <protection locked="0"/>
    </xf>
    <xf numFmtId="4" fontId="86" fillId="0" borderId="0" xfId="2" applyNumberFormat="1" applyFont="1" applyFill="1" applyAlignment="1" applyProtection="1">
      <alignment horizontal="right" vertical="center"/>
      <protection locked="0"/>
    </xf>
    <xf numFmtId="172" fontId="86" fillId="0" borderId="0" xfId="2" applyNumberFormat="1" applyFont="1" applyFill="1" applyBorder="1" applyAlignment="1" applyProtection="1">
      <alignment horizontal="center" vertical="center" wrapText="1"/>
      <protection locked="0"/>
    </xf>
    <xf numFmtId="10" fontId="86" fillId="0" borderId="0" xfId="2" applyNumberFormat="1" applyFont="1" applyAlignment="1" applyProtection="1">
      <protection locked="0"/>
    </xf>
    <xf numFmtId="0" fontId="72" fillId="0" borderId="0" xfId="2" applyFont="1" applyProtection="1">
      <protection locked="0"/>
    </xf>
    <xf numFmtId="0" fontId="101" fillId="0" borderId="0" xfId="2" applyFont="1" applyBorder="1" applyAlignment="1" applyProtection="1">
      <alignment horizontal="left"/>
      <protection locked="0"/>
    </xf>
    <xf numFmtId="4" fontId="86" fillId="0" borderId="0" xfId="2" applyNumberFormat="1" applyFont="1" applyAlignment="1" applyProtection="1">
      <protection locked="0"/>
    </xf>
    <xf numFmtId="4" fontId="88" fillId="0" borderId="0" xfId="2" applyNumberFormat="1" applyFont="1" applyBorder="1" applyAlignment="1" applyProtection="1">
      <alignment horizontal="right" vertical="center"/>
      <protection locked="0"/>
    </xf>
    <xf numFmtId="4" fontId="86" fillId="0" borderId="0" xfId="2" applyNumberFormat="1" applyFont="1" applyAlignment="1" applyProtection="1">
      <alignment horizontal="right" vertical="center"/>
      <protection locked="0"/>
    </xf>
    <xf numFmtId="0" fontId="100" fillId="0" borderId="0" xfId="2" applyFont="1" applyBorder="1" applyAlignment="1" applyProtection="1">
      <alignment horizontal="left" wrapText="1"/>
      <protection locked="0"/>
    </xf>
    <xf numFmtId="0" fontId="100" fillId="0" borderId="0" xfId="2" applyFont="1" applyBorder="1" applyAlignment="1" applyProtection="1">
      <alignment wrapText="1"/>
      <protection locked="0"/>
    </xf>
    <xf numFmtId="0" fontId="100" fillId="0" borderId="0" xfId="2" applyFont="1" applyBorder="1" applyAlignment="1" applyProtection="1">
      <alignment horizontal="left" vertical="center" wrapText="1"/>
      <protection locked="0"/>
    </xf>
    <xf numFmtId="0" fontId="102" fillId="0" borderId="0" xfId="2" applyFont="1" applyBorder="1" applyAlignment="1" applyProtection="1">
      <alignment horizontal="left" vertical="center" wrapText="1"/>
      <protection locked="0"/>
    </xf>
    <xf numFmtId="0" fontId="100" fillId="0" borderId="0" xfId="2" applyFont="1" applyFill="1" applyBorder="1" applyAlignment="1" applyProtection="1">
      <alignment horizontal="left" vertical="center" wrapText="1"/>
      <protection locked="0"/>
    </xf>
    <xf numFmtId="0" fontId="100" fillId="0" borderId="0" xfId="2" applyFont="1" applyBorder="1" applyAlignment="1" applyProtection="1">
      <protection locked="0"/>
    </xf>
    <xf numFmtId="0" fontId="102" fillId="0" borderId="0" xfId="0" applyFont="1"/>
    <xf numFmtId="0" fontId="87" fillId="0" borderId="0" xfId="2" applyFont="1" applyBorder="1" applyAlignment="1" applyProtection="1">
      <alignment vertical="center" wrapText="1"/>
      <protection locked="0"/>
    </xf>
    <xf numFmtId="0" fontId="102" fillId="0" borderId="0" xfId="2" applyFont="1" applyBorder="1" applyAlignment="1" applyProtection="1">
      <alignment horizontal="left" wrapText="1"/>
      <protection locked="0"/>
    </xf>
    <xf numFmtId="0" fontId="100" fillId="0" borderId="0" xfId="2" applyFont="1" applyFill="1" applyBorder="1" applyAlignment="1" applyProtection="1">
      <alignment horizontal="left" wrapText="1"/>
      <protection locked="0"/>
    </xf>
    <xf numFmtId="0" fontId="105" fillId="0" borderId="0" xfId="0" applyFont="1" applyFill="1" applyAlignment="1">
      <alignment horizontal="left" vertical="top" wrapText="1"/>
    </xf>
    <xf numFmtId="0" fontId="87" fillId="0" borderId="0" xfId="0" applyFont="1" applyFill="1" applyProtection="1">
      <protection locked="0"/>
    </xf>
    <xf numFmtId="0" fontId="87" fillId="0" borderId="0" xfId="0" applyFont="1" applyFill="1" applyAlignment="1" applyProtection="1">
      <alignment vertical="top" wrapText="1"/>
      <protection locked="0"/>
    </xf>
    <xf numFmtId="0" fontId="0" fillId="0" borderId="0" xfId="0" applyAlignment="1">
      <alignment horizontal="left" wrapText="1"/>
    </xf>
    <xf numFmtId="0" fontId="105" fillId="0" borderId="0" xfId="0" applyFont="1" applyFill="1" applyAlignment="1">
      <alignment vertical="top" wrapText="1"/>
    </xf>
    <xf numFmtId="0" fontId="92" fillId="0" borderId="0" xfId="0" applyFont="1" applyFill="1" applyProtection="1">
      <protection locked="0"/>
    </xf>
    <xf numFmtId="0" fontId="87" fillId="0" borderId="0" xfId="0" applyFont="1" applyFill="1" applyAlignment="1" applyProtection="1">
      <alignment horizontal="left" vertical="top" wrapText="1"/>
      <protection locked="0"/>
    </xf>
    <xf numFmtId="0" fontId="2" fillId="0" borderId="0" xfId="0" applyFont="1" applyFill="1" applyAlignment="1">
      <alignment horizontal="left" vertical="top" wrapText="1"/>
    </xf>
    <xf numFmtId="0" fontId="87" fillId="0" borderId="0" xfId="0" applyFont="1" applyAlignment="1">
      <alignment wrapText="1"/>
    </xf>
    <xf numFmtId="0" fontId="87" fillId="0" borderId="0" xfId="0" applyFont="1" applyAlignment="1">
      <alignment horizontal="left" wrapText="1"/>
    </xf>
    <xf numFmtId="0" fontId="87" fillId="0" borderId="0" xfId="0" applyFont="1" applyAlignment="1">
      <alignment vertical="center" wrapText="1"/>
    </xf>
    <xf numFmtId="0" fontId="74" fillId="0" borderId="0" xfId="0" applyFont="1"/>
    <xf numFmtId="3" fontId="72" fillId="54" borderId="0" xfId="0" applyNumberFormat="1" applyFont="1" applyFill="1"/>
    <xf numFmtId="3" fontId="75" fillId="54" borderId="22" xfId="2" applyNumberFormat="1" applyFont="1" applyFill="1" applyBorder="1" applyAlignment="1" applyProtection="1">
      <alignment horizontal="center" vertical="center" wrapText="1"/>
    </xf>
    <xf numFmtId="3" fontId="75" fillId="54" borderId="1" xfId="2" applyNumberFormat="1" applyFont="1" applyFill="1" applyBorder="1" applyAlignment="1" applyProtection="1">
      <alignment horizontal="center" vertical="center" wrapText="1"/>
    </xf>
    <xf numFmtId="3" fontId="79" fillId="54" borderId="1" xfId="0" applyNumberFormat="1" applyFont="1" applyFill="1" applyBorder="1" applyAlignment="1" applyProtection="1">
      <alignment horizontal="center" vertical="center"/>
    </xf>
    <xf numFmtId="3" fontId="81" fillId="54" borderId="1" xfId="2" applyNumberFormat="1" applyFont="1" applyFill="1" applyBorder="1" applyAlignment="1" applyProtection="1">
      <alignment horizontal="center" vertical="center" wrapText="1"/>
    </xf>
    <xf numFmtId="3" fontId="86" fillId="54" borderId="1" xfId="0" applyNumberFormat="1" applyFont="1" applyFill="1" applyBorder="1" applyAlignment="1" applyProtection="1">
      <alignment horizontal="center" vertical="center"/>
      <protection locked="0"/>
    </xf>
    <xf numFmtId="3" fontId="86" fillId="54" borderId="1" xfId="2" applyNumberFormat="1" applyFont="1" applyFill="1" applyBorder="1" applyAlignment="1" applyProtection="1">
      <alignment horizontal="center" vertical="center" wrapText="1"/>
    </xf>
    <xf numFmtId="3" fontId="86" fillId="54" borderId="1" xfId="0" applyNumberFormat="1" applyFont="1" applyFill="1" applyBorder="1" applyAlignment="1" applyProtection="1">
      <alignment horizontal="center" vertical="center"/>
    </xf>
    <xf numFmtId="3" fontId="87" fillId="54" borderId="1" xfId="0" applyNumberFormat="1" applyFont="1" applyFill="1" applyBorder="1" applyAlignment="1" applyProtection="1">
      <alignment horizontal="center" vertical="center"/>
      <protection locked="0"/>
    </xf>
    <xf numFmtId="3" fontId="86" fillId="54" borderId="1" xfId="2" applyNumberFormat="1" applyFont="1" applyFill="1" applyBorder="1" applyAlignment="1" applyProtection="1">
      <alignment horizontal="center" vertical="center" wrapText="1"/>
      <protection locked="0"/>
    </xf>
    <xf numFmtId="3" fontId="86" fillId="54" borderId="1" xfId="2" applyNumberFormat="1" applyFont="1" applyFill="1" applyBorder="1" applyAlignment="1" applyProtection="1">
      <alignment horizontal="center" vertical="center"/>
      <protection locked="0"/>
    </xf>
    <xf numFmtId="3" fontId="75" fillId="54" borderId="1" xfId="0" applyNumberFormat="1" applyFont="1" applyFill="1" applyBorder="1" applyAlignment="1" applyProtection="1">
      <alignment horizontal="center" vertical="center"/>
    </xf>
    <xf numFmtId="3" fontId="75" fillId="54" borderId="1" xfId="2" applyNumberFormat="1" applyFont="1" applyFill="1" applyBorder="1" applyAlignment="1" applyProtection="1">
      <alignment horizontal="center" vertical="center" wrapText="1"/>
      <protection locked="0"/>
    </xf>
    <xf numFmtId="3" fontId="87" fillId="54" borderId="1" xfId="0" applyNumberFormat="1" applyFont="1" applyFill="1" applyBorder="1" applyAlignment="1" applyProtection="1">
      <alignment horizontal="center" vertical="center"/>
    </xf>
    <xf numFmtId="3" fontId="72" fillId="54" borderId="0" xfId="0" applyNumberFormat="1" applyFont="1" applyFill="1" applyProtection="1">
      <protection locked="0"/>
    </xf>
    <xf numFmtId="3" fontId="86" fillId="54" borderId="0" xfId="2" applyNumberFormat="1" applyFont="1" applyFill="1" applyAlignment="1" applyProtection="1">
      <alignment horizontal="right"/>
      <protection locked="0"/>
    </xf>
    <xf numFmtId="4" fontId="86" fillId="54" borderId="0" xfId="2" applyNumberFormat="1" applyFont="1" applyFill="1" applyAlignment="1" applyProtection="1">
      <alignment horizontal="right" vertical="center"/>
      <protection locked="0"/>
    </xf>
    <xf numFmtId="0" fontId="100" fillId="54" borderId="0" xfId="2" applyFont="1" applyFill="1" applyBorder="1" applyAlignment="1" applyProtection="1">
      <alignment horizontal="left" vertical="center" wrapText="1"/>
      <protection locked="0"/>
    </xf>
    <xf numFmtId="0" fontId="100" fillId="54" borderId="0" xfId="2" applyFont="1" applyFill="1" applyBorder="1" applyAlignment="1" applyProtection="1">
      <alignment horizontal="left" wrapText="1"/>
      <protection locked="0"/>
    </xf>
    <xf numFmtId="0" fontId="87" fillId="54" borderId="0" xfId="0" applyFont="1" applyFill="1" applyProtection="1">
      <protection locked="0"/>
    </xf>
    <xf numFmtId="0" fontId="105" fillId="54" borderId="0" xfId="0" applyFont="1" applyFill="1" applyAlignment="1">
      <alignment horizontal="left" vertical="top" wrapText="1"/>
    </xf>
    <xf numFmtId="0" fontId="72" fillId="54" borderId="0" xfId="0" applyFont="1" applyFill="1"/>
    <xf numFmtId="0" fontId="67" fillId="0" borderId="0" xfId="0" applyFont="1"/>
    <xf numFmtId="0" fontId="46" fillId="0" borderId="0" xfId="0" applyFont="1" applyAlignment="1">
      <alignment horizontal="left"/>
    </xf>
    <xf numFmtId="0" fontId="46" fillId="0" borderId="0" xfId="0" applyFont="1"/>
    <xf numFmtId="0" fontId="46" fillId="0" borderId="0" xfId="0" applyFont="1" applyFill="1"/>
    <xf numFmtId="0" fontId="46" fillId="0" borderId="0" xfId="0" applyFont="1" applyAlignment="1">
      <alignment wrapText="1"/>
    </xf>
    <xf numFmtId="3" fontId="113" fillId="0" borderId="0" xfId="0" applyNumberFormat="1" applyFont="1" applyFill="1" applyBorder="1" applyAlignment="1">
      <alignment horizontal="right" vertical="center" wrapText="1"/>
    </xf>
    <xf numFmtId="0" fontId="65" fillId="0" borderId="0" xfId="0" applyFont="1"/>
    <xf numFmtId="0" fontId="4" fillId="0" borderId="0" xfId="0" applyFont="1"/>
    <xf numFmtId="0" fontId="64" fillId="0" borderId="0" xfId="0" applyFont="1" applyFill="1" applyBorder="1" applyAlignment="1">
      <alignment horizontal="center"/>
    </xf>
    <xf numFmtId="0" fontId="46" fillId="0" borderId="1" xfId="0" applyFont="1" applyBorder="1"/>
    <xf numFmtId="0" fontId="64" fillId="51" borderId="1" xfId="0" applyFont="1" applyFill="1" applyBorder="1" applyAlignment="1">
      <alignment horizontal="center" wrapText="1"/>
    </xf>
    <xf numFmtId="0" fontId="112" fillId="51" borderId="1" xfId="299" applyFont="1" applyFill="1" applyBorder="1" applyAlignment="1" applyProtection="1">
      <alignment horizontal="center" vertical="center" wrapText="1"/>
    </xf>
    <xf numFmtId="4" fontId="112" fillId="51" borderId="1" xfId="299" applyNumberFormat="1" applyFont="1" applyFill="1" applyBorder="1" applyAlignment="1" applyProtection="1">
      <alignment horizontal="center" vertical="center" wrapText="1"/>
    </xf>
    <xf numFmtId="0" fontId="64" fillId="51" borderId="1" xfId="0" applyFont="1" applyFill="1" applyBorder="1" applyAlignment="1">
      <alignment horizontal="center" vertical="center"/>
    </xf>
    <xf numFmtId="0" fontId="3" fillId="51" borderId="1" xfId="299" applyFont="1" applyFill="1" applyBorder="1" applyAlignment="1" applyProtection="1">
      <alignment horizontal="center" vertical="center" wrapText="1"/>
    </xf>
    <xf numFmtId="0" fontId="64" fillId="51" borderId="1" xfId="0" applyFont="1" applyFill="1" applyBorder="1" applyAlignment="1">
      <alignment horizontal="center" vertical="center" wrapText="1"/>
    </xf>
    <xf numFmtId="0" fontId="115" fillId="51" borderId="1" xfId="0" applyFont="1" applyFill="1" applyBorder="1" applyAlignment="1" applyProtection="1">
      <alignment horizontal="center" vertical="center" wrapText="1"/>
    </xf>
    <xf numFmtId="3" fontId="64" fillId="51" borderId="1" xfId="0" applyNumberFormat="1" applyFont="1" applyFill="1" applyBorder="1" applyAlignment="1">
      <alignment horizontal="center" vertical="center"/>
    </xf>
    <xf numFmtId="0" fontId="3" fillId="0" borderId="1" xfId="299" applyFont="1" applyFill="1" applyBorder="1" applyAlignment="1" applyProtection="1">
      <alignment horizontal="center" vertical="center" wrapText="1"/>
    </xf>
    <xf numFmtId="3" fontId="3" fillId="0" borderId="1" xfId="299" applyNumberFormat="1" applyFont="1" applyFill="1" applyBorder="1" applyAlignment="1" applyProtection="1">
      <alignment horizontal="right" vertical="center" wrapText="1"/>
    </xf>
    <xf numFmtId="3" fontId="64" fillId="0" borderId="1" xfId="0" applyNumberFormat="1" applyFont="1" applyBorder="1" applyAlignment="1">
      <alignment vertical="center"/>
    </xf>
    <xf numFmtId="0" fontId="64" fillId="0" borderId="1" xfId="0" applyFont="1" applyBorder="1" applyAlignment="1">
      <alignment wrapText="1"/>
    </xf>
    <xf numFmtId="3" fontId="65" fillId="0" borderId="0" xfId="0" applyNumberFormat="1" applyFont="1"/>
    <xf numFmtId="3" fontId="115" fillId="0" borderId="1" xfId="0" applyNumberFormat="1" applyFont="1" applyFill="1" applyBorder="1" applyAlignment="1" applyProtection="1">
      <alignment horizontal="right" vertical="center" wrapText="1"/>
    </xf>
    <xf numFmtId="172" fontId="115" fillId="0" borderId="1" xfId="0" applyNumberFormat="1" applyFont="1" applyFill="1" applyBorder="1" applyAlignment="1" applyProtection="1">
      <alignment horizontal="right" vertical="center" wrapText="1"/>
    </xf>
    <xf numFmtId="0" fontId="64" fillId="0" borderId="0" xfId="0" applyFont="1"/>
    <xf numFmtId="3" fontId="64" fillId="0" borderId="1" xfId="0" applyNumberFormat="1" applyFont="1" applyBorder="1"/>
    <xf numFmtId="172" fontId="64" fillId="0" borderId="1" xfId="0" applyNumberFormat="1" applyFont="1" applyBorder="1"/>
    <xf numFmtId="3" fontId="46" fillId="0" borderId="0" xfId="0" applyNumberFormat="1" applyFont="1"/>
    <xf numFmtId="0" fontId="112" fillId="51" borderId="1" xfId="299" applyFont="1" applyFill="1" applyBorder="1" applyAlignment="1" applyProtection="1">
      <alignment horizontal="left" vertical="center" wrapText="1"/>
    </xf>
    <xf numFmtId="3" fontId="112" fillId="51" borderId="1" xfId="299" applyNumberFormat="1" applyFont="1" applyFill="1" applyBorder="1" applyAlignment="1" applyProtection="1">
      <alignment horizontal="right" vertical="center" wrapText="1"/>
    </xf>
    <xf numFmtId="3" fontId="46" fillId="51" borderId="1" xfId="0" applyNumberFormat="1" applyFont="1" applyFill="1" applyBorder="1" applyAlignment="1">
      <alignment vertical="center"/>
    </xf>
    <xf numFmtId="0" fontId="46" fillId="51" borderId="1" xfId="0" applyFont="1" applyFill="1" applyBorder="1" applyAlignment="1">
      <alignment wrapText="1"/>
    </xf>
    <xf numFmtId="3" fontId="115" fillId="51" borderId="1" xfId="0" applyNumberFormat="1" applyFont="1" applyFill="1" applyBorder="1" applyAlignment="1" applyProtection="1">
      <alignment horizontal="right" vertical="center" wrapText="1"/>
    </xf>
    <xf numFmtId="0" fontId="46" fillId="51" borderId="1" xfId="0" applyFont="1" applyFill="1" applyBorder="1"/>
    <xf numFmtId="172" fontId="46" fillId="51" borderId="1" xfId="0" applyNumberFormat="1" applyFont="1" applyFill="1" applyBorder="1"/>
    <xf numFmtId="3" fontId="46" fillId="51" borderId="1" xfId="0" applyNumberFormat="1" applyFont="1" applyFill="1" applyBorder="1"/>
    <xf numFmtId="3" fontId="118" fillId="0" borderId="0" xfId="0" applyNumberFormat="1" applyFont="1"/>
    <xf numFmtId="0" fontId="112" fillId="0" borderId="1" xfId="299" applyFont="1" applyFill="1" applyBorder="1" applyAlignment="1" applyProtection="1">
      <alignment horizontal="center" vertical="center" wrapText="1"/>
    </xf>
    <xf numFmtId="3" fontId="112" fillId="0" borderId="1" xfId="299" applyNumberFormat="1" applyFont="1" applyFill="1" applyBorder="1" applyAlignment="1" applyProtection="1">
      <alignment horizontal="right" vertical="center" wrapText="1"/>
    </xf>
    <xf numFmtId="3" fontId="119" fillId="0" borderId="1" xfId="299" applyNumberFormat="1" applyFont="1" applyFill="1" applyBorder="1" applyAlignment="1" applyProtection="1">
      <alignment horizontal="right" vertical="center" wrapText="1"/>
    </xf>
    <xf numFmtId="0" fontId="46" fillId="0" borderId="1" xfId="0" applyFont="1" applyBorder="1" applyAlignment="1">
      <alignment wrapText="1"/>
    </xf>
    <xf numFmtId="172" fontId="112" fillId="0" borderId="1" xfId="299" applyNumberFormat="1" applyFont="1" applyFill="1" applyBorder="1" applyAlignment="1" applyProtection="1">
      <alignment horizontal="right" vertical="center" wrapText="1"/>
    </xf>
    <xf numFmtId="3" fontId="46" fillId="0" borderId="1" xfId="0" applyNumberFormat="1" applyFont="1" applyBorder="1" applyAlignment="1">
      <alignment vertical="center"/>
    </xf>
    <xf numFmtId="3" fontId="46" fillId="0" borderId="1" xfId="0" applyNumberFormat="1" applyFont="1" applyFill="1" applyBorder="1" applyAlignment="1">
      <alignment vertical="center"/>
    </xf>
    <xf numFmtId="3" fontId="64" fillId="0" borderId="1" xfId="0" applyNumberFormat="1" applyFont="1" applyFill="1" applyBorder="1" applyAlignment="1">
      <alignment vertical="center"/>
    </xf>
    <xf numFmtId="0" fontId="46" fillId="0" borderId="1" xfId="0" applyFont="1" applyBorder="1" applyAlignment="1">
      <alignment horizontal="right" vertical="center"/>
    </xf>
    <xf numFmtId="172" fontId="46" fillId="0" borderId="1" xfId="0" applyNumberFormat="1" applyFont="1" applyBorder="1" applyAlignment="1">
      <alignment horizontal="right" vertical="center"/>
    </xf>
    <xf numFmtId="3" fontId="46" fillId="0" borderId="1" xfId="0" applyNumberFormat="1" applyFont="1" applyBorder="1" applyAlignment="1">
      <alignment horizontal="right" vertical="center"/>
    </xf>
    <xf numFmtId="0" fontId="46" fillId="51" borderId="1" xfId="0" applyFont="1" applyFill="1" applyBorder="1" applyAlignment="1">
      <alignment horizontal="right" vertical="center"/>
    </xf>
    <xf numFmtId="172" fontId="46" fillId="51" borderId="1" xfId="0" applyNumberFormat="1" applyFont="1" applyFill="1" applyBorder="1" applyAlignment="1">
      <alignment horizontal="right" vertical="center"/>
    </xf>
    <xf numFmtId="3" fontId="46" fillId="51" borderId="1" xfId="0" applyNumberFormat="1" applyFont="1" applyFill="1" applyBorder="1" applyAlignment="1">
      <alignment horizontal="right" vertical="center"/>
    </xf>
    <xf numFmtId="3" fontId="112" fillId="51" borderId="1" xfId="299" applyNumberFormat="1" applyFont="1" applyFill="1" applyBorder="1" applyAlignment="1" applyProtection="1">
      <alignment horizontal="center" vertical="center" wrapText="1"/>
    </xf>
    <xf numFmtId="3" fontId="64" fillId="51" borderId="1" xfId="0" applyNumberFormat="1" applyFont="1" applyFill="1" applyBorder="1" applyAlignment="1">
      <alignment vertical="center"/>
    </xf>
    <xf numFmtId="172" fontId="115" fillId="51" borderId="1" xfId="0" applyNumberFormat="1" applyFont="1" applyFill="1" applyBorder="1" applyAlignment="1" applyProtection="1">
      <alignment horizontal="right" vertical="center" wrapText="1"/>
    </xf>
    <xf numFmtId="172" fontId="112" fillId="51" borderId="1" xfId="299" applyNumberFormat="1" applyFont="1" applyFill="1" applyBorder="1" applyAlignment="1" applyProtection="1">
      <alignment horizontal="right" vertical="center" wrapText="1"/>
    </xf>
    <xf numFmtId="0" fontId="112" fillId="0" borderId="1" xfId="299" applyFont="1" applyFill="1" applyBorder="1" applyAlignment="1" applyProtection="1">
      <alignment horizontal="left" vertical="center" wrapText="1"/>
    </xf>
    <xf numFmtId="0" fontId="4" fillId="0" borderId="1" xfId="299" applyFont="1" applyFill="1" applyBorder="1" applyAlignment="1" applyProtection="1">
      <alignment horizontal="center" vertical="center" wrapText="1"/>
    </xf>
    <xf numFmtId="0" fontId="118" fillId="0" borderId="1" xfId="299" applyFont="1" applyFill="1" applyBorder="1" applyAlignment="1" applyProtection="1">
      <alignment horizontal="left" vertical="center" wrapText="1"/>
    </xf>
    <xf numFmtId="0" fontId="118" fillId="0" borderId="1" xfId="299" applyFont="1" applyFill="1" applyBorder="1" applyAlignment="1" applyProtection="1">
      <alignment horizontal="center" vertical="center" wrapText="1"/>
    </xf>
    <xf numFmtId="3" fontId="118" fillId="0" borderId="1" xfId="299" applyNumberFormat="1" applyFont="1" applyFill="1" applyBorder="1" applyAlignment="1" applyProtection="1">
      <alignment horizontal="right" vertical="center"/>
    </xf>
    <xf numFmtId="3" fontId="120" fillId="0" borderId="1" xfId="0" applyNumberFormat="1" applyFont="1" applyFill="1" applyBorder="1" applyAlignment="1" applyProtection="1">
      <alignment horizontal="right" vertical="center" wrapText="1"/>
    </xf>
    <xf numFmtId="3" fontId="4" fillId="0" borderId="1" xfId="0" applyNumberFormat="1" applyFont="1" applyFill="1" applyBorder="1" applyAlignment="1" applyProtection="1">
      <alignment horizontal="right" vertical="center" wrapText="1"/>
    </xf>
    <xf numFmtId="172" fontId="4" fillId="0" borderId="1" xfId="299" applyNumberFormat="1" applyFont="1" applyFill="1" applyBorder="1" applyAlignment="1" applyProtection="1">
      <alignment horizontal="right" vertical="center" wrapText="1"/>
    </xf>
    <xf numFmtId="3" fontId="4" fillId="0" borderId="1" xfId="299" applyNumberFormat="1" applyFont="1" applyFill="1" applyBorder="1" applyAlignment="1" applyProtection="1">
      <alignment horizontal="right" vertical="center" wrapText="1"/>
    </xf>
    <xf numFmtId="3" fontId="46" fillId="54" borderId="1" xfId="0" applyNumberFormat="1" applyFont="1" applyFill="1" applyBorder="1" applyAlignment="1">
      <alignment vertical="center"/>
    </xf>
    <xf numFmtId="3" fontId="121" fillId="0" borderId="1" xfId="300" applyNumberFormat="1" applyFont="1" applyFill="1" applyBorder="1" applyAlignment="1">
      <alignment horizontal="right" vertical="center" wrapText="1"/>
    </xf>
    <xf numFmtId="3" fontId="112" fillId="0" borderId="1" xfId="299" applyNumberFormat="1" applyFont="1" applyFill="1" applyBorder="1" applyAlignment="1" applyProtection="1">
      <alignment horizontal="right" vertical="center"/>
    </xf>
    <xf numFmtId="172" fontId="3" fillId="0" borderId="1" xfId="299" applyNumberFormat="1" applyFont="1" applyFill="1" applyBorder="1" applyAlignment="1" applyProtection="1">
      <alignment horizontal="right" vertical="center" wrapText="1"/>
    </xf>
    <xf numFmtId="0" fontId="122" fillId="0" borderId="1" xfId="299" applyFont="1" applyFill="1" applyBorder="1" applyAlignment="1" applyProtection="1">
      <alignment horizontal="right" vertical="center" wrapText="1"/>
    </xf>
    <xf numFmtId="0" fontId="118" fillId="0" borderId="1" xfId="299" applyFont="1" applyFill="1" applyBorder="1" applyAlignment="1" applyProtection="1">
      <alignment horizontal="center" wrapText="1"/>
    </xf>
    <xf numFmtId="0" fontId="46" fillId="55" borderId="1" xfId="0" applyFont="1" applyFill="1" applyBorder="1" applyAlignment="1">
      <alignment wrapText="1"/>
    </xf>
    <xf numFmtId="0" fontId="118" fillId="0" borderId="1" xfId="299" applyFont="1" applyFill="1" applyBorder="1" applyAlignment="1" applyProtection="1">
      <alignment vertical="center"/>
    </xf>
    <xf numFmtId="3" fontId="118" fillId="54" borderId="1" xfId="299" applyNumberFormat="1" applyFont="1" applyFill="1" applyBorder="1" applyAlignment="1" applyProtection="1">
      <alignment horizontal="right" vertical="center"/>
    </xf>
    <xf numFmtId="0" fontId="46" fillId="54" borderId="1" xfId="0" applyFont="1" applyFill="1" applyBorder="1" applyAlignment="1">
      <alignment wrapText="1"/>
    </xf>
    <xf numFmtId="0" fontId="4" fillId="31" borderId="1" xfId="299" applyFont="1" applyFill="1" applyBorder="1" applyAlignment="1" applyProtection="1">
      <alignment horizontal="center" vertical="center" wrapText="1"/>
    </xf>
    <xf numFmtId="3" fontId="4" fillId="0" borderId="1" xfId="0" applyNumberFormat="1" applyFont="1" applyFill="1" applyBorder="1" applyAlignment="1" applyProtection="1">
      <alignment horizontal="right" vertical="center"/>
    </xf>
    <xf numFmtId="3" fontId="46" fillId="0" borderId="0" xfId="0" applyNumberFormat="1" applyFont="1" applyFill="1" applyAlignment="1">
      <alignment horizontal="center" vertical="center"/>
    </xf>
    <xf numFmtId="0" fontId="118" fillId="54" borderId="1" xfId="299" applyFont="1" applyFill="1" applyBorder="1" applyAlignment="1" applyProtection="1">
      <alignment horizontal="center" vertical="center" wrapText="1"/>
    </xf>
    <xf numFmtId="3" fontId="118" fillId="0" borderId="1" xfId="0" applyNumberFormat="1" applyFont="1" applyBorder="1" applyAlignment="1">
      <alignment vertical="center"/>
    </xf>
    <xf numFmtId="3" fontId="118" fillId="0" borderId="1" xfId="0" applyNumberFormat="1" applyFont="1" applyFill="1" applyBorder="1" applyAlignment="1">
      <alignment vertical="center"/>
    </xf>
    <xf numFmtId="0" fontId="118" fillId="0" borderId="1" xfId="0" applyFont="1" applyBorder="1" applyAlignment="1">
      <alignment wrapText="1"/>
    </xf>
    <xf numFmtId="3" fontId="120" fillId="31" borderId="1" xfId="0" applyNumberFormat="1" applyFont="1" applyFill="1" applyBorder="1" applyAlignment="1" applyProtection="1">
      <alignment horizontal="right" vertical="center" wrapText="1"/>
    </xf>
    <xf numFmtId="3" fontId="124" fillId="0" borderId="1" xfId="0" applyNumberFormat="1" applyFont="1" applyBorder="1" applyAlignment="1">
      <alignment vertical="center"/>
    </xf>
    <xf numFmtId="3" fontId="124" fillId="0" borderId="1" xfId="0" applyNumberFormat="1" applyFont="1" applyFill="1" applyBorder="1" applyAlignment="1">
      <alignment vertical="center"/>
    </xf>
    <xf numFmtId="3" fontId="3" fillId="0" borderId="1" xfId="0" applyNumberFormat="1" applyFont="1" applyFill="1" applyBorder="1" applyAlignment="1" applyProtection="1">
      <alignment horizontal="right" vertical="center" wrapText="1"/>
    </xf>
    <xf numFmtId="0" fontId="3" fillId="51" borderId="1" xfId="299" applyFont="1" applyFill="1" applyBorder="1" applyAlignment="1" applyProtection="1">
      <alignment horizontal="left" vertical="center" wrapText="1"/>
    </xf>
    <xf numFmtId="0" fontId="125" fillId="51" borderId="1" xfId="299" applyFont="1" applyFill="1" applyBorder="1" applyAlignment="1" applyProtection="1">
      <alignment horizontal="center" vertical="center" wrapText="1"/>
    </xf>
    <xf numFmtId="3" fontId="125" fillId="51" borderId="1" xfId="299" applyNumberFormat="1" applyFont="1" applyFill="1" applyBorder="1" applyAlignment="1" applyProtection="1">
      <alignment horizontal="right" vertical="center"/>
    </xf>
    <xf numFmtId="3" fontId="115" fillId="51" borderId="1" xfId="0" applyNumberFormat="1" applyFont="1" applyFill="1" applyBorder="1" applyAlignment="1" applyProtection="1">
      <alignment horizontal="right" vertical="center"/>
    </xf>
    <xf numFmtId="3" fontId="115" fillId="0" borderId="1" xfId="0" applyNumberFormat="1" applyFont="1" applyFill="1" applyBorder="1" applyAlignment="1" applyProtection="1">
      <alignment horizontal="right" vertical="center"/>
    </xf>
    <xf numFmtId="0" fontId="3" fillId="0" borderId="1" xfId="299" applyFont="1" applyFill="1" applyBorder="1" applyAlignment="1" applyProtection="1">
      <alignment horizontal="right" vertical="center" wrapText="1"/>
    </xf>
    <xf numFmtId="0" fontId="4" fillId="0" borderId="1" xfId="299" applyFont="1" applyFill="1" applyBorder="1" applyAlignment="1" applyProtection="1">
      <alignment horizontal="right" vertical="center" wrapText="1"/>
    </xf>
    <xf numFmtId="3" fontId="120" fillId="0" borderId="1" xfId="0" applyNumberFormat="1" applyFont="1" applyFill="1" applyBorder="1" applyAlignment="1" applyProtection="1">
      <alignment horizontal="right" vertical="center"/>
    </xf>
    <xf numFmtId="3" fontId="118" fillId="0" borderId="1" xfId="299" applyNumberFormat="1" applyFont="1" applyFill="1" applyBorder="1" applyAlignment="1" applyProtection="1">
      <alignment horizontal="center" vertical="center" wrapText="1"/>
    </xf>
    <xf numFmtId="172" fontId="4" fillId="0" borderId="1" xfId="0" applyNumberFormat="1" applyFont="1" applyFill="1" applyBorder="1" applyAlignment="1" applyProtection="1">
      <alignment horizontal="right" vertical="center" wrapText="1"/>
    </xf>
    <xf numFmtId="172" fontId="3" fillId="0" borderId="1" xfId="0" applyNumberFormat="1" applyFont="1" applyFill="1" applyBorder="1" applyAlignment="1" applyProtection="1">
      <alignment horizontal="right" vertical="center" wrapText="1"/>
    </xf>
    <xf numFmtId="3" fontId="112" fillId="51" borderId="1" xfId="299" applyNumberFormat="1" applyFont="1" applyFill="1" applyBorder="1" applyAlignment="1" applyProtection="1">
      <alignment horizontal="right" vertical="center"/>
    </xf>
    <xf numFmtId="0" fontId="3" fillId="51" borderId="1" xfId="299" applyFont="1" applyFill="1" applyBorder="1" applyAlignment="1" applyProtection="1">
      <alignment vertical="center" wrapText="1"/>
    </xf>
    <xf numFmtId="171" fontId="120" fillId="0" borderId="1" xfId="0" applyNumberFormat="1" applyFont="1" applyFill="1" applyBorder="1" applyAlignment="1" applyProtection="1">
      <alignment horizontal="right" vertical="center" wrapText="1"/>
    </xf>
    <xf numFmtId="0" fontId="4" fillId="0" borderId="1" xfId="299" applyNumberFormat="1" applyFont="1" applyFill="1" applyBorder="1" applyAlignment="1" applyProtection="1">
      <alignment horizontal="center" vertical="center" wrapText="1"/>
    </xf>
    <xf numFmtId="0" fontId="3" fillId="0" borderId="1" xfId="299" applyNumberFormat="1" applyFont="1" applyFill="1" applyBorder="1" applyAlignment="1" applyProtection="1">
      <alignment horizontal="center" vertical="center" wrapText="1"/>
    </xf>
    <xf numFmtId="0" fontId="112" fillId="0" borderId="1" xfId="299" applyNumberFormat="1" applyFont="1" applyFill="1" applyBorder="1" applyAlignment="1" applyProtection="1">
      <alignment horizontal="left" vertical="center" wrapText="1"/>
    </xf>
    <xf numFmtId="0" fontId="112" fillId="0" borderId="1" xfId="299" applyNumberFormat="1" applyFont="1" applyFill="1" applyBorder="1" applyAlignment="1" applyProtection="1">
      <alignment horizontal="center" vertical="center" wrapText="1"/>
    </xf>
    <xf numFmtId="0" fontId="118" fillId="0" borderId="1" xfId="299" applyNumberFormat="1" applyFont="1" applyFill="1" applyBorder="1" applyAlignment="1" applyProtection="1">
      <alignment horizontal="left" vertical="center" wrapText="1"/>
    </xf>
    <xf numFmtId="0" fontId="118" fillId="0" borderId="1" xfId="299" applyNumberFormat="1" applyFont="1" applyFill="1" applyBorder="1" applyAlignment="1" applyProtection="1">
      <alignment horizontal="center" vertical="center" wrapText="1"/>
    </xf>
    <xf numFmtId="0" fontId="118" fillId="0" borderId="1" xfId="299" applyNumberFormat="1" applyFont="1" applyFill="1" applyBorder="1" applyAlignment="1" applyProtection="1">
      <alignment horizontal="right" vertical="center"/>
    </xf>
    <xf numFmtId="2" fontId="4" fillId="0" borderId="1" xfId="299" applyNumberFormat="1" applyFont="1" applyFill="1" applyBorder="1" applyAlignment="1" applyProtection="1">
      <alignment horizontal="center" vertical="center" wrapText="1"/>
    </xf>
    <xf numFmtId="2" fontId="118" fillId="0" borderId="1" xfId="299" applyNumberFormat="1" applyFont="1" applyFill="1" applyBorder="1" applyAlignment="1" applyProtection="1">
      <alignment horizontal="center" vertical="center" wrapText="1"/>
    </xf>
    <xf numFmtId="2" fontId="3" fillId="0" borderId="1" xfId="299" applyNumberFormat="1" applyFont="1" applyFill="1" applyBorder="1" applyAlignment="1" applyProtection="1">
      <alignment horizontal="center" vertical="center" wrapText="1"/>
    </xf>
    <xf numFmtId="2" fontId="112" fillId="0" borderId="1" xfId="299" applyNumberFormat="1" applyFont="1" applyFill="1" applyBorder="1" applyAlignment="1" applyProtection="1">
      <alignment horizontal="left" vertical="center" wrapText="1"/>
    </xf>
    <xf numFmtId="2" fontId="112" fillId="0" borderId="1" xfId="299" applyNumberFormat="1" applyFont="1" applyFill="1" applyBorder="1" applyAlignment="1" applyProtection="1">
      <alignment horizontal="center" vertical="center" wrapText="1"/>
    </xf>
    <xf numFmtId="2" fontId="118" fillId="0" borderId="1" xfId="299" applyNumberFormat="1" applyFont="1" applyFill="1" applyBorder="1" applyAlignment="1" applyProtection="1">
      <alignment horizontal="left" vertical="center" wrapText="1"/>
    </xf>
    <xf numFmtId="171" fontId="120" fillId="31" borderId="1" xfId="0" applyNumberFormat="1" applyFont="1" applyFill="1" applyBorder="1" applyAlignment="1" applyProtection="1">
      <alignment horizontal="right" vertical="center" wrapText="1"/>
    </xf>
    <xf numFmtId="3" fontId="115" fillId="0" borderId="1" xfId="0" applyNumberFormat="1" applyFont="1" applyFill="1" applyBorder="1" applyAlignment="1" applyProtection="1">
      <alignment horizontal="center" vertical="center" wrapText="1"/>
    </xf>
    <xf numFmtId="4" fontId="112" fillId="0" borderId="1" xfId="299" applyNumberFormat="1" applyFont="1" applyFill="1" applyBorder="1" applyAlignment="1" applyProtection="1">
      <alignment horizontal="center" vertical="center" wrapText="1"/>
    </xf>
    <xf numFmtId="4" fontId="4" fillId="0" borderId="1" xfId="299" applyNumberFormat="1" applyFont="1" applyFill="1" applyBorder="1" applyAlignment="1" applyProtection="1">
      <alignment horizontal="center" vertical="center" wrapText="1"/>
    </xf>
    <xf numFmtId="4" fontId="118" fillId="0" borderId="1" xfId="299" applyNumberFormat="1" applyFont="1" applyFill="1" applyBorder="1" applyAlignment="1" applyProtection="1">
      <alignment horizontal="center" vertical="center" wrapText="1"/>
    </xf>
    <xf numFmtId="171" fontId="120" fillId="0" borderId="1" xfId="0" applyNumberFormat="1" applyFont="1" applyFill="1" applyBorder="1" applyAlignment="1" applyProtection="1">
      <alignment horizontal="center" vertical="center" wrapText="1"/>
    </xf>
    <xf numFmtId="4" fontId="118" fillId="0" borderId="1" xfId="299" applyNumberFormat="1" applyFont="1" applyFill="1" applyBorder="1" applyAlignment="1" applyProtection="1">
      <alignment horizontal="left" vertical="center" wrapText="1"/>
    </xf>
    <xf numFmtId="3" fontId="46" fillId="31" borderId="1" xfId="0" applyNumberFormat="1" applyFont="1" applyFill="1" applyBorder="1" applyAlignment="1">
      <alignment vertical="center"/>
    </xf>
    <xf numFmtId="3" fontId="115" fillId="31" borderId="1" xfId="0" applyNumberFormat="1" applyFont="1" applyFill="1" applyBorder="1" applyAlignment="1" applyProtection="1">
      <alignment horizontal="right" vertical="center"/>
    </xf>
    <xf numFmtId="3" fontId="118" fillId="31" borderId="1" xfId="0" applyNumberFormat="1" applyFont="1" applyFill="1" applyBorder="1" applyAlignment="1">
      <alignment vertical="center"/>
    </xf>
    <xf numFmtId="171" fontId="120" fillId="31" borderId="1" xfId="0" applyNumberFormat="1" applyFont="1" applyFill="1" applyBorder="1" applyAlignment="1" applyProtection="1">
      <alignment horizontal="center" vertical="center" wrapText="1"/>
    </xf>
    <xf numFmtId="14" fontId="3" fillId="0" borderId="1" xfId="299" applyNumberFormat="1" applyFont="1" applyFill="1" applyBorder="1" applyAlignment="1" applyProtection="1">
      <alignment horizontal="center" vertical="center" wrapText="1"/>
    </xf>
    <xf numFmtId="3" fontId="114" fillId="31" borderId="1" xfId="299" applyNumberFormat="1" applyFont="1" applyFill="1" applyBorder="1" applyAlignment="1" applyProtection="1">
      <alignment horizontal="right" vertical="center"/>
    </xf>
    <xf numFmtId="3" fontId="114" fillId="0" borderId="1" xfId="0" applyNumberFormat="1" applyFont="1" applyBorder="1" applyAlignment="1">
      <alignment vertical="center"/>
    </xf>
    <xf numFmtId="0" fontId="3" fillId="0" borderId="18" xfId="299" applyFont="1" applyFill="1" applyBorder="1" applyAlignment="1" applyProtection="1">
      <alignment horizontal="center" vertical="center" wrapText="1"/>
    </xf>
    <xf numFmtId="0" fontId="112" fillId="0" borderId="18" xfId="299" applyFont="1" applyFill="1" applyBorder="1" applyAlignment="1" applyProtection="1">
      <alignment horizontal="left" vertical="center" wrapText="1"/>
    </xf>
    <xf numFmtId="0" fontId="112" fillId="0" borderId="18" xfId="299" applyFont="1" applyFill="1" applyBorder="1" applyAlignment="1" applyProtection="1">
      <alignment horizontal="center" vertical="center" wrapText="1"/>
    </xf>
    <xf numFmtId="0" fontId="118" fillId="0" borderId="18" xfId="299" applyFont="1" applyFill="1" applyBorder="1" applyAlignment="1" applyProtection="1">
      <alignment horizontal="center" vertical="center" wrapText="1"/>
    </xf>
    <xf numFmtId="3" fontId="112" fillId="0" borderId="18" xfId="299" applyNumberFormat="1" applyFont="1" applyFill="1" applyBorder="1" applyAlignment="1" applyProtection="1">
      <alignment horizontal="right" vertical="center"/>
    </xf>
    <xf numFmtId="3" fontId="64" fillId="0" borderId="18" xfId="0" applyNumberFormat="1" applyFont="1" applyBorder="1" applyAlignment="1">
      <alignment vertical="center"/>
    </xf>
    <xf numFmtId="3" fontId="64" fillId="0" borderId="18" xfId="0" applyNumberFormat="1" applyFont="1" applyFill="1" applyBorder="1" applyAlignment="1">
      <alignment vertical="center"/>
    </xf>
    <xf numFmtId="3" fontId="46" fillId="0" borderId="18" xfId="0" applyNumberFormat="1" applyFont="1" applyBorder="1" applyAlignment="1">
      <alignment vertical="center"/>
    </xf>
    <xf numFmtId="0" fontId="46" fillId="0" borderId="18" xfId="0" applyFont="1" applyBorder="1" applyAlignment="1">
      <alignment wrapText="1"/>
    </xf>
    <xf numFmtId="3" fontId="115" fillId="31" borderId="1" xfId="0" applyNumberFormat="1" applyFont="1" applyFill="1" applyBorder="1" applyAlignment="1" applyProtection="1">
      <alignment horizontal="right" vertical="center" wrapText="1"/>
    </xf>
    <xf numFmtId="3" fontId="64" fillId="0" borderId="1" xfId="0" applyNumberFormat="1" applyFont="1" applyBorder="1" applyAlignment="1">
      <alignment horizontal="right" vertical="center"/>
    </xf>
    <xf numFmtId="0" fontId="4" fillId="0" borderId="1" xfId="0" applyFont="1" applyBorder="1"/>
    <xf numFmtId="3" fontId="46" fillId="0" borderId="1" xfId="0" applyNumberFormat="1" applyFont="1" applyFill="1" applyBorder="1"/>
    <xf numFmtId="3" fontId="115" fillId="0" borderId="13" xfId="0" applyNumberFormat="1" applyFont="1" applyFill="1" applyBorder="1" applyAlignment="1" applyProtection="1">
      <alignment horizontal="right" vertical="center" wrapText="1"/>
    </xf>
    <xf numFmtId="0" fontId="46" fillId="0" borderId="1" xfId="0" applyFont="1" applyFill="1" applyBorder="1"/>
    <xf numFmtId="3" fontId="115" fillId="0" borderId="14" xfId="0" applyNumberFormat="1" applyFont="1" applyFill="1" applyBorder="1" applyAlignment="1" applyProtection="1">
      <alignment horizontal="right" vertical="center" wrapText="1"/>
      <protection locked="0"/>
    </xf>
    <xf numFmtId="0" fontId="3" fillId="0" borderId="1" xfId="0" applyFont="1" applyBorder="1"/>
    <xf numFmtId="0" fontId="64" fillId="0" borderId="1" xfId="0" applyFont="1" applyBorder="1"/>
    <xf numFmtId="3" fontId="64" fillId="0" borderId="1" xfId="0" applyNumberFormat="1" applyFont="1" applyFill="1" applyBorder="1"/>
    <xf numFmtId="3" fontId="64" fillId="0" borderId="0" xfId="0" applyNumberFormat="1" applyFont="1" applyFill="1"/>
    <xf numFmtId="172" fontId="64" fillId="0" borderId="0" xfId="0" applyNumberFormat="1" applyFont="1" applyFill="1"/>
    <xf numFmtId="3" fontId="46" fillId="0" borderId="0" xfId="0" applyNumberFormat="1" applyFont="1" applyFill="1"/>
    <xf numFmtId="172" fontId="65" fillId="0" borderId="0" xfId="0" applyNumberFormat="1" applyFont="1" applyFill="1"/>
    <xf numFmtId="3" fontId="120" fillId="0" borderId="0" xfId="0" applyNumberFormat="1" applyFont="1" applyAlignment="1">
      <alignment horizontal="right" vertical="center"/>
    </xf>
    <xf numFmtId="0" fontId="3" fillId="0" borderId="1" xfId="0" applyFont="1" applyBorder="1" applyAlignment="1">
      <alignment horizontal="right"/>
    </xf>
    <xf numFmtId="0" fontId="127" fillId="0" borderId="1" xfId="0" applyFont="1" applyFill="1" applyBorder="1" applyAlignment="1">
      <alignment horizontal="left" vertical="top" wrapText="1"/>
    </xf>
    <xf numFmtId="0" fontId="0" fillId="0" borderId="0" xfId="0" applyFill="1"/>
    <xf numFmtId="0" fontId="66" fillId="60" borderId="1" xfId="0" applyFont="1" applyFill="1" applyBorder="1" applyAlignment="1">
      <alignment horizontal="center" vertical="center" wrapText="1"/>
    </xf>
    <xf numFmtId="0" fontId="95" fillId="0" borderId="0" xfId="0" applyFont="1"/>
    <xf numFmtId="0" fontId="95" fillId="0" borderId="0" xfId="0" applyFont="1" applyBorder="1" applyAlignment="1">
      <alignment horizontal="center" vertical="center" wrapText="1"/>
    </xf>
    <xf numFmtId="0" fontId="95" fillId="0" borderId="0" xfId="0" applyFont="1" applyBorder="1" applyAlignment="1">
      <alignment horizontal="left" vertical="top" wrapText="1"/>
    </xf>
    <xf numFmtId="3" fontId="95" fillId="0" borderId="0" xfId="0" applyNumberFormat="1" applyFont="1" applyBorder="1" applyAlignment="1">
      <alignment horizontal="right" vertical="center"/>
    </xf>
    <xf numFmtId="3" fontId="95" fillId="0" borderId="0" xfId="0" applyNumberFormat="1" applyFont="1" applyFill="1" applyBorder="1" applyAlignment="1">
      <alignment horizontal="right" vertical="center"/>
    </xf>
    <xf numFmtId="0" fontId="148" fillId="0" borderId="1" xfId="0" applyFont="1" applyBorder="1" applyAlignment="1">
      <alignment horizontal="left" vertical="top" wrapText="1"/>
    </xf>
    <xf numFmtId="0" fontId="148" fillId="0" borderId="0" xfId="0" applyFont="1"/>
    <xf numFmtId="0" fontId="5" fillId="0" borderId="0" xfId="0" applyFont="1"/>
    <xf numFmtId="0" fontId="7" fillId="0" borderId="30" xfId="0" applyFont="1" applyFill="1" applyBorder="1" applyAlignment="1">
      <alignment horizontal="center" vertical="center" wrapText="1"/>
    </xf>
    <xf numFmtId="0" fontId="63" fillId="0" borderId="0" xfId="0" applyFont="1" applyBorder="1" applyAlignment="1">
      <alignment vertical="center"/>
    </xf>
    <xf numFmtId="0" fontId="63" fillId="0" borderId="0" xfId="0" applyFont="1" applyFill="1" applyAlignment="1">
      <alignment horizontal="center" vertical="center"/>
    </xf>
    <xf numFmtId="3" fontId="0" fillId="0" borderId="0" xfId="0" applyNumberFormat="1"/>
    <xf numFmtId="0" fontId="148" fillId="0" borderId="1" xfId="0" applyFont="1" applyFill="1" applyBorder="1" applyAlignment="1">
      <alignment horizontal="left" vertical="top" wrapText="1"/>
    </xf>
    <xf numFmtId="0" fontId="148" fillId="0" borderId="1" xfId="0" applyFont="1" applyFill="1" applyBorder="1" applyAlignment="1">
      <alignment vertical="center" wrapText="1"/>
    </xf>
    <xf numFmtId="0" fontId="148" fillId="0" borderId="30" xfId="0" applyFont="1" applyFill="1" applyBorder="1" applyAlignment="1">
      <alignment horizontal="center" wrapText="1"/>
    </xf>
    <xf numFmtId="0" fontId="148" fillId="0" borderId="30" xfId="0" applyFont="1" applyFill="1" applyBorder="1" applyAlignment="1">
      <alignment horizontal="center" vertical="center" wrapText="1"/>
    </xf>
    <xf numFmtId="0" fontId="148" fillId="0" borderId="31" xfId="0" applyFont="1" applyBorder="1" applyAlignment="1">
      <alignment horizontal="center" vertical="center" wrapText="1"/>
    </xf>
    <xf numFmtId="0" fontId="148" fillId="0" borderId="32" xfId="0" applyFont="1" applyBorder="1" applyAlignment="1">
      <alignment horizontal="left" vertical="top" wrapText="1"/>
    </xf>
    <xf numFmtId="0" fontId="151" fillId="0" borderId="0" xfId="0" applyFont="1" applyFill="1"/>
    <xf numFmtId="0" fontId="152" fillId="0" borderId="0" xfId="0" applyFont="1" applyAlignment="1">
      <alignment wrapText="1"/>
    </xf>
    <xf numFmtId="0" fontId="148" fillId="0" borderId="30" xfId="0" applyFont="1" applyBorder="1" applyAlignment="1">
      <alignment horizontal="center" vertical="center" wrapText="1"/>
    </xf>
    <xf numFmtId="174" fontId="148" fillId="0" borderId="30" xfId="480" applyNumberFormat="1" applyFont="1" applyFill="1" applyBorder="1" applyAlignment="1">
      <alignment horizontal="center" vertical="center" wrapText="1"/>
    </xf>
    <xf numFmtId="174" fontId="148" fillId="0" borderId="1" xfId="480" applyNumberFormat="1" applyFont="1" applyFill="1" applyBorder="1" applyAlignment="1">
      <alignment horizontal="left" vertical="top" wrapText="1"/>
    </xf>
    <xf numFmtId="174" fontId="148" fillId="0" borderId="0" xfId="480" applyNumberFormat="1" applyFont="1" applyFill="1"/>
    <xf numFmtId="3" fontId="0" fillId="0" borderId="0" xfId="0" applyNumberFormat="1" applyFill="1"/>
    <xf numFmtId="3" fontId="5" fillId="0" borderId="0" xfId="0" applyNumberFormat="1" applyFont="1"/>
    <xf numFmtId="9" fontId="0" fillId="0" borderId="0" xfId="481" applyFont="1" applyFill="1"/>
    <xf numFmtId="0" fontId="152" fillId="0" borderId="0" xfId="0" applyFont="1" applyAlignment="1"/>
    <xf numFmtId="0" fontId="153" fillId="0" borderId="0" xfId="482"/>
    <xf numFmtId="3" fontId="66" fillId="58" borderId="36" xfId="0" applyNumberFormat="1" applyFont="1" applyFill="1" applyBorder="1" applyAlignment="1">
      <alignment horizontal="center" vertical="center"/>
    </xf>
    <xf numFmtId="3" fontId="63" fillId="58" borderId="36" xfId="0" applyNumberFormat="1" applyFont="1" applyFill="1" applyBorder="1" applyAlignment="1">
      <alignment horizontal="center" vertical="center"/>
    </xf>
    <xf numFmtId="3" fontId="127" fillId="0" borderId="1" xfId="0" applyNumberFormat="1" applyFont="1" applyFill="1" applyBorder="1" applyAlignment="1">
      <alignment horizontal="center" vertical="center"/>
    </xf>
    <xf numFmtId="3" fontId="62" fillId="0" borderId="1" xfId="0" applyNumberFormat="1" applyFont="1" applyFill="1" applyBorder="1" applyAlignment="1">
      <alignment horizontal="center" vertical="center"/>
    </xf>
    <xf numFmtId="3" fontId="148" fillId="0" borderId="1" xfId="0" applyNumberFormat="1" applyFont="1" applyBorder="1" applyAlignment="1">
      <alignment horizontal="center" vertical="center"/>
    </xf>
    <xf numFmtId="3" fontId="148"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174" fontId="148" fillId="0" borderId="1" xfId="480" applyNumberFormat="1" applyFont="1" applyFill="1" applyBorder="1" applyAlignment="1">
      <alignment horizontal="center" vertical="center"/>
    </xf>
    <xf numFmtId="3" fontId="148" fillId="0" borderId="1" xfId="480" applyNumberFormat="1" applyFont="1" applyFill="1" applyBorder="1" applyAlignment="1">
      <alignment horizontal="center" vertical="center"/>
    </xf>
    <xf numFmtId="1" fontId="148" fillId="0" borderId="1" xfId="480" applyNumberFormat="1" applyFont="1" applyFill="1" applyBorder="1" applyAlignment="1">
      <alignment horizontal="center" vertical="center"/>
    </xf>
    <xf numFmtId="3" fontId="150" fillId="0" borderId="1" xfId="0" applyNumberFormat="1" applyFont="1" applyFill="1" applyBorder="1" applyAlignment="1">
      <alignment horizontal="center" vertical="center"/>
    </xf>
    <xf numFmtId="3" fontId="148" fillId="0" borderId="0" xfId="0" applyNumberFormat="1" applyFont="1" applyFill="1" applyBorder="1" applyAlignment="1">
      <alignment horizontal="center"/>
    </xf>
    <xf numFmtId="3" fontId="148" fillId="0" borderId="32" xfId="0" applyNumberFormat="1" applyFont="1" applyBorder="1" applyAlignment="1">
      <alignment horizontal="center" vertical="center"/>
    </xf>
    <xf numFmtId="0" fontId="146" fillId="60" borderId="34" xfId="0" applyFont="1" applyFill="1" applyBorder="1" applyAlignment="1">
      <alignment horizontal="center" vertical="center" wrapText="1"/>
    </xf>
    <xf numFmtId="0" fontId="146" fillId="60" borderId="18" xfId="0" applyFont="1" applyFill="1" applyBorder="1" applyAlignment="1">
      <alignment horizontal="center" vertical="center" wrapText="1"/>
    </xf>
    <xf numFmtId="0" fontId="146" fillId="60" borderId="18" xfId="480" applyNumberFormat="1" applyFont="1" applyFill="1" applyBorder="1" applyAlignment="1">
      <alignment horizontal="center" vertical="center" wrapText="1"/>
    </xf>
    <xf numFmtId="0" fontId="146" fillId="60" borderId="18" xfId="0" applyNumberFormat="1" applyFont="1" applyFill="1" applyBorder="1" applyAlignment="1">
      <alignment horizontal="center" vertical="center" wrapText="1"/>
    </xf>
    <xf numFmtId="2" fontId="146" fillId="60" borderId="18" xfId="0" applyNumberFormat="1" applyFont="1" applyFill="1" applyBorder="1" applyAlignment="1">
      <alignment horizontal="center" vertical="center" wrapText="1"/>
    </xf>
    <xf numFmtId="0" fontId="149" fillId="59" borderId="41" xfId="0" applyFont="1" applyFill="1" applyBorder="1" applyAlignment="1">
      <alignment horizontal="left" vertical="center" wrapText="1"/>
    </xf>
    <xf numFmtId="0" fontId="149" fillId="59" borderId="17" xfId="0" applyFont="1" applyFill="1" applyBorder="1" applyAlignment="1">
      <alignment horizontal="left" vertical="center" wrapText="1"/>
    </xf>
    <xf numFmtId="0" fontId="149" fillId="59" borderId="13" xfId="0" applyFont="1" applyFill="1" applyBorder="1" applyAlignment="1">
      <alignment horizontal="left" vertical="center" wrapText="1"/>
    </xf>
    <xf numFmtId="0" fontId="128" fillId="59" borderId="41" xfId="0" applyFont="1" applyFill="1" applyBorder="1" applyAlignment="1">
      <alignment horizontal="left" vertical="center" wrapText="1"/>
    </xf>
    <xf numFmtId="0" fontId="128" fillId="59" borderId="17" xfId="0" applyFont="1" applyFill="1" applyBorder="1" applyAlignment="1">
      <alignment horizontal="left" vertical="center" wrapText="1"/>
    </xf>
    <xf numFmtId="0" fontId="128" fillId="59" borderId="13" xfId="0" applyFont="1" applyFill="1" applyBorder="1" applyAlignment="1">
      <alignment horizontal="left" vertical="center" wrapText="1"/>
    </xf>
    <xf numFmtId="0" fontId="128" fillId="59" borderId="42" xfId="0" applyFont="1" applyFill="1" applyBorder="1" applyAlignment="1">
      <alignment horizontal="left" vertical="center" wrapText="1"/>
    </xf>
    <xf numFmtId="0" fontId="128" fillId="59" borderId="39" xfId="0" applyFont="1" applyFill="1" applyBorder="1" applyAlignment="1">
      <alignment horizontal="left" vertical="center" wrapText="1"/>
    </xf>
    <xf numFmtId="0" fontId="128" fillId="59" borderId="38" xfId="0" applyFont="1" applyFill="1" applyBorder="1" applyAlignment="1">
      <alignment horizontal="left" vertical="center" wrapText="1"/>
    </xf>
    <xf numFmtId="0" fontId="66" fillId="58" borderId="35" xfId="0" applyFont="1" applyFill="1" applyBorder="1" applyAlignment="1">
      <alignment horizontal="right" vertical="center"/>
    </xf>
    <xf numFmtId="0" fontId="66" fillId="58" borderId="36" xfId="0" applyFont="1" applyFill="1" applyBorder="1" applyAlignment="1">
      <alignment horizontal="right" vertical="center"/>
    </xf>
    <xf numFmtId="0" fontId="66" fillId="60" borderId="37" xfId="0" applyFont="1" applyFill="1" applyBorder="1" applyAlignment="1">
      <alignment horizontal="center" vertical="center" wrapText="1"/>
    </xf>
    <xf numFmtId="0" fontId="66" fillId="60" borderId="39" xfId="0" applyFont="1" applyFill="1" applyBorder="1" applyAlignment="1">
      <alignment horizontal="center" vertical="center" wrapText="1"/>
    </xf>
    <xf numFmtId="0" fontId="66" fillId="60" borderId="38" xfId="0" applyFont="1" applyFill="1" applyBorder="1" applyAlignment="1">
      <alignment horizontal="center" vertical="center" wrapText="1"/>
    </xf>
    <xf numFmtId="0" fontId="67" fillId="0" borderId="43" xfId="0" applyFont="1" applyBorder="1" applyAlignment="1">
      <alignment horizontal="center" vertical="center"/>
    </xf>
    <xf numFmtId="0" fontId="62" fillId="0" borderId="0" xfId="0" applyFont="1" applyBorder="1" applyAlignment="1">
      <alignment horizontal="center" vertical="center" wrapText="1"/>
    </xf>
    <xf numFmtId="0" fontId="66" fillId="60" borderId="29" xfId="0" applyFont="1" applyFill="1" applyBorder="1" applyAlignment="1">
      <alignment horizontal="center" vertical="center" wrapText="1"/>
    </xf>
    <xf numFmtId="0" fontId="66" fillId="60" borderId="30" xfId="0" applyFont="1" applyFill="1" applyBorder="1" applyAlignment="1">
      <alignment wrapText="1"/>
    </xf>
    <xf numFmtId="0" fontId="66" fillId="60" borderId="33" xfId="0" applyFont="1" applyFill="1" applyBorder="1" applyAlignment="1">
      <alignment horizontal="center" vertical="center" wrapText="1"/>
    </xf>
    <xf numFmtId="0" fontId="66" fillId="60" borderId="1" xfId="0" applyFont="1" applyFill="1" applyBorder="1" applyAlignment="1">
      <alignment wrapText="1"/>
    </xf>
    <xf numFmtId="0" fontId="63" fillId="60" borderId="1" xfId="0" applyFont="1" applyFill="1" applyBorder="1" applyAlignment="1">
      <alignment wrapText="1"/>
    </xf>
    <xf numFmtId="0" fontId="66" fillId="60" borderId="40" xfId="0" applyFont="1" applyFill="1" applyBorder="1" applyAlignment="1">
      <alignment horizontal="center" vertical="center" wrapText="1"/>
    </xf>
    <xf numFmtId="0" fontId="66" fillId="60" borderId="19" xfId="0" applyFont="1" applyFill="1" applyBorder="1" applyAlignment="1">
      <alignment horizontal="center" vertical="center" wrapText="1"/>
    </xf>
    <xf numFmtId="0" fontId="147" fillId="0" borderId="0" xfId="0" applyFont="1" applyAlignment="1">
      <alignment horizontal="left"/>
    </xf>
    <xf numFmtId="0" fontId="150" fillId="0" borderId="30" xfId="0" applyFont="1" applyFill="1" applyBorder="1" applyAlignment="1">
      <alignment horizontal="right" vertical="center" wrapText="1"/>
    </xf>
    <xf numFmtId="0" fontId="150" fillId="0" borderId="1" xfId="0" applyFont="1" applyFill="1" applyBorder="1" applyAlignment="1">
      <alignment horizontal="right" vertical="center" wrapText="1"/>
    </xf>
    <xf numFmtId="0" fontId="148" fillId="0" borderId="30" xfId="0" applyFont="1" applyBorder="1" applyAlignment="1">
      <alignment horizontal="center" vertical="center" wrapText="1"/>
    </xf>
    <xf numFmtId="0" fontId="100" fillId="0" borderId="0" xfId="2" applyFont="1" applyBorder="1" applyAlignment="1" applyProtection="1">
      <alignment horizontal="left" wrapText="1"/>
      <protection locked="0"/>
    </xf>
    <xf numFmtId="0" fontId="100" fillId="0" borderId="0" xfId="2" applyFont="1" applyFill="1" applyBorder="1" applyAlignment="1" applyProtection="1">
      <alignment horizontal="left" wrapText="1"/>
      <protection locked="0"/>
    </xf>
    <xf numFmtId="0" fontId="100" fillId="0" borderId="0" xfId="2" applyFont="1" applyBorder="1" applyAlignment="1" applyProtection="1">
      <alignment horizontal="left" vertical="top" wrapText="1"/>
      <protection locked="0"/>
    </xf>
    <xf numFmtId="0" fontId="100" fillId="0" borderId="0" xfId="2" applyFont="1" applyBorder="1" applyAlignment="1" applyProtection="1">
      <alignment horizontal="center" wrapText="1"/>
      <protection locked="0"/>
    </xf>
    <xf numFmtId="0" fontId="70" fillId="0" borderId="0" xfId="2" applyFont="1" applyAlignment="1" applyProtection="1">
      <alignment horizontal="center"/>
      <protection locked="0"/>
    </xf>
    <xf numFmtId="0" fontId="73" fillId="0" borderId="0" xfId="2" applyFont="1" applyBorder="1" applyAlignment="1" applyProtection="1">
      <alignment horizontal="center"/>
      <protection locked="0"/>
    </xf>
    <xf numFmtId="0" fontId="79" fillId="31" borderId="1" xfId="2" applyFont="1" applyFill="1" applyBorder="1" applyAlignment="1" applyProtection="1">
      <alignment horizontal="center" vertical="center" wrapText="1"/>
      <protection locked="0"/>
    </xf>
    <xf numFmtId="0" fontId="0" fillId="0" borderId="0" xfId="0" applyAlignment="1">
      <alignment horizontal="left" wrapText="1"/>
    </xf>
    <xf numFmtId="0" fontId="64" fillId="0" borderId="0" xfId="0" applyFont="1" applyAlignment="1">
      <alignment horizontal="center" wrapText="1"/>
    </xf>
    <xf numFmtId="0" fontId="64" fillId="51" borderId="18" xfId="0" applyFont="1" applyFill="1" applyBorder="1" applyAlignment="1">
      <alignment horizontal="center" vertical="center" wrapText="1"/>
    </xf>
    <xf numFmtId="0" fontId="64" fillId="51" borderId="16" xfId="0" applyFont="1" applyFill="1" applyBorder="1" applyAlignment="1">
      <alignment horizontal="center" vertical="center" wrapText="1"/>
    </xf>
    <xf numFmtId="0" fontId="64" fillId="51" borderId="19" xfId="0" applyFont="1" applyFill="1" applyBorder="1" applyAlignment="1">
      <alignment horizontal="center" vertical="center" wrapText="1"/>
    </xf>
    <xf numFmtId="4" fontId="113" fillId="51" borderId="1" xfId="0" applyNumberFormat="1" applyFont="1" applyFill="1" applyBorder="1" applyAlignment="1">
      <alignment horizontal="center" vertical="center" wrapText="1"/>
    </xf>
    <xf numFmtId="4" fontId="113" fillId="51" borderId="18" xfId="0" applyNumberFormat="1" applyFont="1" applyFill="1" applyBorder="1" applyAlignment="1">
      <alignment horizontal="center" vertical="center" wrapText="1"/>
    </xf>
    <xf numFmtId="4" fontId="113" fillId="51" borderId="19" xfId="0" applyNumberFormat="1" applyFont="1" applyFill="1" applyBorder="1" applyAlignment="1">
      <alignment horizontal="center" vertical="center" wrapText="1"/>
    </xf>
    <xf numFmtId="4" fontId="117" fillId="51" borderId="18" xfId="0" applyNumberFormat="1" applyFont="1" applyFill="1" applyBorder="1" applyAlignment="1">
      <alignment horizontal="center" vertical="center" wrapText="1"/>
    </xf>
    <xf numFmtId="4" fontId="117" fillId="51" borderId="19" xfId="0" applyNumberFormat="1" applyFont="1" applyFill="1" applyBorder="1" applyAlignment="1">
      <alignment horizontal="center" vertical="center" wrapText="1"/>
    </xf>
    <xf numFmtId="3" fontId="4" fillId="0" borderId="0" xfId="0" applyNumberFormat="1" applyFont="1" applyFill="1" applyBorder="1" applyAlignment="1" applyProtection="1">
      <alignment horizontal="center" vertical="center" wrapText="1"/>
    </xf>
    <xf numFmtId="0" fontId="64" fillId="51" borderId="1" xfId="0" applyFont="1" applyFill="1" applyBorder="1" applyAlignment="1">
      <alignment horizontal="center"/>
    </xf>
    <xf numFmtId="0" fontId="3" fillId="51" borderId="0" xfId="299" applyFont="1" applyFill="1" applyBorder="1" applyAlignment="1" applyProtection="1">
      <alignment horizontal="center" vertical="center" wrapText="1"/>
    </xf>
    <xf numFmtId="0" fontId="3" fillId="51" borderId="2" xfId="299" applyFont="1" applyFill="1" applyBorder="1" applyAlignment="1" applyProtection="1">
      <alignment horizontal="center" vertical="center" wrapText="1"/>
    </xf>
    <xf numFmtId="0" fontId="112" fillId="51" borderId="1" xfId="299" applyFont="1" applyFill="1" applyBorder="1" applyAlignment="1" applyProtection="1">
      <alignment horizontal="center" vertical="center" wrapText="1"/>
    </xf>
    <xf numFmtId="4" fontId="112" fillId="51" borderId="1" xfId="299" applyNumberFormat="1" applyFont="1" applyFill="1" applyBorder="1" applyAlignment="1" applyProtection="1">
      <alignment horizontal="center" vertical="center" wrapText="1"/>
    </xf>
    <xf numFmtId="0" fontId="64" fillId="51" borderId="1" xfId="0" applyFont="1" applyFill="1" applyBorder="1" applyAlignment="1">
      <alignment horizontal="center" vertical="center" wrapText="1"/>
    </xf>
    <xf numFmtId="0" fontId="64" fillId="51" borderId="1" xfId="0" applyFont="1" applyFill="1" applyBorder="1" applyAlignment="1">
      <alignment horizontal="center" vertical="center"/>
    </xf>
    <xf numFmtId="0" fontId="114" fillId="0" borderId="20" xfId="0" applyFont="1" applyBorder="1" applyAlignment="1">
      <alignment horizontal="center" vertical="center" wrapText="1"/>
    </xf>
    <xf numFmtId="3" fontId="115" fillId="51" borderId="1" xfId="0" applyNumberFormat="1" applyFont="1" applyFill="1" applyBorder="1" applyAlignment="1" applyProtection="1">
      <alignment horizontal="center" vertical="center" wrapText="1"/>
    </xf>
    <xf numFmtId="3" fontId="116" fillId="51" borderId="1" xfId="0" applyNumberFormat="1" applyFont="1" applyFill="1" applyBorder="1" applyAlignment="1" applyProtection="1">
      <alignment horizontal="center" vertical="center" wrapText="1"/>
    </xf>
  </cellXfs>
  <cellStyles count="483">
    <cellStyle name=" 1" xfId="23"/>
    <cellStyle name="20% - Accent1 2" xfId="24"/>
    <cellStyle name="20% - Accent1 3" xfId="323"/>
    <cellStyle name="20% - Accent2 2" xfId="25"/>
    <cellStyle name="20% - Accent2 3" xfId="324"/>
    <cellStyle name="20% - Accent3 2" xfId="26"/>
    <cellStyle name="20% - Accent3 3" xfId="325"/>
    <cellStyle name="20% - Accent4 2" xfId="27"/>
    <cellStyle name="20% - Accent4 3" xfId="326"/>
    <cellStyle name="20% - Accent5 2" xfId="28"/>
    <cellStyle name="20% - Accent5 3" xfId="327"/>
    <cellStyle name="20% - Accent6 2" xfId="29"/>
    <cellStyle name="20% - Accent6 3" xfId="328"/>
    <cellStyle name="40% - Accent1 2" xfId="30"/>
    <cellStyle name="40% - Accent1 3" xfId="329"/>
    <cellStyle name="40% - Accent2 2" xfId="31"/>
    <cellStyle name="40% - Accent2 3" xfId="330"/>
    <cellStyle name="40% - Accent3 2" xfId="32"/>
    <cellStyle name="40% - Accent3 3" xfId="331"/>
    <cellStyle name="40% - Accent4 2" xfId="33"/>
    <cellStyle name="40% - Accent4 3" xfId="332"/>
    <cellStyle name="40% - Accent5 2" xfId="34"/>
    <cellStyle name="40% - Accent5 3" xfId="333"/>
    <cellStyle name="40% - Accent6 2" xfId="35"/>
    <cellStyle name="40% - Accent6 3" xfId="334"/>
    <cellStyle name="60% - Accent1 2" xfId="36"/>
    <cellStyle name="60% - Accent1 3" xfId="335"/>
    <cellStyle name="60% - Accent2 2" xfId="37"/>
    <cellStyle name="60% - Accent2 3" xfId="336"/>
    <cellStyle name="60% - Accent3 2" xfId="38"/>
    <cellStyle name="60% - Accent3 3" xfId="337"/>
    <cellStyle name="60% - Accent4 2" xfId="39"/>
    <cellStyle name="60% - Accent4 3" xfId="338"/>
    <cellStyle name="60% - Accent5 2" xfId="40"/>
    <cellStyle name="60% - Accent5 3" xfId="339"/>
    <cellStyle name="60% - Accent6 2" xfId="41"/>
    <cellStyle name="60% - Accent6 3" xfId="340"/>
    <cellStyle name="Accent1 - 20%" xfId="171"/>
    <cellStyle name="Accent1 - 40%" xfId="172"/>
    <cellStyle name="Accent1 - 60%" xfId="173"/>
    <cellStyle name="Accent1 2" xfId="42"/>
    <cellStyle name="Accent1 3" xfId="341"/>
    <cellStyle name="Accent1 4" xfId="342"/>
    <cellStyle name="Accent1 5" xfId="343"/>
    <cellStyle name="Accent1 6" xfId="344"/>
    <cellStyle name="Accent1 7" xfId="345"/>
    <cellStyle name="Accent2 - 20%" xfId="174"/>
    <cellStyle name="Accent2 - 40%" xfId="175"/>
    <cellStyle name="Accent2 - 60%" xfId="176"/>
    <cellStyle name="Accent2 2" xfId="43"/>
    <cellStyle name="Accent2 3" xfId="346"/>
    <cellStyle name="Accent2 4" xfId="347"/>
    <cellStyle name="Accent2 5" xfId="348"/>
    <cellStyle name="Accent2 6" xfId="349"/>
    <cellStyle name="Accent2 7" xfId="350"/>
    <cellStyle name="Accent3 - 20%" xfId="177"/>
    <cellStyle name="Accent3 - 40%" xfId="178"/>
    <cellStyle name="Accent3 - 60%" xfId="179"/>
    <cellStyle name="Accent3 2" xfId="44"/>
    <cellStyle name="Accent3 3" xfId="351"/>
    <cellStyle name="Accent3 4" xfId="352"/>
    <cellStyle name="Accent3 5" xfId="353"/>
    <cellStyle name="Accent3 6" xfId="354"/>
    <cellStyle name="Accent3 7" xfId="355"/>
    <cellStyle name="Accent4 - 20%" xfId="180"/>
    <cellStyle name="Accent4 - 40%" xfId="181"/>
    <cellStyle name="Accent4 - 60%" xfId="182"/>
    <cellStyle name="Accent4 2" xfId="45"/>
    <cellStyle name="Accent4 3" xfId="356"/>
    <cellStyle name="Accent4 4" xfId="357"/>
    <cellStyle name="Accent4 5" xfId="358"/>
    <cellStyle name="Accent4 6" xfId="359"/>
    <cellStyle name="Accent4 7" xfId="360"/>
    <cellStyle name="Accent5 - 20%" xfId="183"/>
    <cellStyle name="Accent5 - 40%" xfId="184"/>
    <cellStyle name="Accent5 - 60%" xfId="185"/>
    <cellStyle name="Accent5 2" xfId="46"/>
    <cellStyle name="Accent5 3" xfId="361"/>
    <cellStyle name="Accent5 4" xfId="362"/>
    <cellStyle name="Accent5 5" xfId="363"/>
    <cellStyle name="Accent5 6" xfId="364"/>
    <cellStyle name="Accent5 7" xfId="365"/>
    <cellStyle name="Accent6 - 20%" xfId="186"/>
    <cellStyle name="Accent6 - 40%" xfId="187"/>
    <cellStyle name="Accent6 - 60%" xfId="188"/>
    <cellStyle name="Accent6 2" xfId="47"/>
    <cellStyle name="Accent6 3" xfId="366"/>
    <cellStyle name="Accent6 4" xfId="367"/>
    <cellStyle name="Accent6 5" xfId="368"/>
    <cellStyle name="Accent6 6" xfId="369"/>
    <cellStyle name="Accent6 7" xfId="370"/>
    <cellStyle name="Aktivitāte" xfId="169"/>
    <cellStyle name="Aktivitāte 2" xfId="311"/>
    <cellStyle name="Bad 2" xfId="48"/>
    <cellStyle name="Bad 3" xfId="371"/>
    <cellStyle name="Calculation 2" xfId="49"/>
    <cellStyle name="Calculation 2 2" xfId="50"/>
    <cellStyle name="Calculation 2 3" xfId="51"/>
    <cellStyle name="Calculation 3" xfId="372"/>
    <cellStyle name="Check" xfId="52"/>
    <cellStyle name="Check Cell 2" xfId="53"/>
    <cellStyle name="Check Cell 3" xfId="373"/>
    <cellStyle name="Comma" xfId="480" builtinId="3"/>
    <cellStyle name="Comma [0] 2" xfId="14"/>
    <cellStyle name="Comma 10" xfId="314"/>
    <cellStyle name="Comma 11" xfId="322"/>
    <cellStyle name="Comma 12" xfId="474"/>
    <cellStyle name="Comma 13" xfId="479"/>
    <cellStyle name="Comma 2" xfId="54"/>
    <cellStyle name="Comma 3" xfId="55"/>
    <cellStyle name="Comma 3 2" xfId="301"/>
    <cellStyle name="Comma 4" xfId="315"/>
    <cellStyle name="Comma 5" xfId="321"/>
    <cellStyle name="Comma 6" xfId="312"/>
    <cellStyle name="Comma 7" xfId="320"/>
    <cellStyle name="Comma 8" xfId="313"/>
    <cellStyle name="Comma 9" xfId="319"/>
    <cellStyle name="Currency 2" xfId="56"/>
    <cellStyle name="Data" xfId="57"/>
    <cellStyle name="Emphasis 1" xfId="189"/>
    <cellStyle name="Emphasis 2" xfId="190"/>
    <cellStyle name="Emphasis 3" xfId="191"/>
    <cellStyle name="estimation" xfId="58"/>
    <cellStyle name="exo" xfId="59"/>
    <cellStyle name="Explanatory Text 2" xfId="60"/>
    <cellStyle name="Explanatory Text 3" xfId="374"/>
    <cellStyle name="Forecast" xfId="61"/>
    <cellStyle name="Good 2" xfId="62"/>
    <cellStyle name="Good 3" xfId="375"/>
    <cellStyle name="Head1" xfId="63"/>
    <cellStyle name="Heading 1 2" xfId="64"/>
    <cellStyle name="Heading 1 3" xfId="376"/>
    <cellStyle name="Heading 2 2" xfId="65"/>
    <cellStyle name="Heading 2 3" xfId="377"/>
    <cellStyle name="Heading 3 2" xfId="66"/>
    <cellStyle name="Heading 3 3" xfId="378"/>
    <cellStyle name="Heading 4 2" xfId="67"/>
    <cellStyle name="Heading 4 3" xfId="379"/>
    <cellStyle name="Historical" xfId="68"/>
    <cellStyle name="Hyperlink" xfId="482" builtinId="8"/>
    <cellStyle name="Indent0" xfId="69"/>
    <cellStyle name="Indent1" xfId="70"/>
    <cellStyle name="Indent2" xfId="71"/>
    <cellStyle name="Indent3" xfId="72"/>
    <cellStyle name="Indent4" xfId="73"/>
    <cellStyle name="Indent5" xfId="74"/>
    <cellStyle name="info" xfId="75"/>
    <cellStyle name="Input 2" xfId="76"/>
    <cellStyle name="Input 2 2" xfId="77"/>
    <cellStyle name="Input 2 3" xfId="78"/>
    <cellStyle name="Input 3" xfId="380"/>
    <cellStyle name="Koefic." xfId="79"/>
    <cellStyle name="Linked Cell 2" xfId="80"/>
    <cellStyle name="Linked Cell 3" xfId="381"/>
    <cellStyle name="Neutral 2" xfId="81"/>
    <cellStyle name="Neutral 3" xfId="382"/>
    <cellStyle name="Normal" xfId="0" builtinId="0"/>
    <cellStyle name="Normal 10" xfId="9"/>
    <cellStyle name="Normal 10 2" xfId="15"/>
    <cellStyle name="Normal 10 2 2" xfId="271"/>
    <cellStyle name="Normal 10 2 2 2" xfId="383"/>
    <cellStyle name="Normal 10 2 2 3" xfId="384"/>
    <cellStyle name="Normal 10 2 3" xfId="385"/>
    <cellStyle name="Normal 10 2 4" xfId="386"/>
    <cellStyle name="Normal 10 3" xfId="272"/>
    <cellStyle name="Normal 10 3 2" xfId="387"/>
    <cellStyle name="Normal 10 3 3" xfId="388"/>
    <cellStyle name="Normal 10 4" xfId="389"/>
    <cellStyle name="Normal 10 5" xfId="390"/>
    <cellStyle name="Normal 11" xfId="10"/>
    <cellStyle name="Normal 11 2" xfId="16"/>
    <cellStyle name="Normal 11 2 2" xfId="273"/>
    <cellStyle name="Normal 11 2 2 2" xfId="391"/>
    <cellStyle name="Normal 11 2 2 3" xfId="392"/>
    <cellStyle name="Normal 11 2 3" xfId="393"/>
    <cellStyle name="Normal 11 2 4" xfId="394"/>
    <cellStyle name="Normal 11 3" xfId="274"/>
    <cellStyle name="Normal 11 3 2" xfId="395"/>
    <cellStyle name="Normal 11 3 3" xfId="396"/>
    <cellStyle name="Normal 11 4" xfId="397"/>
    <cellStyle name="Normal 11 5" xfId="398"/>
    <cellStyle name="Normal 12" xfId="22"/>
    <cellStyle name="Normal 12 2" xfId="192"/>
    <cellStyle name="Normal 13" xfId="21"/>
    <cellStyle name="Normal 13 2" xfId="299"/>
    <cellStyle name="Normal 13 2 2" xfId="399"/>
    <cellStyle name="Normal 13 2 3" xfId="400"/>
    <cellStyle name="Normal 14" xfId="166"/>
    <cellStyle name="Normal 14 2" xfId="167"/>
    <cellStyle name="Normal 15" xfId="82"/>
    <cellStyle name="Normal 15 2" xfId="193"/>
    <cellStyle name="Normal 15 3" xfId="275"/>
    <cellStyle name="Normal 16" xfId="194"/>
    <cellStyle name="Normal 17" xfId="306"/>
    <cellStyle name="Normal 2" xfId="1"/>
    <cellStyle name="Normal 2 10" xfId="195"/>
    <cellStyle name="Normal 2 11" xfId="196"/>
    <cellStyle name="Normal 2 12" xfId="197"/>
    <cellStyle name="Normal 2 13" xfId="198"/>
    <cellStyle name="Normal 2 14" xfId="199"/>
    <cellStyle name="Normal 2 15" xfId="200"/>
    <cellStyle name="Normal 2 16" xfId="201"/>
    <cellStyle name="Normal 2 17" xfId="202"/>
    <cellStyle name="Normal 2 18" xfId="203"/>
    <cellStyle name="Normal 2 19" xfId="204"/>
    <cellStyle name="Normal 2 2" xfId="2"/>
    <cellStyle name="Normal 2 2 10" xfId="83"/>
    <cellStyle name="Normal 2 2 11" xfId="401"/>
    <cellStyle name="Normal 2 2 2" xfId="205"/>
    <cellStyle name="Normal 2 2 3" xfId="206"/>
    <cellStyle name="Normal 2 2 4" xfId="207"/>
    <cellStyle name="Normal 2 2 5" xfId="208"/>
    <cellStyle name="Normal 2 2 6" xfId="209"/>
    <cellStyle name="Normal 2 2 7" xfId="210"/>
    <cellStyle name="Normal 2 2 8" xfId="276"/>
    <cellStyle name="Normal 2 2 8 2" xfId="402"/>
    <cellStyle name="Normal 2 2 8 3" xfId="403"/>
    <cellStyle name="Normal 2 2 9" xfId="404"/>
    <cellStyle name="Normal 2 20" xfId="211"/>
    <cellStyle name="Normal 2 21" xfId="212"/>
    <cellStyle name="Normal 2 22" xfId="213"/>
    <cellStyle name="Normal 2 23" xfId="214"/>
    <cellStyle name="Normal 2 24" xfId="215"/>
    <cellStyle name="Normal 2 25" xfId="216"/>
    <cellStyle name="Normal 2 26" xfId="217"/>
    <cellStyle name="Normal 2 27" xfId="218"/>
    <cellStyle name="Normal 2 28" xfId="219"/>
    <cellStyle name="Normal 2 29" xfId="220"/>
    <cellStyle name="Normal 2 3" xfId="3"/>
    <cellStyle name="Normal 2 3 2" xfId="84"/>
    <cellStyle name="Normal 2 3 2 2" xfId="302"/>
    <cellStyle name="Normal 2 3 2 2 2" xfId="405"/>
    <cellStyle name="Normal 2 3 2 2 3" xfId="406"/>
    <cellStyle name="Normal 2 3 3" xfId="277"/>
    <cellStyle name="Normal 2 3 3 2" xfId="407"/>
    <cellStyle name="Normal 2 3 3 3" xfId="408"/>
    <cellStyle name="Normal 2 3 4" xfId="409"/>
    <cellStyle name="Normal 2 3 5" xfId="410"/>
    <cellStyle name="Normal 2 30" xfId="221"/>
    <cellStyle name="Normal 2 31" xfId="222"/>
    <cellStyle name="Normal 2 32" xfId="223"/>
    <cellStyle name="Normal 2 33" xfId="224"/>
    <cellStyle name="Normal 2 34" xfId="225"/>
    <cellStyle name="Normal 2 35" xfId="278"/>
    <cellStyle name="Normal 2 35 2" xfId="411"/>
    <cellStyle name="Normal 2 35 3" xfId="412"/>
    <cellStyle name="Normal 2 36" xfId="307"/>
    <cellStyle name="Normal 2 37" xfId="413"/>
    <cellStyle name="Normal 2 4" xfId="11"/>
    <cellStyle name="Normal 2 4 2" xfId="85"/>
    <cellStyle name="Normal 2 4 3" xfId="270"/>
    <cellStyle name="Normal 2 4 3 2" xfId="414"/>
    <cellStyle name="Normal 2 4 3 3" xfId="415"/>
    <cellStyle name="Normal 2 4 4" xfId="269"/>
    <cellStyle name="Normal 2 4 4 2" xfId="416"/>
    <cellStyle name="Normal 2 4 4 3" xfId="417"/>
    <cellStyle name="Normal 2 4 5" xfId="418"/>
    <cellStyle name="Normal 2 4 6" xfId="419"/>
    <cellStyle name="Normal 2 5" xfId="86"/>
    <cellStyle name="Normal 2 5 2" xfId="303"/>
    <cellStyle name="Normal 2 5 2 2" xfId="420"/>
    <cellStyle name="Normal 2 5 2 3" xfId="421"/>
    <cellStyle name="Normal 2 6" xfId="226"/>
    <cellStyle name="Normal 2 6 2" xfId="279"/>
    <cellStyle name="Normal 2 6 2 2" xfId="422"/>
    <cellStyle name="Normal 2 6 2 3" xfId="423"/>
    <cellStyle name="Normal 2 6 3" xfId="424"/>
    <cellStyle name="Normal 2 6 4" xfId="425"/>
    <cellStyle name="Normal 2 7" xfId="227"/>
    <cellStyle name="Normal 2 8" xfId="228"/>
    <cellStyle name="Normal 2 9" xfId="229"/>
    <cellStyle name="Normal 2_JAUNIE_MERKI_2010-2015_plus_100_milj _14 07 2010" xfId="12"/>
    <cellStyle name="Normal 3" xfId="87"/>
    <cellStyle name="Normal 3 2" xfId="168"/>
    <cellStyle name="Normal 3 2 2" xfId="280"/>
    <cellStyle name="Normal 3 2 2 2" xfId="426"/>
    <cellStyle name="Normal 3 2 2 3" xfId="427"/>
    <cellStyle name="Normal 3 2 3" xfId="428"/>
    <cellStyle name="Normal 3 2 4" xfId="429"/>
    <cellStyle name="Normal 3 3" xfId="230"/>
    <cellStyle name="Normal 3 4" xfId="231"/>
    <cellStyle name="Normal 3 4 2" xfId="281"/>
    <cellStyle name="Normal 3 4 2 2" xfId="430"/>
    <cellStyle name="Normal 3 4 2 3" xfId="431"/>
    <cellStyle name="Normal 3 4 3" xfId="432"/>
    <cellStyle name="Normal 3 4 4" xfId="433"/>
    <cellStyle name="Normal 3 5" xfId="232"/>
    <cellStyle name="Normal 3 6" xfId="300"/>
    <cellStyle name="Normal 30" xfId="88"/>
    <cellStyle name="Normal 30 2" xfId="282"/>
    <cellStyle name="Normal 30 3" xfId="89"/>
    <cellStyle name="Normal 30 4" xfId="90"/>
    <cellStyle name="Normal 30 8" xfId="91"/>
    <cellStyle name="Normal 30 9" xfId="92"/>
    <cellStyle name="Normal 39" xfId="93"/>
    <cellStyle name="Normal 39 2" xfId="283"/>
    <cellStyle name="Normal 4" xfId="4"/>
    <cellStyle name="Normal 4 2" xfId="17"/>
    <cellStyle name="Normal 4 2 2" xfId="284"/>
    <cellStyle name="Normal 4 2 2 2" xfId="434"/>
    <cellStyle name="Normal 4 2 2 3" xfId="435"/>
    <cellStyle name="Normal 4 2 3" xfId="436"/>
    <cellStyle name="Normal 4 2 4" xfId="437"/>
    <cellStyle name="Normal 4 3" xfId="94"/>
    <cellStyle name="Normal 4 3 2" xfId="285"/>
    <cellStyle name="Normal 4 4" xfId="286"/>
    <cellStyle name="Normal 4 4 2" xfId="438"/>
    <cellStyle name="Normal 4 4 3" xfId="439"/>
    <cellStyle name="Normal 4 5" xfId="440"/>
    <cellStyle name="Normal 4 6" xfId="441"/>
    <cellStyle name="Normal 40" xfId="95"/>
    <cellStyle name="Normal 40 2" xfId="287"/>
    <cellStyle name="Normal 44" xfId="96"/>
    <cellStyle name="Normal 44 2" xfId="288"/>
    <cellStyle name="Normal 5" xfId="5"/>
    <cellStyle name="Normal 5 2" xfId="18"/>
    <cellStyle name="Normal 5 2 2" xfId="289"/>
    <cellStyle name="Normal 5 2 2 2" xfId="442"/>
    <cellStyle name="Normal 5 2 2 3" xfId="443"/>
    <cellStyle name="Normal 5 2 3" xfId="444"/>
    <cellStyle name="Normal 5 2 4" xfId="445"/>
    <cellStyle name="Normal 5 3" xfId="97"/>
    <cellStyle name="Normal 5 3 2" xfId="290"/>
    <cellStyle name="Normal 5 4" xfId="291"/>
    <cellStyle name="Normal 5 4 2" xfId="446"/>
    <cellStyle name="Normal 5 4 3" xfId="447"/>
    <cellStyle name="Normal 5 5" xfId="448"/>
    <cellStyle name="Normal 5 6" xfId="449"/>
    <cellStyle name="Normal 5_JAUNIE_MERKI_2010-2015_plus_100_milj _14 07 2010" xfId="13"/>
    <cellStyle name="Normal 6" xfId="98"/>
    <cellStyle name="Normal 6 2" xfId="233"/>
    <cellStyle name="Normal 7" xfId="6"/>
    <cellStyle name="Normal 7 2" xfId="99"/>
    <cellStyle name="Normal 7 2 2" xfId="292"/>
    <cellStyle name="Normal 7 3" xfId="293"/>
    <cellStyle name="Normal 7 3 2" xfId="450"/>
    <cellStyle name="Normal 7 3 3" xfId="451"/>
    <cellStyle name="Normal 7 4" xfId="452"/>
    <cellStyle name="Normal 7 5" xfId="453"/>
    <cellStyle name="Normal 8" xfId="7"/>
    <cellStyle name="Normal 8 2" xfId="100"/>
    <cellStyle name="Normal 8 2 2" xfId="294"/>
    <cellStyle name="Normal 8 3" xfId="295"/>
    <cellStyle name="Normal 8 3 2" xfId="454"/>
    <cellStyle name="Normal 8 3 3" xfId="455"/>
    <cellStyle name="Normal 8 4" xfId="456"/>
    <cellStyle name="Normal 8 5" xfId="457"/>
    <cellStyle name="Normal 9" xfId="8"/>
    <cellStyle name="Normal 9 2" xfId="101"/>
    <cellStyle name="Normal 9 3" xfId="296"/>
    <cellStyle name="Normal 9 3 2" xfId="458"/>
    <cellStyle name="Normal 9 3 3" xfId="459"/>
    <cellStyle name="Normal 9 4" xfId="460"/>
    <cellStyle name="Normal 9 5" xfId="461"/>
    <cellStyle name="normálne_4c.  Príloha č. 2 AG + SK_16.05.2005" xfId="19"/>
    <cellStyle name="Note 2" xfId="102"/>
    <cellStyle name="Note 2 2" xfId="103"/>
    <cellStyle name="Note 2 3" xfId="104"/>
    <cellStyle name="Note 3" xfId="462"/>
    <cellStyle name="Output 2" xfId="105"/>
    <cellStyle name="Output 2 2" xfId="106"/>
    <cellStyle name="Output 2 3" xfId="107"/>
    <cellStyle name="Output 3" xfId="463"/>
    <cellStyle name="Parastais 13" xfId="234"/>
    <cellStyle name="Parastais 2" xfId="235"/>
    <cellStyle name="Parastais 2 2" xfId="236"/>
    <cellStyle name="Parastais 2 3" xfId="237"/>
    <cellStyle name="Parastais 2_FMRik_260209_marts_sad1II.variants" xfId="238"/>
    <cellStyle name="Parastais 3" xfId="239"/>
    <cellStyle name="Parastais 4" xfId="240"/>
    <cellStyle name="Parastais 4 2" xfId="297"/>
    <cellStyle name="Parastais 4 2 2" xfId="464"/>
    <cellStyle name="Parastais 4 2 3" xfId="465"/>
    <cellStyle name="Parastais 4 3" xfId="466"/>
    <cellStyle name="Parastais 4 4" xfId="467"/>
    <cellStyle name="Parastais 5" xfId="241"/>
    <cellStyle name="Parastais 6" xfId="242"/>
    <cellStyle name="Parastais_FMLikp01_p05_221205_pap_afp_makp" xfId="243"/>
    <cellStyle name="Percent" xfId="481" builtinId="5"/>
    <cellStyle name="Percent 2" xfId="108"/>
    <cellStyle name="Percent 2 2" xfId="109"/>
    <cellStyle name="Percent 3" xfId="110"/>
    <cellStyle name="Percent 3 2" xfId="304"/>
    <cellStyle name="Percent 4" xfId="170"/>
    <cellStyle name="Percent 4 2" xfId="298"/>
    <cellStyle name="Percent 4 2 2" xfId="305"/>
    <cellStyle name="Percent 4 2 2 2" xfId="318"/>
    <cellStyle name="Percent 4 2 2 3" xfId="468"/>
    <cellStyle name="Percent 4 2 2 3 2" xfId="475"/>
    <cellStyle name="Percent 4 2 3" xfId="317"/>
    <cellStyle name="Percent 4 2 4" xfId="469"/>
    <cellStyle name="Percent 4 2 4 2" xfId="476"/>
    <cellStyle name="Percent 4 3" xfId="316"/>
    <cellStyle name="Percent 4 4" xfId="470"/>
    <cellStyle name="Percent 4 4 2" xfId="477"/>
    <cellStyle name="Percent 5" xfId="308"/>
    <cellStyle name="Percent 5 2" xfId="478"/>
    <cellStyle name="Pie??m." xfId="111"/>
    <cellStyle name="residual" xfId="112"/>
    <cellStyle name="SAPBEXaggData" xfId="113"/>
    <cellStyle name="SAPBEXaggData 2" xfId="244"/>
    <cellStyle name="SAPBEXaggDataEmph" xfId="114"/>
    <cellStyle name="SAPBEXaggDataEmph 2" xfId="245"/>
    <cellStyle name="SAPBEXaggItem" xfId="115"/>
    <cellStyle name="SAPBEXaggItem 2" xfId="246"/>
    <cellStyle name="SAPBEXaggItemX" xfId="116"/>
    <cellStyle name="SAPBEXaggItemX 2" xfId="247"/>
    <cellStyle name="SAPBEXchaText" xfId="117"/>
    <cellStyle name="SAPBEXchaText 2" xfId="248"/>
    <cellStyle name="SAPBEXexcBad7" xfId="118"/>
    <cellStyle name="SAPBEXexcBad8" xfId="119"/>
    <cellStyle name="SAPBEXexcBad9" xfId="120"/>
    <cellStyle name="SAPBEXexcCritical4" xfId="121"/>
    <cellStyle name="SAPBEXexcCritical5" xfId="122"/>
    <cellStyle name="SAPBEXexcCritical6" xfId="123"/>
    <cellStyle name="SAPBEXexcGood1" xfId="124"/>
    <cellStyle name="SAPBEXexcGood2" xfId="125"/>
    <cellStyle name="SAPBEXexcGood3" xfId="126"/>
    <cellStyle name="SAPBEXfilterDrill" xfId="127"/>
    <cellStyle name="SAPBEXfilterItem" xfId="128"/>
    <cellStyle name="SAPBEXfilterText" xfId="129"/>
    <cellStyle name="SAPBEXfilterText 2" xfId="249"/>
    <cellStyle name="SAPBEXformats" xfId="130"/>
    <cellStyle name="SAPBEXheaderItem" xfId="131"/>
    <cellStyle name="SAPBEXheaderText" xfId="132"/>
    <cellStyle name="SAPBEXheaderText 2" xfId="250"/>
    <cellStyle name="SAPBEXHLevel0" xfId="133"/>
    <cellStyle name="SAPBEXHLevel0 2" xfId="251"/>
    <cellStyle name="SAPBEXHLevel0X" xfId="134"/>
    <cellStyle name="SAPBEXHLevel0X 2" xfId="252"/>
    <cellStyle name="SAPBEXHLevel1" xfId="135"/>
    <cellStyle name="SAPBEXHLevel1 2" xfId="253"/>
    <cellStyle name="SAPBEXHLevel1X" xfId="136"/>
    <cellStyle name="SAPBEXHLevel1X 2" xfId="254"/>
    <cellStyle name="SAPBEXHLevel2" xfId="137"/>
    <cellStyle name="SAPBEXHLevel2 2" xfId="255"/>
    <cellStyle name="SAPBEXHLevel2X" xfId="138"/>
    <cellStyle name="SAPBEXHLevel2X 2" xfId="256"/>
    <cellStyle name="SAPBEXHLevel3" xfId="139"/>
    <cellStyle name="SAPBEXHLevel3 2" xfId="257"/>
    <cellStyle name="SAPBEXHLevel3X" xfId="140"/>
    <cellStyle name="SAPBEXHLevel3X 2" xfId="258"/>
    <cellStyle name="SAPBEXinputData" xfId="141"/>
    <cellStyle name="SAPBEXinputData 2" xfId="259"/>
    <cellStyle name="SAPBEXItemHeader" xfId="309"/>
    <cellStyle name="SAPBEXresData" xfId="142"/>
    <cellStyle name="SAPBEXresData 2" xfId="260"/>
    <cellStyle name="SAPBEXresDataEmph" xfId="143"/>
    <cellStyle name="SAPBEXresDataEmph 2" xfId="261"/>
    <cellStyle name="SAPBEXresItem" xfId="144"/>
    <cellStyle name="SAPBEXresItem 2" xfId="262"/>
    <cellStyle name="SAPBEXresItemX" xfId="145"/>
    <cellStyle name="SAPBEXresItemX 2" xfId="263"/>
    <cellStyle name="SAPBEXstdData" xfId="146"/>
    <cellStyle name="SAPBEXstdData 2" xfId="147"/>
    <cellStyle name="SAPBEXstdData_2009 g _150609" xfId="264"/>
    <cellStyle name="SAPBEXstdDataEmph" xfId="148"/>
    <cellStyle name="SAPBEXstdItem" xfId="149"/>
    <cellStyle name="SAPBEXstdItem 2" xfId="150"/>
    <cellStyle name="SAPBEXstdItem 3" xfId="265"/>
    <cellStyle name="SAPBEXstdItem_FMLikp03_081208_15_aprrez" xfId="266"/>
    <cellStyle name="SAPBEXstdItemX" xfId="151"/>
    <cellStyle name="SAPBEXstdItemX 2" xfId="267"/>
    <cellStyle name="SAPBEXtitle" xfId="152"/>
    <cellStyle name="SAPBEXunassignedItem" xfId="310"/>
    <cellStyle name="SAPBEXundefined" xfId="153"/>
    <cellStyle name="Sce_Title" xfId="154"/>
    <cellStyle name="Sheet Title" xfId="268"/>
    <cellStyle name="Stils 1" xfId="155"/>
    <cellStyle name="Style 1" xfId="20"/>
    <cellStyle name="Sub-title" xfId="156"/>
    <cellStyle name="TableStyleLight1" xfId="157"/>
    <cellStyle name="Title 2" xfId="158"/>
    <cellStyle name="Title 3" xfId="159"/>
    <cellStyle name="Title 4" xfId="471"/>
    <cellStyle name="Total 2" xfId="160"/>
    <cellStyle name="Total 2 2" xfId="161"/>
    <cellStyle name="Total 2 3" xfId="162"/>
    <cellStyle name="Total 3" xfId="472"/>
    <cellStyle name="V?st." xfId="163"/>
    <cellStyle name="Warning Text 2" xfId="164"/>
    <cellStyle name="Warning Text 3" xfId="473"/>
    <cellStyle name="Years" xfId="165"/>
  </cellStyles>
  <dxfs count="0"/>
  <tableStyles count="0" defaultTableStyle="TableStyleMedium9" defaultPivotStyle="PivotStyleLight16"/>
  <colors>
    <mruColors>
      <color rgb="FFE5E2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uma.lazdina@fm.gov.lv"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tabSelected="1" view="pageBreakPreview" zoomScale="85" zoomScaleNormal="85" zoomScaleSheetLayoutView="85" zoomScalePageLayoutView="70" workbookViewId="0">
      <selection activeCell="A2" sqref="A2:H2"/>
    </sheetView>
  </sheetViews>
  <sheetFormatPr defaultRowHeight="15.75"/>
  <cols>
    <col min="1" max="1" width="9.5" customWidth="1"/>
    <col min="2" max="2" width="39.875" customWidth="1"/>
    <col min="3" max="4" width="16.875" customWidth="1"/>
    <col min="5" max="5" width="19" customWidth="1"/>
    <col min="6" max="6" width="21.625" customWidth="1"/>
    <col min="7" max="8" width="14" bestFit="1" customWidth="1"/>
    <col min="9" max="9" width="10.375" bestFit="1" customWidth="1"/>
    <col min="10" max="10" width="14.625" customWidth="1"/>
    <col min="11" max="11" width="16" customWidth="1"/>
    <col min="12" max="12" width="13.375" customWidth="1"/>
  </cols>
  <sheetData>
    <row r="1" spans="1:12" ht="16.5" customHeight="1">
      <c r="A1" s="418"/>
      <c r="B1" s="418"/>
      <c r="C1" s="418"/>
      <c r="D1" s="418"/>
      <c r="E1" s="418"/>
      <c r="F1" s="418"/>
      <c r="G1" s="471" t="s">
        <v>1158</v>
      </c>
      <c r="H1" s="471"/>
    </row>
    <row r="2" spans="1:12" ht="23.25" customHeight="1" thickBot="1">
      <c r="A2" s="470" t="s">
        <v>1164</v>
      </c>
      <c r="B2" s="470"/>
      <c r="C2" s="470"/>
      <c r="D2" s="470"/>
      <c r="E2" s="470"/>
      <c r="F2" s="470"/>
      <c r="G2" s="470"/>
      <c r="H2" s="470"/>
    </row>
    <row r="3" spans="1:12" s="407" customFormat="1" ht="31.5" customHeight="1">
      <c r="A3" s="472" t="s">
        <v>1118</v>
      </c>
      <c r="B3" s="474" t="s">
        <v>1146</v>
      </c>
      <c r="C3" s="474" t="s">
        <v>1139</v>
      </c>
      <c r="D3" s="477" t="s">
        <v>1148</v>
      </c>
      <c r="E3" s="467" t="s">
        <v>1138</v>
      </c>
      <c r="F3" s="468"/>
      <c r="G3" s="468"/>
      <c r="H3" s="469"/>
    </row>
    <row r="4" spans="1:12" s="407" customFormat="1">
      <c r="A4" s="473"/>
      <c r="B4" s="475"/>
      <c r="C4" s="476"/>
      <c r="D4" s="478"/>
      <c r="E4" s="408" t="s">
        <v>1141</v>
      </c>
      <c r="F4" s="408" t="s">
        <v>1149</v>
      </c>
      <c r="G4" s="408" t="s">
        <v>1150</v>
      </c>
      <c r="H4" s="408" t="s">
        <v>1151</v>
      </c>
    </row>
    <row r="5" spans="1:12" s="419" customFormat="1" ht="20.25" customHeight="1" thickBot="1">
      <c r="A5" s="451" t="s">
        <v>720</v>
      </c>
      <c r="B5" s="452" t="s">
        <v>865</v>
      </c>
      <c r="C5" s="453" t="s">
        <v>1156</v>
      </c>
      <c r="D5" s="452" t="s">
        <v>1142</v>
      </c>
      <c r="E5" s="452" t="s">
        <v>1143</v>
      </c>
      <c r="F5" s="452" t="s">
        <v>1154</v>
      </c>
      <c r="G5" s="454" t="s">
        <v>204</v>
      </c>
      <c r="H5" s="455" t="s">
        <v>1155</v>
      </c>
    </row>
    <row r="6" spans="1:12" ht="16.5" thickBot="1">
      <c r="A6" s="465" t="s">
        <v>1135</v>
      </c>
      <c r="B6" s="466"/>
      <c r="C6" s="438">
        <f t="shared" ref="C6:H6" si="0">C8+C10+C12+C16+C18+C22+C24</f>
        <v>75077526</v>
      </c>
      <c r="D6" s="438">
        <f t="shared" si="0"/>
        <v>60329215</v>
      </c>
      <c r="E6" s="439">
        <f t="shared" si="0"/>
        <v>14748311</v>
      </c>
      <c r="F6" s="439">
        <f t="shared" si="0"/>
        <v>13131841.3278</v>
      </c>
      <c r="G6" s="439">
        <f t="shared" si="0"/>
        <v>5608891.7249999996</v>
      </c>
      <c r="H6" s="439">
        <f t="shared" si="0"/>
        <v>7522949.7750000004</v>
      </c>
      <c r="I6" s="420"/>
    </row>
    <row r="7" spans="1:12" ht="15.75" customHeight="1">
      <c r="A7" s="462" t="s">
        <v>1119</v>
      </c>
      <c r="B7" s="463"/>
      <c r="C7" s="463"/>
      <c r="D7" s="463"/>
      <c r="E7" s="463"/>
      <c r="F7" s="463"/>
      <c r="G7" s="463"/>
      <c r="H7" s="464"/>
    </row>
    <row r="8" spans="1:12" s="407" customFormat="1">
      <c r="A8" s="417" t="s">
        <v>1120</v>
      </c>
      <c r="B8" s="406" t="s">
        <v>1121</v>
      </c>
      <c r="C8" s="440">
        <v>12586667</v>
      </c>
      <c r="D8" s="440">
        <f>1071551+1734422+4147545</f>
        <v>6953518</v>
      </c>
      <c r="E8" s="441">
        <v>5633149</v>
      </c>
      <c r="F8" s="441">
        <v>5069834</v>
      </c>
      <c r="G8" s="441">
        <v>2174253</v>
      </c>
      <c r="H8" s="441">
        <v>2895581</v>
      </c>
      <c r="I8" s="433"/>
    </row>
    <row r="9" spans="1:12" ht="15.75" customHeight="1">
      <c r="A9" s="459" t="s">
        <v>1140</v>
      </c>
      <c r="B9" s="460"/>
      <c r="C9" s="460"/>
      <c r="D9" s="460"/>
      <c r="E9" s="460"/>
      <c r="F9" s="460"/>
      <c r="G9" s="460"/>
      <c r="H9" s="461"/>
      <c r="I9" s="433"/>
      <c r="K9" s="407"/>
    </row>
    <row r="10" spans="1:12" s="415" customFormat="1" ht="31.5">
      <c r="A10" s="429" t="s">
        <v>1122</v>
      </c>
      <c r="B10" s="414" t="s">
        <v>1123</v>
      </c>
      <c r="C10" s="442">
        <v>11787647</v>
      </c>
      <c r="D10" s="442">
        <f>1738013+3469720+3661098</f>
        <v>8868831</v>
      </c>
      <c r="E10" s="443">
        <v>2918816</v>
      </c>
      <c r="F10" s="443">
        <v>2480994</v>
      </c>
      <c r="G10" s="443">
        <v>868348</v>
      </c>
      <c r="H10" s="443">
        <v>1612646</v>
      </c>
      <c r="I10" s="433"/>
      <c r="K10" s="407"/>
    </row>
    <row r="11" spans="1:12" ht="15.75" customHeight="1">
      <c r="A11" s="456" t="s">
        <v>1124</v>
      </c>
      <c r="B11" s="457"/>
      <c r="C11" s="457"/>
      <c r="D11" s="457"/>
      <c r="E11" s="457"/>
      <c r="F11" s="457"/>
      <c r="G11" s="457"/>
      <c r="H11" s="458"/>
      <c r="I11" s="433"/>
      <c r="K11" s="407"/>
    </row>
    <row r="12" spans="1:12" s="407" customFormat="1" ht="31.5">
      <c r="A12" s="482" t="s">
        <v>1125</v>
      </c>
      <c r="B12" s="421" t="s">
        <v>1157</v>
      </c>
      <c r="C12" s="443">
        <v>15360000</v>
      </c>
      <c r="D12" s="443">
        <f>D13+D14</f>
        <v>13700643</v>
      </c>
      <c r="E12" s="443">
        <f>E13+E14</f>
        <v>1659357</v>
      </c>
      <c r="F12" s="443">
        <f>F13+F14</f>
        <v>1410453</v>
      </c>
      <c r="G12" s="443">
        <f>G13+G14</f>
        <v>199782</v>
      </c>
      <c r="H12" s="443">
        <f>H13+H14</f>
        <v>1210671</v>
      </c>
      <c r="I12" s="433"/>
      <c r="J12" s="433"/>
    </row>
    <row r="13" spans="1:12" s="407" customFormat="1">
      <c r="A13" s="482"/>
      <c r="B13" s="421" t="s">
        <v>1124</v>
      </c>
      <c r="C13" s="443">
        <f>C12-C14</f>
        <v>12416053</v>
      </c>
      <c r="D13" s="443">
        <v>10776557</v>
      </c>
      <c r="E13" s="443">
        <v>1639496</v>
      </c>
      <c r="F13" s="443">
        <v>1393572</v>
      </c>
      <c r="G13" s="443">
        <v>182901</v>
      </c>
      <c r="H13" s="443">
        <v>1210671</v>
      </c>
      <c r="I13" s="433"/>
      <c r="J13" s="433"/>
      <c r="K13" s="433"/>
      <c r="L13" s="433"/>
    </row>
    <row r="14" spans="1:12" s="407" customFormat="1">
      <c r="A14" s="482"/>
      <c r="B14" s="422" t="s">
        <v>1163</v>
      </c>
      <c r="C14" s="444">
        <v>2943947</v>
      </c>
      <c r="D14" s="443">
        <v>2924086</v>
      </c>
      <c r="E14" s="443">
        <v>19861</v>
      </c>
      <c r="F14" s="443">
        <v>16881</v>
      </c>
      <c r="G14" s="443">
        <v>16881</v>
      </c>
      <c r="H14" s="443">
        <v>0</v>
      </c>
      <c r="I14" s="433"/>
      <c r="J14" s="433"/>
      <c r="K14" s="435"/>
    </row>
    <row r="15" spans="1:12" ht="15.75" customHeight="1">
      <c r="A15" s="456" t="s">
        <v>1126</v>
      </c>
      <c r="B15" s="457"/>
      <c r="C15" s="457"/>
      <c r="D15" s="457"/>
      <c r="E15" s="457"/>
      <c r="F15" s="457"/>
      <c r="G15" s="457"/>
      <c r="H15" s="458"/>
      <c r="I15" s="433"/>
      <c r="K15" s="407"/>
    </row>
    <row r="16" spans="1:12" s="432" customFormat="1">
      <c r="A16" s="430" t="s">
        <v>1127</v>
      </c>
      <c r="B16" s="431" t="s">
        <v>1128</v>
      </c>
      <c r="C16" s="445">
        <v>10910526</v>
      </c>
      <c r="D16" s="445">
        <f>6250271+3490993+796656</f>
        <v>10537920</v>
      </c>
      <c r="E16" s="446">
        <v>372606</v>
      </c>
      <c r="F16" s="446">
        <v>353976</v>
      </c>
      <c r="G16" s="446">
        <v>353976</v>
      </c>
      <c r="H16" s="447">
        <v>0</v>
      </c>
      <c r="I16" s="433"/>
      <c r="K16" s="407"/>
    </row>
    <row r="17" spans="1:11" ht="15.75" customHeight="1">
      <c r="A17" s="456" t="s">
        <v>1144</v>
      </c>
      <c r="B17" s="457"/>
      <c r="C17" s="457"/>
      <c r="D17" s="457"/>
      <c r="E17" s="457"/>
      <c r="F17" s="457"/>
      <c r="G17" s="457"/>
      <c r="H17" s="458"/>
      <c r="I17" s="433"/>
      <c r="K17" s="407"/>
    </row>
    <row r="18" spans="1:11" s="407" customFormat="1">
      <c r="A18" s="480" t="s">
        <v>1137</v>
      </c>
      <c r="B18" s="481"/>
      <c r="C18" s="448">
        <f t="shared" ref="C18" si="1">C19+C20</f>
        <v>16851186</v>
      </c>
      <c r="D18" s="448">
        <f>D19+D20</f>
        <v>14216039</v>
      </c>
      <c r="E18" s="448">
        <f>E19+E20</f>
        <v>2635147</v>
      </c>
      <c r="F18" s="448">
        <f>F19+F20</f>
        <v>2417810.3278000001</v>
      </c>
      <c r="G18" s="448">
        <f>G19+G20</f>
        <v>1582727.125</v>
      </c>
      <c r="H18" s="448">
        <f>H19+H20</f>
        <v>835083.27500000002</v>
      </c>
      <c r="I18" s="433"/>
    </row>
    <row r="19" spans="1:11" s="407" customFormat="1">
      <c r="A19" s="423" t="s">
        <v>1129</v>
      </c>
      <c r="B19" s="421" t="s">
        <v>1147</v>
      </c>
      <c r="C19" s="443">
        <v>11205405</v>
      </c>
      <c r="D19" s="443">
        <f>546913+4004774+4501430</f>
        <v>9053117</v>
      </c>
      <c r="E19" s="449">
        <v>2152288</v>
      </c>
      <c r="F19" s="443">
        <v>1990866.4</v>
      </c>
      <c r="G19" s="443">
        <v>1379531.125</v>
      </c>
      <c r="H19" s="443">
        <v>611335.27500000002</v>
      </c>
      <c r="I19" s="433"/>
    </row>
    <row r="20" spans="1:11" s="407" customFormat="1" ht="47.25">
      <c r="A20" s="424" t="s">
        <v>1130</v>
      </c>
      <c r="B20" s="421" t="s">
        <v>1131</v>
      </c>
      <c r="C20" s="445">
        <v>5645781</v>
      </c>
      <c r="D20" s="442">
        <f>1895952+2483802+783168</f>
        <v>5162922</v>
      </c>
      <c r="E20" s="443">
        <v>482859</v>
      </c>
      <c r="F20" s="446">
        <v>426943.9278</v>
      </c>
      <c r="G20" s="446">
        <v>203196</v>
      </c>
      <c r="H20" s="446">
        <v>223748</v>
      </c>
      <c r="I20" s="433"/>
    </row>
    <row r="21" spans="1:11" ht="15.75" customHeight="1">
      <c r="A21" s="456" t="s">
        <v>1136</v>
      </c>
      <c r="B21" s="457"/>
      <c r="C21" s="457"/>
      <c r="D21" s="457"/>
      <c r="E21" s="457"/>
      <c r="F21" s="457"/>
      <c r="G21" s="457"/>
      <c r="H21" s="458"/>
      <c r="I21" s="433"/>
      <c r="K21" s="407"/>
    </row>
    <row r="22" spans="1:11" s="416" customFormat="1">
      <c r="A22" s="424" t="s">
        <v>1134</v>
      </c>
      <c r="B22" s="421" t="s">
        <v>1145</v>
      </c>
      <c r="C22" s="443">
        <v>6122500</v>
      </c>
      <c r="D22" s="443">
        <f>187574+2744583+1885724</f>
        <v>4817881</v>
      </c>
      <c r="E22" s="443">
        <v>1304619</v>
      </c>
      <c r="F22" s="443">
        <v>1174157</v>
      </c>
      <c r="G22" s="443">
        <v>327288.59999999998</v>
      </c>
      <c r="H22" s="443">
        <v>846868.5</v>
      </c>
      <c r="I22" s="433"/>
      <c r="K22" s="407"/>
    </row>
    <row r="23" spans="1:11" s="416" customFormat="1" ht="15.75" customHeight="1">
      <c r="A23" s="456" t="s">
        <v>1132</v>
      </c>
      <c r="B23" s="457"/>
      <c r="C23" s="457"/>
      <c r="D23" s="457"/>
      <c r="E23" s="457"/>
      <c r="F23" s="457"/>
      <c r="G23" s="457"/>
      <c r="H23" s="458"/>
      <c r="I23" s="433"/>
      <c r="K23" s="407"/>
    </row>
    <row r="24" spans="1:11" s="416" customFormat="1" ht="33" customHeight="1" thickBot="1">
      <c r="A24" s="425" t="s">
        <v>1133</v>
      </c>
      <c r="B24" s="426" t="s">
        <v>1153</v>
      </c>
      <c r="C24" s="450">
        <v>1459000</v>
      </c>
      <c r="D24" s="450">
        <f>1027178+207205</f>
        <v>1234383</v>
      </c>
      <c r="E24" s="450">
        <v>224617</v>
      </c>
      <c r="F24" s="450">
        <f>G24+H24</f>
        <v>224617</v>
      </c>
      <c r="G24" s="450">
        <v>102517</v>
      </c>
      <c r="H24" s="450">
        <v>122100</v>
      </c>
      <c r="I24" s="433"/>
      <c r="J24" s="434"/>
      <c r="K24" s="407"/>
    </row>
    <row r="25" spans="1:11" s="409" customFormat="1" ht="6.75" customHeight="1">
      <c r="A25" s="410"/>
      <c r="B25" s="411"/>
      <c r="C25" s="412"/>
      <c r="D25" s="412"/>
      <c r="E25" s="412"/>
      <c r="F25" s="412"/>
      <c r="G25" s="413"/>
      <c r="H25" s="413"/>
      <c r="I25" s="433"/>
    </row>
    <row r="26" spans="1:11">
      <c r="A26" s="479" t="s">
        <v>1152</v>
      </c>
      <c r="B26" s="479"/>
      <c r="C26" s="479"/>
      <c r="D26" s="479"/>
      <c r="E26" s="479"/>
      <c r="F26" s="479"/>
      <c r="G26" s="479"/>
      <c r="H26" s="479"/>
    </row>
    <row r="27" spans="1:11" ht="20.25" customHeight="1">
      <c r="D27" s="427" t="s">
        <v>1159</v>
      </c>
      <c r="E27" s="428"/>
      <c r="F27" s="428"/>
      <c r="G27" s="436" t="s">
        <v>1160</v>
      </c>
      <c r="H27" s="428"/>
    </row>
    <row r="28" spans="1:11">
      <c r="A28" t="s">
        <v>1161</v>
      </c>
    </row>
    <row r="29" spans="1:11">
      <c r="A29" s="437" t="s">
        <v>1162</v>
      </c>
    </row>
  </sheetData>
  <sheetProtection selectLockedCells="1" selectUnlockedCells="1"/>
  <mergeCells count="18">
    <mergeCell ref="A26:H26"/>
    <mergeCell ref="A18:B18"/>
    <mergeCell ref="A12:A14"/>
    <mergeCell ref="A23:H23"/>
    <mergeCell ref="A21:H21"/>
    <mergeCell ref="A17:H17"/>
    <mergeCell ref="A15:H15"/>
    <mergeCell ref="A2:H2"/>
    <mergeCell ref="G1:H1"/>
    <mergeCell ref="A3:A4"/>
    <mergeCell ref="B3:B4"/>
    <mergeCell ref="C3:C4"/>
    <mergeCell ref="D3:D4"/>
    <mergeCell ref="A11:H11"/>
    <mergeCell ref="A9:H9"/>
    <mergeCell ref="A7:H7"/>
    <mergeCell ref="A6:B6"/>
    <mergeCell ref="E3:H3"/>
  </mergeCells>
  <hyperlinks>
    <hyperlink ref="A29" r:id="rId1"/>
  </hyperlinks>
  <pageMargins left="0.25" right="0.25" top="0.75" bottom="0.75" header="0.3" footer="0.3"/>
  <pageSetup paperSize="9" scale="88" fitToHeight="0" orientation="landscape" r:id="rId2"/>
  <headerFooter>
    <oddFooter>&amp;L&amp;F&amp;C&amp;P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301"/>
  <sheetViews>
    <sheetView topLeftCell="A262" zoomScale="70" zoomScaleNormal="70" workbookViewId="0">
      <selection activeCell="AD92" sqref="AD92"/>
    </sheetView>
  </sheetViews>
  <sheetFormatPr defaultColWidth="8" defaultRowHeight="17.25" outlineLevelCol="1"/>
  <cols>
    <col min="1" max="1" width="15.125" style="2" customWidth="1"/>
    <col min="2" max="2" width="30.25" style="6" customWidth="1"/>
    <col min="3" max="3" width="77.875" style="2" hidden="1" customWidth="1"/>
    <col min="4" max="4" width="11.625" style="2" customWidth="1"/>
    <col min="5" max="5" width="24.25" style="2" hidden="1" customWidth="1" outlineLevel="1"/>
    <col min="6" max="6" width="20.25" style="2" customWidth="1" collapsed="1"/>
    <col min="7" max="7" width="26.875" style="2" hidden="1" customWidth="1" outlineLevel="1"/>
    <col min="8" max="8" width="18.375" style="2" hidden="1" customWidth="1" outlineLevel="1"/>
    <col min="9" max="9" width="24.375" style="2" hidden="1" customWidth="1" outlineLevel="1"/>
    <col min="10" max="10" width="16.375" style="2" customWidth="1" collapsed="1"/>
    <col min="11" max="11" width="27.5" style="2" customWidth="1"/>
    <col min="12" max="13" width="16.375" style="2" customWidth="1"/>
    <col min="14" max="14" width="21.5" style="2" customWidth="1"/>
    <col min="15" max="15" width="15.5" style="231" customWidth="1"/>
    <col min="16" max="16" width="16.5" style="11" customWidth="1"/>
    <col min="17" max="17" width="15.75" style="2" customWidth="1"/>
    <col min="18" max="18" width="15.125" style="2" customWidth="1" outlineLevel="1"/>
    <col min="19" max="20" width="17.5" style="2" customWidth="1"/>
    <col min="21" max="21" width="15.625" style="11" customWidth="1"/>
    <col min="22" max="22" width="12.375" style="2" customWidth="1"/>
    <col min="23" max="23" width="13.375" style="2" customWidth="1" outlineLevel="1"/>
    <col min="24" max="25" width="15" style="2" customWidth="1"/>
    <col min="26" max="26" width="18.375" style="2" customWidth="1" outlineLevel="1"/>
    <col min="27" max="27" width="17.25" style="2" customWidth="1" outlineLevel="1"/>
    <col min="28" max="28" width="19.25" style="2" customWidth="1" outlineLevel="1"/>
    <col min="29" max="30" width="17.25" style="2" customWidth="1" outlineLevel="1"/>
    <col min="31" max="31" width="17.25" style="2" customWidth="1"/>
    <col min="32" max="32" width="17.375" style="2" customWidth="1"/>
    <col min="33" max="33" width="17.375" style="253" customWidth="1"/>
    <col min="34" max="34" width="14.75" style="2" customWidth="1"/>
    <col min="35" max="35" width="14.125" style="2" hidden="1" customWidth="1" outlineLevel="1"/>
    <col min="36" max="36" width="15.25" style="2" customWidth="1" collapsed="1"/>
    <col min="37" max="37" width="15.5" style="2" customWidth="1"/>
    <col min="38" max="39" width="19.25" style="2" hidden="1" customWidth="1"/>
    <col min="40" max="40" width="19.375" style="2" hidden="1" customWidth="1" outlineLevel="1"/>
    <col min="41" max="41" width="19.875" style="2" hidden="1" customWidth="1"/>
    <col min="42" max="42" width="20.375" style="2" hidden="1" customWidth="1"/>
    <col min="43" max="43" width="20.75" style="2" hidden="1" customWidth="1"/>
    <col min="44" max="44" width="21.375" style="2" hidden="1" customWidth="1" outlineLevel="1"/>
    <col min="45" max="45" width="18.125" style="2" hidden="1" customWidth="1"/>
    <col min="46" max="46" width="8" style="2" hidden="1" customWidth="1"/>
    <col min="47" max="16384" width="8" style="2"/>
  </cols>
  <sheetData>
    <row r="1" spans="1:45" ht="24">
      <c r="A1" s="487" t="s">
        <v>158</v>
      </c>
      <c r="B1" s="487"/>
      <c r="C1" s="487"/>
      <c r="D1" s="487"/>
      <c r="E1" s="487"/>
      <c r="F1" s="487"/>
      <c r="G1" s="487"/>
      <c r="H1" s="487"/>
      <c r="I1" s="487"/>
      <c r="J1" s="487"/>
      <c r="K1" s="487"/>
      <c r="L1" s="487"/>
      <c r="M1" s="487"/>
      <c r="N1" s="487"/>
      <c r="O1" s="487"/>
      <c r="P1" s="487"/>
      <c r="Q1" s="487"/>
      <c r="R1" s="487"/>
      <c r="S1" s="487"/>
      <c r="T1" s="487"/>
      <c r="U1" s="487"/>
      <c r="V1" s="487"/>
      <c r="W1" s="487"/>
      <c r="X1" s="487"/>
      <c r="Y1" s="487"/>
      <c r="Z1" s="487"/>
      <c r="AA1" s="487"/>
      <c r="AB1" s="487"/>
      <c r="AC1" s="487"/>
      <c r="AD1" s="487"/>
      <c r="AE1" s="487"/>
      <c r="AF1" s="487"/>
      <c r="AG1" s="487"/>
      <c r="AH1" s="487"/>
      <c r="AI1" s="487"/>
      <c r="AJ1" s="487"/>
      <c r="AK1" s="1"/>
    </row>
    <row r="2" spans="1:45" ht="20.25">
      <c r="A2" s="488" t="s">
        <v>159</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3"/>
      <c r="AL2" s="4"/>
      <c r="AM2" s="5"/>
      <c r="AN2" s="5"/>
      <c r="AO2" s="5"/>
      <c r="AP2" s="4"/>
      <c r="AQ2" s="5"/>
      <c r="AR2" s="5"/>
      <c r="AS2" s="5"/>
    </row>
    <row r="3" spans="1:45" ht="18" thickBot="1">
      <c r="D3" s="7"/>
      <c r="E3" s="7"/>
      <c r="F3" s="8"/>
      <c r="G3" s="7"/>
      <c r="H3" s="7"/>
      <c r="I3" s="7"/>
      <c r="O3" s="9"/>
      <c r="P3" s="10"/>
      <c r="Q3" s="7"/>
      <c r="S3" s="7"/>
      <c r="T3" s="7"/>
      <c r="AG3" s="232"/>
      <c r="AH3" s="7"/>
      <c r="AL3" s="4"/>
      <c r="AM3" s="5"/>
      <c r="AN3" s="5"/>
      <c r="AO3" s="5"/>
      <c r="AP3" s="4"/>
      <c r="AQ3" s="5"/>
      <c r="AR3" s="5"/>
      <c r="AS3" s="5"/>
    </row>
    <row r="4" spans="1:45" s="18" customFormat="1" ht="215.25" thickTop="1">
      <c r="A4" s="12" t="s">
        <v>160</v>
      </c>
      <c r="B4" s="13" t="s">
        <v>161</v>
      </c>
      <c r="C4" s="14" t="s">
        <v>162</v>
      </c>
      <c r="D4" s="14" t="s">
        <v>163</v>
      </c>
      <c r="E4" s="14" t="s">
        <v>164</v>
      </c>
      <c r="F4" s="14" t="s">
        <v>165</v>
      </c>
      <c r="G4" s="14" t="s">
        <v>166</v>
      </c>
      <c r="H4" s="14" t="s">
        <v>167</v>
      </c>
      <c r="I4" s="14" t="s">
        <v>168</v>
      </c>
      <c r="J4" s="15" t="s">
        <v>169</v>
      </c>
      <c r="K4" s="15" t="s">
        <v>170</v>
      </c>
      <c r="L4" s="15" t="s">
        <v>157</v>
      </c>
      <c r="M4" s="15" t="s">
        <v>155</v>
      </c>
      <c r="N4" s="15" t="s">
        <v>171</v>
      </c>
      <c r="O4" s="16" t="s">
        <v>172</v>
      </c>
      <c r="P4" s="15" t="s">
        <v>173</v>
      </c>
      <c r="Q4" s="15" t="s">
        <v>174</v>
      </c>
      <c r="R4" s="15" t="s">
        <v>175</v>
      </c>
      <c r="S4" s="15" t="s">
        <v>176</v>
      </c>
      <c r="T4" s="15" t="s">
        <v>177</v>
      </c>
      <c r="U4" s="15" t="s">
        <v>178</v>
      </c>
      <c r="V4" s="15" t="s">
        <v>179</v>
      </c>
      <c r="W4" s="15" t="s">
        <v>179</v>
      </c>
      <c r="X4" s="15" t="s">
        <v>180</v>
      </c>
      <c r="Y4" s="15" t="s">
        <v>181</v>
      </c>
      <c r="Z4" s="15" t="s">
        <v>182</v>
      </c>
      <c r="AA4" s="15" t="s">
        <v>183</v>
      </c>
      <c r="AB4" s="15" t="s">
        <v>184</v>
      </c>
      <c r="AC4" s="15" t="s">
        <v>185</v>
      </c>
      <c r="AD4" s="15" t="s">
        <v>186</v>
      </c>
      <c r="AE4" s="15" t="s">
        <v>187</v>
      </c>
      <c r="AF4" s="15" t="s">
        <v>188</v>
      </c>
      <c r="AG4" s="233" t="s">
        <v>189</v>
      </c>
      <c r="AH4" s="15" t="s">
        <v>190</v>
      </c>
      <c r="AI4" s="15" t="s">
        <v>190</v>
      </c>
      <c r="AJ4" s="15" t="s">
        <v>191</v>
      </c>
      <c r="AK4" s="15" t="s">
        <v>192</v>
      </c>
      <c r="AL4" s="14" t="s">
        <v>193</v>
      </c>
      <c r="AM4" s="14" t="s">
        <v>194</v>
      </c>
      <c r="AN4" s="14" t="s">
        <v>195</v>
      </c>
      <c r="AO4" s="14" t="s">
        <v>196</v>
      </c>
      <c r="AP4" s="14" t="s">
        <v>197</v>
      </c>
      <c r="AQ4" s="14" t="s">
        <v>198</v>
      </c>
      <c r="AR4" s="14" t="s">
        <v>199</v>
      </c>
      <c r="AS4" s="17" t="s">
        <v>200</v>
      </c>
    </row>
    <row r="5" spans="1:45" s="18" customFormat="1">
      <c r="A5" s="19">
        <v>1</v>
      </c>
      <c r="B5" s="20">
        <v>2</v>
      </c>
      <c r="C5" s="20">
        <v>3</v>
      </c>
      <c r="D5" s="20">
        <v>4</v>
      </c>
      <c r="E5" s="20">
        <v>0.70280399999999998</v>
      </c>
      <c r="F5" s="20">
        <v>5</v>
      </c>
      <c r="G5" s="20">
        <v>0.70280399999999998</v>
      </c>
      <c r="H5" s="20" t="s">
        <v>201</v>
      </c>
      <c r="I5" s="20">
        <v>0.70280399999999998</v>
      </c>
      <c r="J5" s="20" t="s">
        <v>202</v>
      </c>
      <c r="K5" s="20" t="s">
        <v>203</v>
      </c>
      <c r="L5" s="20">
        <v>6</v>
      </c>
      <c r="M5" s="20" t="s">
        <v>204</v>
      </c>
      <c r="N5" s="20" t="s">
        <v>205</v>
      </c>
      <c r="O5" s="21">
        <v>7</v>
      </c>
      <c r="P5" s="20">
        <v>8</v>
      </c>
      <c r="Q5" s="20" t="s">
        <v>206</v>
      </c>
      <c r="R5" s="20" t="s">
        <v>207</v>
      </c>
      <c r="S5" s="22" t="s">
        <v>208</v>
      </c>
      <c r="T5" s="22" t="s">
        <v>209</v>
      </c>
      <c r="U5" s="20">
        <v>9</v>
      </c>
      <c r="V5" s="20" t="s">
        <v>210</v>
      </c>
      <c r="W5" s="20"/>
      <c r="X5" s="20" t="s">
        <v>211</v>
      </c>
      <c r="Y5" s="20" t="s">
        <v>212</v>
      </c>
      <c r="Z5" s="22" t="s">
        <v>213</v>
      </c>
      <c r="AA5" s="20" t="s">
        <v>214</v>
      </c>
      <c r="AB5" s="20" t="s">
        <v>215</v>
      </c>
      <c r="AC5" s="20" t="s">
        <v>216</v>
      </c>
      <c r="AD5" s="20" t="s">
        <v>217</v>
      </c>
      <c r="AE5" s="20">
        <v>10</v>
      </c>
      <c r="AF5" s="20">
        <v>11</v>
      </c>
      <c r="AG5" s="234">
        <v>12</v>
      </c>
      <c r="AH5" s="20" t="s">
        <v>218</v>
      </c>
      <c r="AI5" s="20"/>
      <c r="AJ5" s="20">
        <v>13</v>
      </c>
      <c r="AK5" s="20" t="s">
        <v>219</v>
      </c>
      <c r="AL5" s="20">
        <v>9</v>
      </c>
      <c r="AM5" s="20" t="s">
        <v>220</v>
      </c>
      <c r="AN5" s="20"/>
      <c r="AO5" s="20" t="s">
        <v>211</v>
      </c>
      <c r="AP5" s="20">
        <v>10</v>
      </c>
      <c r="AQ5" s="20" t="s">
        <v>221</v>
      </c>
      <c r="AR5" s="20"/>
      <c r="AS5" s="20" t="s">
        <v>214</v>
      </c>
    </row>
    <row r="6" spans="1:45" s="18" customFormat="1">
      <c r="A6" s="24"/>
      <c r="B6" s="25" t="s">
        <v>222</v>
      </c>
      <c r="C6" s="26"/>
      <c r="D6" s="26"/>
      <c r="E6" s="26"/>
      <c r="F6" s="27">
        <f>SUM(F9,F8,F10)</f>
        <v>3184016715.9766917</v>
      </c>
      <c r="G6" s="27"/>
      <c r="H6" s="27">
        <f>SUM(H9,H8,H10)</f>
        <v>3184016716.7283559</v>
      </c>
      <c r="I6" s="27"/>
      <c r="J6" s="27">
        <f>SUM(J9,J8,J10)</f>
        <v>3184016716.5960159</v>
      </c>
      <c r="K6" s="27"/>
      <c r="L6" s="27">
        <f>SUM(L9,L8,L10)</f>
        <v>298574716.90376997</v>
      </c>
      <c r="M6" s="27">
        <f>SUM(M9,M8,M10)</f>
        <v>276746563.56820315</v>
      </c>
      <c r="N6" s="27">
        <f>J6+M6</f>
        <v>3460763280.1642189</v>
      </c>
      <c r="O6" s="28">
        <f>SUM(O9,O8,O10,O262)</f>
        <v>2210675604.1800003</v>
      </c>
      <c r="P6" s="29">
        <f>SUM(P9,P8,P10)</f>
        <v>3036407906.4700003</v>
      </c>
      <c r="Q6" s="30">
        <f>P6/J6</f>
        <v>0.95364069247606775</v>
      </c>
      <c r="R6" s="30">
        <v>0.94480293847507579</v>
      </c>
      <c r="S6" s="30">
        <f>Q6-R6</f>
        <v>8.8377540009919597E-3</v>
      </c>
      <c r="T6" s="30">
        <f>P6/N6</f>
        <v>0.87738098814025722</v>
      </c>
      <c r="U6" s="29">
        <f>SUM(U9,U8,U10)</f>
        <v>2989547149.7299995</v>
      </c>
      <c r="V6" s="30">
        <f>U6/J6</f>
        <v>0.93892319539266711</v>
      </c>
      <c r="W6" s="30">
        <v>0.93352709626325681</v>
      </c>
      <c r="X6" s="30">
        <f>V6-W6</f>
        <v>5.3960991294103033E-3</v>
      </c>
      <c r="Y6" s="30">
        <f>U6/N6</f>
        <v>0.86384040389729877</v>
      </c>
      <c r="Z6" s="31">
        <f>SUM(Z9,Z8,Z10)</f>
        <v>1269436049.6400001</v>
      </c>
      <c r="AA6" s="31">
        <f>SUM(AA9,AA8,AA10)</f>
        <v>37195497.189999998</v>
      </c>
      <c r="AB6" s="31">
        <f>SUM(AB9,AB8,AB10)</f>
        <v>479121838.51999998</v>
      </c>
      <c r="AC6" s="31">
        <f>SUM(AC9,AC8,AC10)</f>
        <v>204346771.28000009</v>
      </c>
      <c r="AD6" s="31">
        <f>SUM(AD9,AD8,AD10)</f>
        <v>77612466.069999993</v>
      </c>
      <c r="AE6" s="32">
        <f>AG6-AD6</f>
        <v>1708140919.2800002</v>
      </c>
      <c r="AF6" s="31">
        <f>Z6+AA6+AC6</f>
        <v>1510978318.1100001</v>
      </c>
      <c r="AG6" s="235">
        <f>SUM(Z6:AB6)</f>
        <v>1785753385.3500001</v>
      </c>
      <c r="AH6" s="30">
        <f>AG6/J6</f>
        <v>0.56084924932778679</v>
      </c>
      <c r="AI6" s="30">
        <v>0.53302375211591313</v>
      </c>
      <c r="AJ6" s="30">
        <f>AH6-AI6</f>
        <v>2.7825497211873662E-2</v>
      </c>
      <c r="AK6" s="30">
        <f>AG6/N6</f>
        <v>0.51599986499662098</v>
      </c>
      <c r="AL6" s="31">
        <f>SUM(AL9,AL8,AL10)</f>
        <v>904444209.62112868</v>
      </c>
      <c r="AM6" s="30">
        <f>AL6/J6</f>
        <v>0.28405761970623583</v>
      </c>
      <c r="AN6" s="30">
        <v>0.28405761964320964</v>
      </c>
      <c r="AO6" s="30">
        <f>AM6-AN6</f>
        <v>6.302619537379428E-11</v>
      </c>
      <c r="AP6" s="31">
        <f>SUM(AP9,AP8,AP10)</f>
        <v>1199065655.1111741</v>
      </c>
      <c r="AQ6" s="30">
        <f>AP6/J6</f>
        <v>0.3765889949199378</v>
      </c>
      <c r="AR6" s="30">
        <v>0.36432961593980467</v>
      </c>
      <c r="AS6" s="30">
        <f>AQ6-AR6</f>
        <v>1.2259378980133129E-2</v>
      </c>
    </row>
    <row r="7" spans="1:45" s="18" customFormat="1">
      <c r="A7" s="33"/>
      <c r="B7" s="33"/>
      <c r="C7" s="20"/>
      <c r="D7" s="20"/>
      <c r="E7" s="20"/>
      <c r="F7" s="20"/>
      <c r="G7" s="20"/>
      <c r="H7" s="20"/>
      <c r="I7" s="20"/>
      <c r="J7" s="34"/>
      <c r="K7" s="34"/>
      <c r="L7" s="34"/>
      <c r="M7" s="34"/>
      <c r="N7" s="34"/>
      <c r="O7" s="35"/>
      <c r="P7" s="23"/>
      <c r="Q7" s="23"/>
      <c r="R7" s="23"/>
      <c r="S7" s="36"/>
      <c r="T7" s="36"/>
      <c r="U7" s="23"/>
      <c r="V7" s="23"/>
      <c r="W7" s="23"/>
      <c r="X7" s="36"/>
      <c r="Y7" s="36"/>
      <c r="Z7" s="36"/>
      <c r="AA7" s="36"/>
      <c r="AB7" s="36"/>
      <c r="AC7" s="36"/>
      <c r="AD7" s="36"/>
      <c r="AE7" s="36"/>
      <c r="AF7" s="36"/>
      <c r="AG7" s="234"/>
      <c r="AH7" s="23"/>
      <c r="AI7" s="23"/>
      <c r="AJ7" s="36"/>
      <c r="AK7" s="36"/>
      <c r="AL7" s="23"/>
      <c r="AM7" s="23"/>
      <c r="AN7" s="23"/>
      <c r="AO7" s="36"/>
      <c r="AP7" s="23"/>
      <c r="AQ7" s="23"/>
      <c r="AR7" s="23"/>
      <c r="AS7" s="36"/>
    </row>
    <row r="8" spans="1:45" s="18" customFormat="1">
      <c r="A8" s="24"/>
      <c r="B8" s="25" t="s">
        <v>223</v>
      </c>
      <c r="C8" s="26"/>
      <c r="D8" s="26"/>
      <c r="E8" s="26"/>
      <c r="F8" s="27">
        <f>SUM(F15)</f>
        <v>409807622.18142396</v>
      </c>
      <c r="G8" s="27"/>
      <c r="H8" s="27">
        <f>SUM(H15)</f>
        <v>409807622.18142396</v>
      </c>
      <c r="I8" s="27"/>
      <c r="J8" s="27">
        <f>SUM(J15)</f>
        <v>409807622.21894801</v>
      </c>
      <c r="K8" s="27"/>
      <c r="L8" s="27">
        <f>SUM(L15)</f>
        <v>40869460.113769993</v>
      </c>
      <c r="M8" s="27">
        <f>SUM(M15)</f>
        <v>35654549.478203177</v>
      </c>
      <c r="N8" s="27">
        <f>J8+M8</f>
        <v>445462171.69715118</v>
      </c>
      <c r="O8" s="28">
        <f>SUM(O15)</f>
        <v>385629730.92040014</v>
      </c>
      <c r="P8" s="29">
        <f>SUM(P15)</f>
        <v>423523517.30000001</v>
      </c>
      <c r="Q8" s="30">
        <f>P8/J8</f>
        <v>1.0334691068135478</v>
      </c>
      <c r="R8" s="30">
        <v>1.0153318491304824</v>
      </c>
      <c r="S8" s="30">
        <f>Q8-R8</f>
        <v>1.81372576830654E-2</v>
      </c>
      <c r="T8" s="30">
        <f>P8/N8</f>
        <v>0.95075080266957834</v>
      </c>
      <c r="U8" s="29">
        <f>SUM(U15)</f>
        <v>423488755.67000002</v>
      </c>
      <c r="V8" s="30">
        <f>U8/J8</f>
        <v>1.0333842825493924</v>
      </c>
      <c r="W8" s="30">
        <v>1.0151397373057824</v>
      </c>
      <c r="X8" s="30">
        <f>V8-W8</f>
        <v>1.8244545243609966E-2</v>
      </c>
      <c r="Y8" s="30">
        <f>U8/N8</f>
        <v>0.95067276769330289</v>
      </c>
      <c r="Z8" s="31">
        <f>SUM(Z15)</f>
        <v>293031618.21999997</v>
      </c>
      <c r="AA8" s="31">
        <f>SUM(AA15)</f>
        <v>0</v>
      </c>
      <c r="AB8" s="31">
        <f>SUM(AB15)</f>
        <v>24591847.589999996</v>
      </c>
      <c r="AC8" s="31">
        <f>SUM(AC15)</f>
        <v>12233749.720000016</v>
      </c>
      <c r="AD8" s="31">
        <f>SUM(AD15)</f>
        <v>132944.78999999998</v>
      </c>
      <c r="AE8" s="32">
        <f>AG8-AD8</f>
        <v>317490521.01999992</v>
      </c>
      <c r="AF8" s="31">
        <f>Z8+AA8+AC8</f>
        <v>305265367.94</v>
      </c>
      <c r="AG8" s="235">
        <f>SUM(Z8:AB8)</f>
        <v>317623465.80999994</v>
      </c>
      <c r="AH8" s="30">
        <f>AG8/J8</f>
        <v>0.77505504678071402</v>
      </c>
      <c r="AI8" s="30">
        <v>0.76147730637441635</v>
      </c>
      <c r="AJ8" s="30">
        <f>AH8-AI8</f>
        <v>1.3577740406297667E-2</v>
      </c>
      <c r="AK8" s="30">
        <f>AG8/N8</f>
        <v>0.71302006318493238</v>
      </c>
      <c r="AL8" s="31">
        <f>SUM(AL15)</f>
        <v>213988163.23065701</v>
      </c>
      <c r="AM8" s="30">
        <f>AL8/J8</f>
        <v>0.52216735762989175</v>
      </c>
      <c r="AN8" s="30">
        <v>0.52216735742971354</v>
      </c>
      <c r="AO8" s="30">
        <f>AM8-AN8</f>
        <v>2.0017820734352654E-10</v>
      </c>
      <c r="AP8" s="31">
        <f>AP15</f>
        <v>246050044.63774601</v>
      </c>
      <c r="AQ8" s="30">
        <f>AP8/J8</f>
        <v>0.6004037780104754</v>
      </c>
      <c r="AR8" s="30">
        <v>0.60040377778030429</v>
      </c>
      <c r="AS8" s="30">
        <f>AQ8-AR8</f>
        <v>2.3017110439838007E-10</v>
      </c>
    </row>
    <row r="9" spans="1:45" s="18" customFormat="1">
      <c r="A9" s="24"/>
      <c r="B9" s="25" t="s">
        <v>224</v>
      </c>
      <c r="C9" s="26"/>
      <c r="D9" s="26"/>
      <c r="E9" s="26"/>
      <c r="F9" s="27">
        <f>SUM(F106,F152)</f>
        <v>1692047973.2406559</v>
      </c>
      <c r="G9" s="27"/>
      <c r="H9" s="27">
        <f>SUM(H106,H152)</f>
        <v>1692047973.9923201</v>
      </c>
      <c r="I9" s="27"/>
      <c r="J9" s="27">
        <f>SUM(J106,J152)</f>
        <v>1692047973.8224561</v>
      </c>
      <c r="K9" s="27"/>
      <c r="L9" s="27">
        <f>SUM(L106,L152)</f>
        <v>210748299.78999999</v>
      </c>
      <c r="M9" s="27">
        <f>SUM(M106,M152)</f>
        <v>199404709.78999999</v>
      </c>
      <c r="N9" s="27">
        <f>J9+M9</f>
        <v>1891452683.6124561</v>
      </c>
      <c r="O9" s="28">
        <f>SUM(O106,O152)</f>
        <v>1127476170.1637001</v>
      </c>
      <c r="P9" s="29">
        <f>SUM(P106,P152)</f>
        <v>1566194050.2800002</v>
      </c>
      <c r="Q9" s="30">
        <f>P9/J9</f>
        <v>0.9256203574073949</v>
      </c>
      <c r="R9" s="30">
        <v>0.91320884478425846</v>
      </c>
      <c r="S9" s="30">
        <f>Q9-R9</f>
        <v>1.2411512623136445E-2</v>
      </c>
      <c r="T9" s="30">
        <f>P9/N9</f>
        <v>0.82803765795967499</v>
      </c>
      <c r="U9" s="29">
        <f>SUM(U106,U152)</f>
        <v>1539280953.7199998</v>
      </c>
      <c r="V9" s="30">
        <f>U9/J9</f>
        <v>0.90971472294763323</v>
      </c>
      <c r="W9" s="30">
        <v>0.90388094937269481</v>
      </c>
      <c r="X9" s="30">
        <f>V9-W9</f>
        <v>5.8337735749384168E-3</v>
      </c>
      <c r="Y9" s="30">
        <f>U9/N9</f>
        <v>0.81380886080647341</v>
      </c>
      <c r="Z9" s="31">
        <f>SUM(Z106,Z152)</f>
        <v>639064664.47000003</v>
      </c>
      <c r="AA9" s="31">
        <f>SUM(AA106,AA152)</f>
        <v>27253857.43</v>
      </c>
      <c r="AB9" s="31">
        <f>SUM(AB106,AB152)</f>
        <v>267671512.60000002</v>
      </c>
      <c r="AC9" s="31">
        <f>SUM(AC106,AC152)</f>
        <v>127766172.58999997</v>
      </c>
      <c r="AD9" s="31">
        <f>SUM(AD106,AD152)</f>
        <v>51853937.68</v>
      </c>
      <c r="AE9" s="32">
        <f>AG9-AD9</f>
        <v>882136096.82000005</v>
      </c>
      <c r="AF9" s="31">
        <f>Z9+AA9+AC9</f>
        <v>794084694.49000001</v>
      </c>
      <c r="AG9" s="235">
        <f>SUM(Z9:AB9)</f>
        <v>933990034.5</v>
      </c>
      <c r="AH9" s="30">
        <f>AG9/J9</f>
        <v>0.55198791579771256</v>
      </c>
      <c r="AI9" s="30">
        <v>0.52169981641887075</v>
      </c>
      <c r="AJ9" s="30">
        <f>AH9-AI9</f>
        <v>3.0288099378841804E-2</v>
      </c>
      <c r="AK9" s="30">
        <f>AG9/N9</f>
        <v>0.49379508279117346</v>
      </c>
      <c r="AL9" s="31">
        <f>SUM(AL106,AL152)</f>
        <v>456299584.31830704</v>
      </c>
      <c r="AM9" s="30">
        <f>AL9/J9</f>
        <v>0.26967295926456153</v>
      </c>
      <c r="AN9" s="30">
        <v>0.26967295917700634</v>
      </c>
      <c r="AO9" s="30">
        <f>AM9-AN9</f>
        <v>8.7555185324106333E-11</v>
      </c>
      <c r="AP9" s="31">
        <f>SUM(AP106,AP152)</f>
        <v>593881473.84819913</v>
      </c>
      <c r="AQ9" s="30">
        <f>AP9/J9</f>
        <v>0.35098382731228289</v>
      </c>
      <c r="AR9" s="30">
        <v>0.33463784651587508</v>
      </c>
      <c r="AS9" s="30">
        <f>AQ9-AR9</f>
        <v>1.6345980796407811E-2</v>
      </c>
    </row>
    <row r="10" spans="1:45" s="18" customFormat="1">
      <c r="A10" s="24"/>
      <c r="B10" s="25" t="s">
        <v>225</v>
      </c>
      <c r="C10" s="26"/>
      <c r="D10" s="26"/>
      <c r="E10" s="26"/>
      <c r="F10" s="27">
        <f>F153</f>
        <v>1082161120.5546119</v>
      </c>
      <c r="G10" s="27"/>
      <c r="H10" s="27">
        <f>H153</f>
        <v>1082161120.5546119</v>
      </c>
      <c r="I10" s="27"/>
      <c r="J10" s="27">
        <f>J153</f>
        <v>1082161120.5546119</v>
      </c>
      <c r="K10" s="27"/>
      <c r="L10" s="27">
        <f>L153</f>
        <v>46956957</v>
      </c>
      <c r="M10" s="27">
        <f>M153</f>
        <v>41687304.299999997</v>
      </c>
      <c r="N10" s="27">
        <f>J10+M10</f>
        <v>1123848424.8546119</v>
      </c>
      <c r="O10" s="28">
        <f>O153</f>
        <v>653058936.09589994</v>
      </c>
      <c r="P10" s="29">
        <f>P153</f>
        <v>1046690338.89</v>
      </c>
      <c r="Q10" s="30">
        <f>P10/J10</f>
        <v>0.96722227310621456</v>
      </c>
      <c r="R10" s="30">
        <v>0.96749404851415877</v>
      </c>
      <c r="S10" s="30">
        <f>Q10-R10</f>
        <v>-2.7177540794420807E-4</v>
      </c>
      <c r="T10" s="30">
        <f>P10/N10</f>
        <v>0.93134475765751634</v>
      </c>
      <c r="U10" s="29">
        <f>U153</f>
        <v>1026777440.3399999</v>
      </c>
      <c r="V10" s="30">
        <f>U10/J10</f>
        <v>0.94882122526613444</v>
      </c>
      <c r="W10" s="30">
        <v>0.94897509205809127</v>
      </c>
      <c r="X10" s="30">
        <f>V10-W10</f>
        <v>-1.5386679195683595E-4</v>
      </c>
      <c r="Y10" s="30">
        <f>U10/N10</f>
        <v>0.91362626634711019</v>
      </c>
      <c r="Z10" s="31">
        <f>Z153</f>
        <v>337339766.94999999</v>
      </c>
      <c r="AA10" s="31">
        <f>AA153</f>
        <v>9941639.7599999998</v>
      </c>
      <c r="AB10" s="31">
        <f>AB153</f>
        <v>186858478.32999998</v>
      </c>
      <c r="AC10" s="31">
        <f>AC153</f>
        <v>64346848.970000103</v>
      </c>
      <c r="AD10" s="31">
        <f>AD153</f>
        <v>25625583.600000001</v>
      </c>
      <c r="AE10" s="32">
        <f>AG10-AD10</f>
        <v>508514301.43999994</v>
      </c>
      <c r="AF10" s="31">
        <f>Z10+AA10+AC10</f>
        <v>411628255.68000007</v>
      </c>
      <c r="AG10" s="235">
        <f>SUM(Z10:AB10)</f>
        <v>534139885.03999996</v>
      </c>
      <c r="AH10" s="30">
        <f>AG10/J10</f>
        <v>0.49358628294301604</v>
      </c>
      <c r="AI10" s="30">
        <v>0.46421573092788654</v>
      </c>
      <c r="AJ10" s="30">
        <f>AH10-AI10</f>
        <v>2.9370552015129503E-2</v>
      </c>
      <c r="AK10" s="30">
        <f>AG10/N10</f>
        <v>0.47527751361052062</v>
      </c>
      <c r="AL10" s="31">
        <f>AL153</f>
        <v>234156462.07216462</v>
      </c>
      <c r="AM10" s="30">
        <f>AL10/J10</f>
        <v>0.21637855733733855</v>
      </c>
      <c r="AN10" s="30">
        <v>0.21637855733733855</v>
      </c>
      <c r="AO10" s="30">
        <f>AM10-AN10</f>
        <v>0</v>
      </c>
      <c r="AP10" s="31">
        <f>AP153</f>
        <v>359134136.62522894</v>
      </c>
      <c r="AQ10" s="30">
        <f>AP10/J10</f>
        <v>0.33186752859978119</v>
      </c>
      <c r="AR10" s="30">
        <v>0.32135533807547206</v>
      </c>
      <c r="AS10" s="30">
        <f>AQ10-AR10</f>
        <v>1.0512190524309128E-2</v>
      </c>
    </row>
    <row r="11" spans="1:45" s="18" customFormat="1">
      <c r="A11" s="33"/>
      <c r="B11" s="33"/>
      <c r="C11" s="20"/>
      <c r="D11" s="20"/>
      <c r="E11" s="20"/>
      <c r="F11" s="20"/>
      <c r="G11" s="20"/>
      <c r="H11" s="20"/>
      <c r="I11" s="20"/>
      <c r="J11" s="34"/>
      <c r="K11" s="34"/>
      <c r="L11" s="34"/>
      <c r="M11" s="34"/>
      <c r="N11" s="34"/>
      <c r="O11" s="35"/>
      <c r="P11" s="23"/>
      <c r="Q11" s="23"/>
      <c r="R11" s="23"/>
      <c r="S11" s="36"/>
      <c r="T11" s="36"/>
      <c r="U11" s="23"/>
      <c r="V11" s="23"/>
      <c r="W11" s="23"/>
      <c r="X11" s="36"/>
      <c r="Y11" s="36"/>
      <c r="Z11" s="36"/>
      <c r="AA11" s="36"/>
      <c r="AB11" s="36"/>
      <c r="AC11" s="36"/>
      <c r="AD11" s="36"/>
      <c r="AE11" s="36"/>
      <c r="AF11" s="36"/>
      <c r="AG11" s="234"/>
      <c r="AH11" s="23"/>
      <c r="AI11" s="23"/>
      <c r="AJ11" s="36"/>
      <c r="AK11" s="36"/>
      <c r="AL11" s="23"/>
      <c r="AM11" s="23"/>
      <c r="AN11" s="23"/>
      <c r="AO11" s="36"/>
      <c r="AP11" s="23"/>
      <c r="AQ11" s="23"/>
      <c r="AR11" s="23"/>
      <c r="AS11" s="36"/>
    </row>
    <row r="12" spans="1:45" s="18" customFormat="1">
      <c r="A12" s="37"/>
      <c r="B12" s="38" t="s">
        <v>226</v>
      </c>
      <c r="C12" s="39"/>
      <c r="D12" s="40"/>
      <c r="E12" s="40"/>
      <c r="F12" s="41">
        <f>F15</f>
        <v>409807622.18142396</v>
      </c>
      <c r="G12" s="41"/>
      <c r="H12" s="41">
        <f>H15</f>
        <v>409807622.18142396</v>
      </c>
      <c r="I12" s="41"/>
      <c r="J12" s="41">
        <f>J15</f>
        <v>409807622.21894801</v>
      </c>
      <c r="K12" s="41"/>
      <c r="L12" s="41">
        <f>L15</f>
        <v>40869460.113769993</v>
      </c>
      <c r="M12" s="41">
        <f>M15</f>
        <v>35654549.478203177</v>
      </c>
      <c r="N12" s="41">
        <f t="shared" ref="N12:N75" si="0">J12+M12</f>
        <v>445462171.69715118</v>
      </c>
      <c r="O12" s="42">
        <f>O15</f>
        <v>385629730.92040014</v>
      </c>
      <c r="P12" s="43">
        <f>P15</f>
        <v>423523517.30000001</v>
      </c>
      <c r="Q12" s="44">
        <f t="shared" ref="Q12:Q17" si="1">P12/J12</f>
        <v>1.0334691068135478</v>
      </c>
      <c r="R12" s="44">
        <v>1.0153318491304824</v>
      </c>
      <c r="S12" s="44">
        <f t="shared" ref="S12:S19" si="2">Q12-R12</f>
        <v>1.81372576830654E-2</v>
      </c>
      <c r="T12" s="44">
        <f t="shared" ref="T12:T74" si="3">P12/N12</f>
        <v>0.95075080266957834</v>
      </c>
      <c r="U12" s="43">
        <f>U15</f>
        <v>423488755.67000002</v>
      </c>
      <c r="V12" s="44">
        <f t="shared" ref="V12:V17" si="4">U12/J12</f>
        <v>1.0333842825493924</v>
      </c>
      <c r="W12" s="44">
        <v>1.0151397373057824</v>
      </c>
      <c r="X12" s="44">
        <f t="shared" ref="X12:X60" si="5">V12-W12</f>
        <v>1.8244545243609966E-2</v>
      </c>
      <c r="Y12" s="44">
        <f t="shared" ref="Y12:Y75" si="6">U12/N12</f>
        <v>0.95067276769330289</v>
      </c>
      <c r="Z12" s="43">
        <f>Z15</f>
        <v>293031618.21999997</v>
      </c>
      <c r="AA12" s="43">
        <f>AA15</f>
        <v>0</v>
      </c>
      <c r="AB12" s="43">
        <f>AB15</f>
        <v>24591847.589999996</v>
      </c>
      <c r="AC12" s="43">
        <f>AC15</f>
        <v>12233749.720000016</v>
      </c>
      <c r="AD12" s="43">
        <f>AD15</f>
        <v>132944.78999999998</v>
      </c>
      <c r="AE12" s="45">
        <f t="shared" ref="AE12:AE60" si="7">AG12-AD12</f>
        <v>317490521.01999992</v>
      </c>
      <c r="AF12" s="43">
        <f t="shared" ref="AF12:AF24" si="8">Z12+AA12+AC12</f>
        <v>305265367.94</v>
      </c>
      <c r="AG12" s="235">
        <f>SUM(Z12:AB12)</f>
        <v>317623465.80999994</v>
      </c>
      <c r="AH12" s="44">
        <f t="shared" ref="AH12:AH17" si="9">AG12/J12</f>
        <v>0.77505504678071402</v>
      </c>
      <c r="AI12" s="44">
        <v>0.76147730637441635</v>
      </c>
      <c r="AJ12" s="44">
        <f t="shared" ref="AJ12:AJ60" si="10">AH12-AI12</f>
        <v>1.3577740406297667E-2</v>
      </c>
      <c r="AK12" s="44">
        <f t="shared" ref="AK12:AK75" si="11">AG12/N12</f>
        <v>0.71302006318493238</v>
      </c>
      <c r="AL12" s="43">
        <f>AL15</f>
        <v>213988163.23065701</v>
      </c>
      <c r="AM12" s="44">
        <f>AL12/J12</f>
        <v>0.52216735762989175</v>
      </c>
      <c r="AN12" s="44">
        <v>0.52216735742971354</v>
      </c>
      <c r="AO12" s="44">
        <f>AM12-AN12</f>
        <v>2.0017820734352654E-10</v>
      </c>
      <c r="AP12" s="43">
        <f>AP15</f>
        <v>246050044.63774601</v>
      </c>
      <c r="AQ12" s="44">
        <f>AP12/J12</f>
        <v>0.6004037780104754</v>
      </c>
      <c r="AR12" s="44">
        <v>0.60040377778030429</v>
      </c>
      <c r="AS12" s="44">
        <f>AQ12-AR12</f>
        <v>2.3017110439838007E-10</v>
      </c>
    </row>
    <row r="13" spans="1:45" s="18" customFormat="1">
      <c r="A13" s="37"/>
      <c r="B13" s="38" t="s">
        <v>227</v>
      </c>
      <c r="C13" s="39"/>
      <c r="D13" s="40"/>
      <c r="E13" s="40"/>
      <c r="F13" s="41">
        <f>F106</f>
        <v>517777458.1358</v>
      </c>
      <c r="G13" s="41"/>
      <c r="H13" s="41">
        <f>H106</f>
        <v>517777458.88746399</v>
      </c>
      <c r="I13" s="41"/>
      <c r="J13" s="41">
        <f>J106</f>
        <v>517777458.71760005</v>
      </c>
      <c r="K13" s="41"/>
      <c r="L13" s="41">
        <f>L106</f>
        <v>41070677.789999999</v>
      </c>
      <c r="M13" s="41">
        <f>M106</f>
        <v>36962177.789999999</v>
      </c>
      <c r="N13" s="41">
        <f t="shared" si="0"/>
        <v>554739636.50760007</v>
      </c>
      <c r="O13" s="42">
        <f>O106</f>
        <v>343566082.9149</v>
      </c>
      <c r="P13" s="43">
        <f>P106</f>
        <v>479598594.38</v>
      </c>
      <c r="Q13" s="44">
        <f t="shared" si="1"/>
        <v>0.92626395047756782</v>
      </c>
      <c r="R13" s="44">
        <v>0.92777741146852888</v>
      </c>
      <c r="S13" s="44">
        <f t="shared" si="2"/>
        <v>-1.5134609909610575E-3</v>
      </c>
      <c r="T13" s="44">
        <f t="shared" si="3"/>
        <v>0.86454719082152587</v>
      </c>
      <c r="U13" s="43">
        <f>U106</f>
        <v>476010855.37</v>
      </c>
      <c r="V13" s="44">
        <f t="shared" si="4"/>
        <v>0.91933483653180836</v>
      </c>
      <c r="W13" s="44">
        <v>0.91570235447977588</v>
      </c>
      <c r="X13" s="44">
        <f t="shared" si="5"/>
        <v>3.6324820520324819E-3</v>
      </c>
      <c r="Y13" s="44">
        <f t="shared" si="6"/>
        <v>0.85807976218673987</v>
      </c>
      <c r="Z13" s="43">
        <f>Z106</f>
        <v>228595195.98000002</v>
      </c>
      <c r="AA13" s="43">
        <f>AA106</f>
        <v>27216414.289999999</v>
      </c>
      <c r="AB13" s="43">
        <f>AB106</f>
        <v>32147032.68</v>
      </c>
      <c r="AC13" s="43">
        <f>AC106</f>
        <v>11125437.57</v>
      </c>
      <c r="AD13" s="43">
        <f>AD106</f>
        <v>39812330.170000002</v>
      </c>
      <c r="AE13" s="45">
        <f t="shared" si="7"/>
        <v>248146312.77999997</v>
      </c>
      <c r="AF13" s="43">
        <f t="shared" si="8"/>
        <v>266937047.84</v>
      </c>
      <c r="AG13" s="235">
        <f>SUM(Z13:AB13)</f>
        <v>287958642.94999999</v>
      </c>
      <c r="AH13" s="44">
        <f t="shared" si="9"/>
        <v>0.55614364453639709</v>
      </c>
      <c r="AI13" s="44">
        <v>0.54028105358289003</v>
      </c>
      <c r="AJ13" s="44">
        <f t="shared" si="10"/>
        <v>1.5862590953507061E-2</v>
      </c>
      <c r="AK13" s="44">
        <f t="shared" si="11"/>
        <v>0.51908791800575604</v>
      </c>
      <c r="AL13" s="43">
        <f>AL106</f>
        <v>165856216.49573633</v>
      </c>
      <c r="AM13" s="44">
        <f>AL13/J13</f>
        <v>0.32032336229259378</v>
      </c>
      <c r="AN13" s="44">
        <v>0.32032336195273187</v>
      </c>
      <c r="AO13" s="44">
        <f>AM13-AN13</f>
        <v>3.3986191638746277E-10</v>
      </c>
      <c r="AP13" s="43">
        <f>AP106</f>
        <v>212669306.5</v>
      </c>
      <c r="AQ13" s="44">
        <f>AP13/J13</f>
        <v>0.41073496522372083</v>
      </c>
      <c r="AR13" s="44">
        <v>0.39917582273414387</v>
      </c>
      <c r="AS13" s="44">
        <f>AQ13-AR13</f>
        <v>1.1559142489576957E-2</v>
      </c>
    </row>
    <row r="14" spans="1:45" s="18" customFormat="1">
      <c r="A14" s="37"/>
      <c r="B14" s="38" t="s">
        <v>228</v>
      </c>
      <c r="C14" s="39"/>
      <c r="D14" s="40"/>
      <c r="E14" s="40"/>
      <c r="F14" s="41">
        <f>F151</f>
        <v>2256431635.6594682</v>
      </c>
      <c r="G14" s="41"/>
      <c r="H14" s="41">
        <f>H151</f>
        <v>2256431635.6594682</v>
      </c>
      <c r="I14" s="41"/>
      <c r="J14" s="41">
        <f>J151</f>
        <v>2256431635.6594682</v>
      </c>
      <c r="K14" s="41"/>
      <c r="L14" s="41">
        <f>L151</f>
        <v>216634579</v>
      </c>
      <c r="M14" s="41">
        <f>M151</f>
        <v>204129836.30000001</v>
      </c>
      <c r="N14" s="41">
        <f t="shared" si="0"/>
        <v>2460561471.9594684</v>
      </c>
      <c r="O14" s="42">
        <f>O151</f>
        <v>1436969023.3446999</v>
      </c>
      <c r="P14" s="43">
        <f>P151</f>
        <v>2133285794.79</v>
      </c>
      <c r="Q14" s="44">
        <f t="shared" si="1"/>
        <v>0.94542451943886285</v>
      </c>
      <c r="R14" s="44">
        <v>0.93590045247827924</v>
      </c>
      <c r="S14" s="44">
        <f t="shared" si="2"/>
        <v>9.5240669605836104E-3</v>
      </c>
      <c r="T14" s="44">
        <f t="shared" si="3"/>
        <v>0.86699146479407307</v>
      </c>
      <c r="U14" s="43">
        <f>U151</f>
        <v>2090047538.6899998</v>
      </c>
      <c r="V14" s="44">
        <f t="shared" si="4"/>
        <v>0.92626229204553734</v>
      </c>
      <c r="W14" s="44">
        <v>0.92279500385193192</v>
      </c>
      <c r="X14" s="44">
        <f t="shared" si="5"/>
        <v>3.4672881936054223E-3</v>
      </c>
      <c r="Y14" s="44">
        <f t="shared" si="6"/>
        <v>0.84941894868637047</v>
      </c>
      <c r="Z14" s="43">
        <f>Z151</f>
        <v>747809235.43999994</v>
      </c>
      <c r="AA14" s="43">
        <f>AA151</f>
        <v>9979082.9000000004</v>
      </c>
      <c r="AB14" s="43">
        <f>AB151</f>
        <v>422382958.25</v>
      </c>
      <c r="AC14" s="43">
        <f>AC151</f>
        <v>180987583.9900001</v>
      </c>
      <c r="AD14" s="43">
        <f>AD151</f>
        <v>37667191.109999999</v>
      </c>
      <c r="AE14" s="45">
        <f t="shared" si="7"/>
        <v>1142504085.48</v>
      </c>
      <c r="AF14" s="43">
        <f t="shared" si="8"/>
        <v>938775902.33000004</v>
      </c>
      <c r="AG14" s="235">
        <f>SUM(Z14:AB14)</f>
        <v>1180171276.5899999</v>
      </c>
      <c r="AH14" s="44">
        <f t="shared" si="9"/>
        <v>0.5230254965136939</v>
      </c>
      <c r="AI14" s="44">
        <v>0.48986725965528671</v>
      </c>
      <c r="AJ14" s="44">
        <f t="shared" si="10"/>
        <v>3.3158236858407186E-2</v>
      </c>
      <c r="AK14" s="44">
        <f t="shared" si="11"/>
        <v>0.47963494919318977</v>
      </c>
      <c r="AL14" s="43">
        <f>AL151</f>
        <v>524599829.89473534</v>
      </c>
      <c r="AM14" s="44">
        <f>AL14/J14</f>
        <v>0.23249090360382887</v>
      </c>
      <c r="AN14" s="44">
        <v>0.23249090360382887</v>
      </c>
      <c r="AO14" s="44">
        <f>AM14-AN14</f>
        <v>0</v>
      </c>
      <c r="AP14" s="43">
        <f>AP151</f>
        <v>740346303.97342801</v>
      </c>
      <c r="AQ14" s="44">
        <f>AP14/J14</f>
        <v>0.32810491231969158</v>
      </c>
      <c r="AR14" s="44">
        <v>0.31345833336316925</v>
      </c>
      <c r="AS14" s="44">
        <f>AQ14-AR14</f>
        <v>1.4646578956522327E-2</v>
      </c>
    </row>
    <row r="15" spans="1:45" s="18" customFormat="1" ht="109.5">
      <c r="A15" s="46">
        <v>1</v>
      </c>
      <c r="B15" s="47" t="s">
        <v>229</v>
      </c>
      <c r="C15" s="48" t="s">
        <v>230</v>
      </c>
      <c r="D15" s="48" t="s">
        <v>231</v>
      </c>
      <c r="E15" s="48"/>
      <c r="F15" s="49">
        <f>F16+F28+F54+F76+F85+F103</f>
        <v>409807622.18142396</v>
      </c>
      <c r="G15" s="49"/>
      <c r="H15" s="49">
        <f>H16+H28+H54+H76+H85+H103</f>
        <v>409807622.18142396</v>
      </c>
      <c r="I15" s="49">
        <f>I54</f>
        <v>0</v>
      </c>
      <c r="J15" s="49">
        <f>J16+J28+J54+J76+J85+J103</f>
        <v>409807622.21894801</v>
      </c>
      <c r="K15" s="49" t="s">
        <v>232</v>
      </c>
      <c r="L15" s="49">
        <f>L16+L28+L54+L76+L85+L103</f>
        <v>40869460.113769993</v>
      </c>
      <c r="M15" s="49">
        <f>M16+M28+M54+M76+M85+M103</f>
        <v>35654549.478203177</v>
      </c>
      <c r="N15" s="49">
        <f t="shared" si="0"/>
        <v>445462171.69715118</v>
      </c>
      <c r="O15" s="50">
        <f>O16+O28+O54+O76+O85+O103</f>
        <v>385629730.92040014</v>
      </c>
      <c r="P15" s="51">
        <f>P16+P28+P54+P76+P85+P103</f>
        <v>423523517.30000001</v>
      </c>
      <c r="Q15" s="52">
        <f t="shared" si="1"/>
        <v>1.0334691068135478</v>
      </c>
      <c r="R15" s="53">
        <v>1.0153318491304824</v>
      </c>
      <c r="S15" s="52">
        <f t="shared" si="2"/>
        <v>1.81372576830654E-2</v>
      </c>
      <c r="T15" s="52">
        <f t="shared" si="3"/>
        <v>0.95075080266957834</v>
      </c>
      <c r="U15" s="51">
        <f>U16+U28+U54+U76+U85+U103</f>
        <v>423488755.67000002</v>
      </c>
      <c r="V15" s="52">
        <f t="shared" si="4"/>
        <v>1.0333842825493924</v>
      </c>
      <c r="W15" s="54">
        <v>1.0151397373057824</v>
      </c>
      <c r="X15" s="52">
        <f t="shared" si="5"/>
        <v>1.8244545243609966E-2</v>
      </c>
      <c r="Y15" s="52">
        <f t="shared" si="6"/>
        <v>0.95067276769330289</v>
      </c>
      <c r="Z15" s="51">
        <f>Z16+Z28+Z54+Z76+Z85+Z103</f>
        <v>293031618.21999997</v>
      </c>
      <c r="AA15" s="51">
        <f>AA16+AA28+AA54+AA76+AA85+AA103</f>
        <v>0</v>
      </c>
      <c r="AB15" s="51">
        <f>AB16+AB28+AB54+AB76+AB85+AB103</f>
        <v>24591847.589999996</v>
      </c>
      <c r="AC15" s="51">
        <f>AC16+AC28+AC54+AC76+AC85+AC103</f>
        <v>12233749.720000016</v>
      </c>
      <c r="AD15" s="51">
        <f>AD16+AD28+AD54+AD76+AD85+AD103</f>
        <v>132944.78999999998</v>
      </c>
      <c r="AE15" s="51">
        <f t="shared" si="7"/>
        <v>317490521.01999998</v>
      </c>
      <c r="AF15" s="51">
        <f t="shared" si="8"/>
        <v>305265367.94</v>
      </c>
      <c r="AG15" s="236">
        <f>AG16+AG28+AG54+AG76+AG85+AG103</f>
        <v>317623465.81</v>
      </c>
      <c r="AH15" s="52">
        <f t="shared" si="9"/>
        <v>0.77505504678071424</v>
      </c>
      <c r="AI15" s="55">
        <v>0.76147730637441635</v>
      </c>
      <c r="AJ15" s="52">
        <f t="shared" si="10"/>
        <v>1.3577740406297889E-2</v>
      </c>
      <c r="AK15" s="52">
        <f t="shared" si="11"/>
        <v>0.7130200631849325</v>
      </c>
      <c r="AL15" s="56">
        <v>213988163.23065701</v>
      </c>
      <c r="AM15" s="57">
        <f>AL15/J15</f>
        <v>0.52216735762989175</v>
      </c>
      <c r="AN15" s="57">
        <v>0.52216735742971354</v>
      </c>
      <c r="AO15" s="57">
        <f>AM15-AN15</f>
        <v>2.0017820734352654E-10</v>
      </c>
      <c r="AP15" s="56">
        <v>246050044.63774601</v>
      </c>
      <c r="AQ15" s="57">
        <f>AP15/J15</f>
        <v>0.6004037780104754</v>
      </c>
      <c r="AR15" s="57">
        <v>0.60040377778030429</v>
      </c>
      <c r="AS15" s="58">
        <f>AQ15-AR15</f>
        <v>2.3017110439838007E-10</v>
      </c>
    </row>
    <row r="16" spans="1:45" s="18" customFormat="1" ht="49.5">
      <c r="A16" s="59" t="s">
        <v>233</v>
      </c>
      <c r="B16" s="60" t="s">
        <v>234</v>
      </c>
      <c r="C16" s="61" t="s">
        <v>230</v>
      </c>
      <c r="D16" s="61"/>
      <c r="E16" s="61"/>
      <c r="F16" s="62">
        <f>F17+F21</f>
        <v>82126550.392023996</v>
      </c>
      <c r="G16" s="62"/>
      <c r="H16" s="62">
        <f>H17+H21</f>
        <v>82126550.392023996</v>
      </c>
      <c r="I16" s="62"/>
      <c r="J16" s="62">
        <f>J17+J21</f>
        <v>82126550.392023996</v>
      </c>
      <c r="K16" s="62" t="s">
        <v>232</v>
      </c>
      <c r="L16" s="62">
        <f>L17+L21</f>
        <v>4463146</v>
      </c>
      <c r="M16" s="62">
        <f>M17+M21</f>
        <v>3862527</v>
      </c>
      <c r="N16" s="41">
        <f t="shared" si="0"/>
        <v>85989077.392023996</v>
      </c>
      <c r="O16" s="63">
        <f>O17+O21</f>
        <v>75006466.810000002</v>
      </c>
      <c r="P16" s="64">
        <f>P17+P21</f>
        <v>76404875.450000003</v>
      </c>
      <c r="Q16" s="65">
        <f t="shared" si="1"/>
        <v>0.93033099631346905</v>
      </c>
      <c r="R16" s="65">
        <v>0.93065001616606158</v>
      </c>
      <c r="S16" s="65">
        <f t="shared" si="2"/>
        <v>-3.1901985259252807E-4</v>
      </c>
      <c r="T16" s="65">
        <f t="shared" si="3"/>
        <v>0.88854163537155262</v>
      </c>
      <c r="U16" s="64">
        <f>U17+U21</f>
        <v>76404875.450000003</v>
      </c>
      <c r="V16" s="65">
        <f t="shared" si="4"/>
        <v>0.93033099631346905</v>
      </c>
      <c r="W16" s="65">
        <v>0.93065001616606158</v>
      </c>
      <c r="X16" s="65">
        <f t="shared" si="5"/>
        <v>-3.1901985259252807E-4</v>
      </c>
      <c r="Y16" s="44">
        <f t="shared" si="6"/>
        <v>0.88854163537155262</v>
      </c>
      <c r="Z16" s="64">
        <f>Z17+Z21</f>
        <v>51038544.460000001</v>
      </c>
      <c r="AA16" s="64">
        <f>AA17+AA21</f>
        <v>0</v>
      </c>
      <c r="AB16" s="64">
        <f>AB17+AB21</f>
        <v>15337528.77</v>
      </c>
      <c r="AC16" s="64">
        <f>AC17+AC21</f>
        <v>8076601.4200000092</v>
      </c>
      <c r="AD16" s="64">
        <f>AD17+AD21</f>
        <v>0</v>
      </c>
      <c r="AE16" s="64">
        <f t="shared" si="7"/>
        <v>66376073.230000004</v>
      </c>
      <c r="AF16" s="66">
        <f t="shared" si="8"/>
        <v>59115145.88000001</v>
      </c>
      <c r="AG16" s="234">
        <f>AG17+AG21</f>
        <v>66376073.230000004</v>
      </c>
      <c r="AH16" s="65">
        <f t="shared" si="9"/>
        <v>0.80821698845451995</v>
      </c>
      <c r="AI16" s="65">
        <v>0.80397802324365653</v>
      </c>
      <c r="AJ16" s="65">
        <f t="shared" si="10"/>
        <v>4.2389652108634213E-3</v>
      </c>
      <c r="AK16" s="44">
        <f t="shared" si="11"/>
        <v>0.77191284338813926</v>
      </c>
      <c r="AL16" s="62"/>
      <c r="AM16" s="67"/>
      <c r="AN16" s="67"/>
      <c r="AO16" s="67"/>
      <c r="AP16" s="62"/>
      <c r="AQ16" s="67"/>
      <c r="AR16" s="67"/>
      <c r="AS16" s="68"/>
    </row>
    <row r="17" spans="1:45" s="18" customFormat="1" ht="82.5">
      <c r="A17" s="59" t="s">
        <v>235</v>
      </c>
      <c r="B17" s="60" t="s">
        <v>236</v>
      </c>
      <c r="C17" s="61" t="s">
        <v>230</v>
      </c>
      <c r="D17" s="61"/>
      <c r="E17" s="61"/>
      <c r="F17" s="62">
        <f>SUM(F18:F20)</f>
        <v>38625269.394827999</v>
      </c>
      <c r="G17" s="62"/>
      <c r="H17" s="62">
        <f>SUM(H18:H20)</f>
        <v>38625269.394827999</v>
      </c>
      <c r="I17" s="62"/>
      <c r="J17" s="62">
        <f>SUM(J18:J20)</f>
        <v>38625269.394827999</v>
      </c>
      <c r="K17" s="62" t="s">
        <v>232</v>
      </c>
      <c r="L17" s="62">
        <f>SUM(L18:L20)</f>
        <v>4463146</v>
      </c>
      <c r="M17" s="62">
        <f>SUM(M18:M20)</f>
        <v>3862527</v>
      </c>
      <c r="N17" s="41">
        <f t="shared" si="0"/>
        <v>42487796.394827999</v>
      </c>
      <c r="O17" s="63">
        <f>SUM(O18:O20)</f>
        <v>35970994.299999997</v>
      </c>
      <c r="P17" s="64">
        <f>SUM(P18:P20)</f>
        <v>33392077</v>
      </c>
      <c r="Q17" s="65">
        <f t="shared" si="1"/>
        <v>0.86451376322235474</v>
      </c>
      <c r="R17" s="65">
        <v>0.86482596816458401</v>
      </c>
      <c r="S17" s="65">
        <f t="shared" si="2"/>
        <v>-3.1220494222927719E-4</v>
      </c>
      <c r="T17" s="65">
        <f t="shared" si="3"/>
        <v>0.78592160180999138</v>
      </c>
      <c r="U17" s="64">
        <f>SUM(U18:U20)</f>
        <v>33392077</v>
      </c>
      <c r="V17" s="65">
        <f t="shared" si="4"/>
        <v>0.86451376322235474</v>
      </c>
      <c r="W17" s="65">
        <v>0.86482596816458401</v>
      </c>
      <c r="X17" s="65">
        <f t="shared" si="5"/>
        <v>-3.1220494222927719E-4</v>
      </c>
      <c r="Y17" s="44">
        <f t="shared" si="6"/>
        <v>0.78592160180999138</v>
      </c>
      <c r="Z17" s="64">
        <f>SUM(Z18:Z20)</f>
        <v>23316681.32</v>
      </c>
      <c r="AA17" s="64">
        <f>SUM(AA18:AA20)</f>
        <v>0</v>
      </c>
      <c r="AB17" s="64">
        <f>SUM(AB18:AB20)</f>
        <v>6783360.3799999999</v>
      </c>
      <c r="AC17" s="64">
        <f>SUM(AC18:AC20)</f>
        <v>5391713.5099999998</v>
      </c>
      <c r="AD17" s="64">
        <f>SUM(AD18:AD20)</f>
        <v>0</v>
      </c>
      <c r="AE17" s="64">
        <f t="shared" si="7"/>
        <v>30100041.699999999</v>
      </c>
      <c r="AF17" s="66">
        <f t="shared" si="8"/>
        <v>28708394.829999998</v>
      </c>
      <c r="AG17" s="234">
        <f>SUM(AG18:AG20)</f>
        <v>30100041.699999999</v>
      </c>
      <c r="AH17" s="65">
        <f t="shared" si="9"/>
        <v>0.77928367029151269</v>
      </c>
      <c r="AI17" s="65">
        <v>0.77812829012978946</v>
      </c>
      <c r="AJ17" s="65">
        <f t="shared" si="10"/>
        <v>1.1553801617232295E-3</v>
      </c>
      <c r="AK17" s="44">
        <f t="shared" si="11"/>
        <v>0.70843969925595029</v>
      </c>
      <c r="AL17" s="62"/>
      <c r="AM17" s="67"/>
      <c r="AN17" s="67"/>
      <c r="AO17" s="67"/>
      <c r="AP17" s="62"/>
      <c r="AQ17" s="67"/>
      <c r="AR17" s="67"/>
      <c r="AS17" s="68"/>
    </row>
    <row r="18" spans="1:45" ht="115.5">
      <c r="A18" s="69" t="s">
        <v>46</v>
      </c>
      <c r="B18" s="70" t="s">
        <v>237</v>
      </c>
      <c r="C18" s="71" t="s">
        <v>230</v>
      </c>
      <c r="D18" s="71" t="s">
        <v>238</v>
      </c>
      <c r="E18" s="71"/>
      <c r="F18" s="72">
        <v>0</v>
      </c>
      <c r="G18" s="72"/>
      <c r="H18" s="72">
        <v>0</v>
      </c>
      <c r="I18" s="72"/>
      <c r="J18" s="72">
        <v>0</v>
      </c>
      <c r="K18" s="62" t="s">
        <v>232</v>
      </c>
      <c r="L18" s="72">
        <v>0</v>
      </c>
      <c r="M18" s="72"/>
      <c r="N18" s="73">
        <f t="shared" si="0"/>
        <v>0</v>
      </c>
      <c r="O18" s="74">
        <v>0</v>
      </c>
      <c r="P18" s="72">
        <v>0</v>
      </c>
      <c r="Q18" s="75">
        <v>0</v>
      </c>
      <c r="R18" s="76">
        <v>0</v>
      </c>
      <c r="S18" s="75">
        <f t="shared" si="2"/>
        <v>0</v>
      </c>
      <c r="T18" s="75" t="e">
        <f t="shared" si="3"/>
        <v>#DIV/0!</v>
      </c>
      <c r="U18" s="77">
        <v>0</v>
      </c>
      <c r="V18" s="75">
        <v>0</v>
      </c>
      <c r="W18" s="76">
        <v>0</v>
      </c>
      <c r="X18" s="75">
        <f t="shared" si="5"/>
        <v>0</v>
      </c>
      <c r="Y18" s="75" t="e">
        <f t="shared" si="6"/>
        <v>#DIV/0!</v>
      </c>
      <c r="Z18" s="78">
        <v>0</v>
      </c>
      <c r="AA18" s="78">
        <v>0</v>
      </c>
      <c r="AB18" s="78">
        <v>0</v>
      </c>
      <c r="AC18" s="78">
        <v>0</v>
      </c>
      <c r="AD18" s="78">
        <v>0</v>
      </c>
      <c r="AE18" s="77">
        <f t="shared" si="7"/>
        <v>0</v>
      </c>
      <c r="AF18" s="79">
        <f t="shared" si="8"/>
        <v>0</v>
      </c>
      <c r="AG18" s="237">
        <f>SUM(Z18:AB18)</f>
        <v>0</v>
      </c>
      <c r="AH18" s="75">
        <v>0</v>
      </c>
      <c r="AI18" s="75">
        <v>0</v>
      </c>
      <c r="AJ18" s="75">
        <f t="shared" si="10"/>
        <v>0</v>
      </c>
      <c r="AK18" s="80" t="e">
        <f t="shared" si="11"/>
        <v>#DIV/0!</v>
      </c>
      <c r="AL18" s="72"/>
      <c r="AM18" s="81"/>
      <c r="AN18" s="81"/>
      <c r="AO18" s="81"/>
      <c r="AP18" s="72"/>
      <c r="AQ18" s="81"/>
      <c r="AR18" s="81"/>
      <c r="AS18" s="82"/>
    </row>
    <row r="19" spans="1:45" ht="66">
      <c r="A19" s="69" t="s">
        <v>47</v>
      </c>
      <c r="B19" s="70" t="s">
        <v>239</v>
      </c>
      <c r="C19" s="71" t="s">
        <v>230</v>
      </c>
      <c r="D19" s="71" t="s">
        <v>238</v>
      </c>
      <c r="E19" s="71"/>
      <c r="F19" s="72">
        <v>38625269.394827999</v>
      </c>
      <c r="G19" s="72"/>
      <c r="H19" s="72">
        <v>38625269.394827999</v>
      </c>
      <c r="I19" s="72"/>
      <c r="J19" s="72">
        <f>H19</f>
        <v>38625269.394827999</v>
      </c>
      <c r="K19" s="62" t="s">
        <v>232</v>
      </c>
      <c r="L19" s="72">
        <v>4463146</v>
      </c>
      <c r="M19" s="83">
        <v>3862527</v>
      </c>
      <c r="N19" s="73">
        <f t="shared" si="0"/>
        <v>42487796.394827999</v>
      </c>
      <c r="O19" s="74">
        <v>35970994.299999997</v>
      </c>
      <c r="P19" s="84">
        <v>33392077</v>
      </c>
      <c r="Q19" s="85">
        <f>P19/J19</f>
        <v>0.86451376322235474</v>
      </c>
      <c r="R19" s="86">
        <v>0.86482596816458401</v>
      </c>
      <c r="S19" s="85">
        <f t="shared" si="2"/>
        <v>-3.1220494222927719E-4</v>
      </c>
      <c r="T19" s="85">
        <f t="shared" si="3"/>
        <v>0.78592160180999138</v>
      </c>
      <c r="U19" s="84">
        <v>33392077</v>
      </c>
      <c r="V19" s="85">
        <f>U19/J19</f>
        <v>0.86451376322235474</v>
      </c>
      <c r="W19" s="86">
        <v>0.86482596816458401</v>
      </c>
      <c r="X19" s="85">
        <f t="shared" si="5"/>
        <v>-3.1220494222927719E-4</v>
      </c>
      <c r="Y19" s="85">
        <f t="shared" si="6"/>
        <v>0.78592160180999138</v>
      </c>
      <c r="Z19" s="87">
        <v>23316681.32</v>
      </c>
      <c r="AA19" s="88">
        <v>0</v>
      </c>
      <c r="AB19" s="87">
        <v>6783360.3799999999</v>
      </c>
      <c r="AC19" s="87">
        <v>5391713.5099999998</v>
      </c>
      <c r="AD19" s="89">
        <v>0</v>
      </c>
      <c r="AE19" s="77">
        <f t="shared" si="7"/>
        <v>30100041.699999999</v>
      </c>
      <c r="AF19" s="79">
        <f t="shared" si="8"/>
        <v>28708394.829999998</v>
      </c>
      <c r="AG19" s="237">
        <f>SUM(Z19:AB19)</f>
        <v>30100041.699999999</v>
      </c>
      <c r="AH19" s="75">
        <f>AG19/J19</f>
        <v>0.77928367029151269</v>
      </c>
      <c r="AI19" s="75">
        <v>0.77812829012978946</v>
      </c>
      <c r="AJ19" s="75">
        <f t="shared" si="10"/>
        <v>1.1553801617232295E-3</v>
      </c>
      <c r="AK19" s="80">
        <f t="shared" si="11"/>
        <v>0.70843969925595029</v>
      </c>
      <c r="AL19" s="72"/>
      <c r="AM19" s="81"/>
      <c r="AN19" s="81"/>
      <c r="AO19" s="81"/>
      <c r="AP19" s="72"/>
      <c r="AQ19" s="81"/>
      <c r="AR19" s="81"/>
      <c r="AS19" s="82"/>
    </row>
    <row r="20" spans="1:45" ht="82.5">
      <c r="A20" s="69" t="s">
        <v>137</v>
      </c>
      <c r="B20" s="70" t="s">
        <v>240</v>
      </c>
      <c r="C20" s="71" t="s">
        <v>230</v>
      </c>
      <c r="D20" s="71" t="s">
        <v>238</v>
      </c>
      <c r="E20" s="71"/>
      <c r="F20" s="72">
        <v>0</v>
      </c>
      <c r="G20" s="72"/>
      <c r="H20" s="72">
        <v>0</v>
      </c>
      <c r="I20" s="72"/>
      <c r="J20" s="72">
        <v>0</v>
      </c>
      <c r="K20" s="62" t="s">
        <v>232</v>
      </c>
      <c r="L20" s="72">
        <v>0</v>
      </c>
      <c r="M20" s="72"/>
      <c r="N20" s="73">
        <f t="shared" si="0"/>
        <v>0</v>
      </c>
      <c r="O20" s="74">
        <v>0</v>
      </c>
      <c r="P20" s="90">
        <v>0</v>
      </c>
      <c r="Q20" s="85">
        <v>0</v>
      </c>
      <c r="R20" s="86">
        <v>0</v>
      </c>
      <c r="S20" s="85">
        <v>0</v>
      </c>
      <c r="T20" s="85" t="e">
        <f t="shared" si="3"/>
        <v>#DIV/0!</v>
      </c>
      <c r="U20" s="89">
        <v>0</v>
      </c>
      <c r="V20" s="85">
        <v>0</v>
      </c>
      <c r="W20" s="86">
        <v>0</v>
      </c>
      <c r="X20" s="85">
        <f t="shared" si="5"/>
        <v>0</v>
      </c>
      <c r="Y20" s="85" t="e">
        <f t="shared" si="6"/>
        <v>#DIV/0!</v>
      </c>
      <c r="Z20" s="91">
        <v>0</v>
      </c>
      <c r="AA20" s="91">
        <v>0</v>
      </c>
      <c r="AB20" s="91">
        <v>0</v>
      </c>
      <c r="AC20" s="91">
        <v>0</v>
      </c>
      <c r="AD20" s="91">
        <v>0</v>
      </c>
      <c r="AE20" s="77">
        <f t="shared" si="7"/>
        <v>0</v>
      </c>
      <c r="AF20" s="79">
        <f t="shared" si="8"/>
        <v>0</v>
      </c>
      <c r="AG20" s="237">
        <f>SUM(Z20:AB20)</f>
        <v>0</v>
      </c>
      <c r="AH20" s="75">
        <v>0</v>
      </c>
      <c r="AI20" s="75">
        <v>0</v>
      </c>
      <c r="AJ20" s="75">
        <f t="shared" si="10"/>
        <v>0</v>
      </c>
      <c r="AK20" s="80" t="e">
        <f t="shared" si="11"/>
        <v>#DIV/0!</v>
      </c>
      <c r="AL20" s="72"/>
      <c r="AM20" s="81"/>
      <c r="AN20" s="81"/>
      <c r="AO20" s="81"/>
      <c r="AP20" s="72"/>
      <c r="AQ20" s="81"/>
      <c r="AR20" s="81"/>
      <c r="AS20" s="82"/>
    </row>
    <row r="21" spans="1:45" s="18" customFormat="1" ht="66">
      <c r="A21" s="59" t="s">
        <v>241</v>
      </c>
      <c r="B21" s="60" t="s">
        <v>242</v>
      </c>
      <c r="C21" s="61" t="s">
        <v>230</v>
      </c>
      <c r="D21" s="61" t="s">
        <v>238</v>
      </c>
      <c r="E21" s="61"/>
      <c r="F21" s="62">
        <f>F22+F25</f>
        <v>43501280.997195996</v>
      </c>
      <c r="G21" s="62"/>
      <c r="H21" s="62">
        <f>H22+H25</f>
        <v>43501280.997195996</v>
      </c>
      <c r="I21" s="62"/>
      <c r="J21" s="62">
        <f>J22+J25</f>
        <v>43501280.997195996</v>
      </c>
      <c r="K21" s="62" t="s">
        <v>232</v>
      </c>
      <c r="L21" s="62">
        <f>L22+L25</f>
        <v>0</v>
      </c>
      <c r="M21" s="62">
        <f>M22+M25</f>
        <v>0</v>
      </c>
      <c r="N21" s="41">
        <f t="shared" si="0"/>
        <v>43501280.997195996</v>
      </c>
      <c r="O21" s="63">
        <f>O22+O25</f>
        <v>39035472.509999998</v>
      </c>
      <c r="P21" s="92">
        <f>P22+P25</f>
        <v>43012798.450000003</v>
      </c>
      <c r="Q21" s="93">
        <f t="shared" ref="Q21:Q26" si="12">P21/J21</f>
        <v>0.98877084683489025</v>
      </c>
      <c r="R21" s="93">
        <v>0.98909591772190408</v>
      </c>
      <c r="S21" s="93">
        <f t="shared" ref="S21:S60" si="13">Q21-R21</f>
        <v>-3.2507088701383413E-4</v>
      </c>
      <c r="T21" s="93">
        <f t="shared" si="3"/>
        <v>0.98877084683489025</v>
      </c>
      <c r="U21" s="92">
        <f>U22+U25</f>
        <v>43012798.450000003</v>
      </c>
      <c r="V21" s="93">
        <f t="shared" ref="V21:V26" si="14">U21/J21</f>
        <v>0.98877084683489025</v>
      </c>
      <c r="W21" s="93">
        <v>0.98909591772190408</v>
      </c>
      <c r="X21" s="93">
        <f t="shared" si="5"/>
        <v>-3.2507088701383413E-4</v>
      </c>
      <c r="Y21" s="93">
        <f t="shared" si="6"/>
        <v>0.98877084683489025</v>
      </c>
      <c r="Z21" s="92">
        <f>Z22+Z25</f>
        <v>27721863.140000001</v>
      </c>
      <c r="AA21" s="92">
        <f>AA22+AA25</f>
        <v>0</v>
      </c>
      <c r="AB21" s="92">
        <f>AB22+AB25</f>
        <v>8554168.3900000006</v>
      </c>
      <c r="AC21" s="92">
        <f>AC22+AC25</f>
        <v>2684887.9100000099</v>
      </c>
      <c r="AD21" s="92">
        <v>0</v>
      </c>
      <c r="AE21" s="64">
        <f t="shared" si="7"/>
        <v>36276031.530000001</v>
      </c>
      <c r="AF21" s="66">
        <f t="shared" si="8"/>
        <v>30406751.050000012</v>
      </c>
      <c r="AG21" s="234">
        <f>AG22+AG25</f>
        <v>36276031.530000001</v>
      </c>
      <c r="AH21" s="65">
        <f t="shared" ref="AH21:AH26" si="15">AG21/J21</f>
        <v>0.83390720223476367</v>
      </c>
      <c r="AI21" s="75">
        <v>0.82693028769241805</v>
      </c>
      <c r="AJ21" s="65">
        <f t="shared" si="10"/>
        <v>6.9769145423456136E-3</v>
      </c>
      <c r="AK21" s="44">
        <f t="shared" si="11"/>
        <v>0.83390720223476367</v>
      </c>
      <c r="AL21" s="62"/>
      <c r="AM21" s="67"/>
      <c r="AN21" s="67"/>
      <c r="AO21" s="67"/>
      <c r="AP21" s="62"/>
      <c r="AQ21" s="67"/>
      <c r="AR21" s="67"/>
      <c r="AS21" s="68"/>
    </row>
    <row r="22" spans="1:45" s="18" customFormat="1" ht="66">
      <c r="A22" s="94" t="s">
        <v>243</v>
      </c>
      <c r="B22" s="95" t="s">
        <v>244</v>
      </c>
      <c r="C22" s="96" t="s">
        <v>230</v>
      </c>
      <c r="D22" s="96" t="s">
        <v>238</v>
      </c>
      <c r="E22" s="96"/>
      <c r="F22" s="72">
        <f>SUM(F23:F24)</f>
        <v>42499786</v>
      </c>
      <c r="G22" s="72"/>
      <c r="H22" s="72">
        <f>SUM(H23:H24)</f>
        <v>42499786</v>
      </c>
      <c r="I22" s="72"/>
      <c r="J22" s="72">
        <f>SUM(J23:J24)</f>
        <v>42499786</v>
      </c>
      <c r="K22" s="62" t="s">
        <v>232</v>
      </c>
      <c r="L22" s="72">
        <f>SUM(L23:L24)</f>
        <v>0</v>
      </c>
      <c r="M22" s="72"/>
      <c r="N22" s="73">
        <f t="shared" si="0"/>
        <v>42499786</v>
      </c>
      <c r="O22" s="97">
        <f>SUM(O23:O24)</f>
        <v>38149880.539999999</v>
      </c>
      <c r="P22" s="98">
        <f>SUM(P23:P24)</f>
        <v>42011303.450000003</v>
      </c>
      <c r="Q22" s="85">
        <f t="shared" si="12"/>
        <v>0.98850623506668955</v>
      </c>
      <c r="R22" s="85">
        <v>0.98883896615385314</v>
      </c>
      <c r="S22" s="85">
        <f t="shared" si="13"/>
        <v>-3.3273108716358468E-4</v>
      </c>
      <c r="T22" s="85">
        <f t="shared" si="3"/>
        <v>0.98850623506668955</v>
      </c>
      <c r="U22" s="99">
        <f>SUM(U23:U24)</f>
        <v>42011303.450000003</v>
      </c>
      <c r="V22" s="85">
        <f t="shared" si="14"/>
        <v>0.98850623506668955</v>
      </c>
      <c r="W22" s="85">
        <v>0.98883896615385314</v>
      </c>
      <c r="X22" s="85">
        <f t="shared" si="5"/>
        <v>-3.3273108716358468E-4</v>
      </c>
      <c r="Y22" s="85">
        <f t="shared" si="6"/>
        <v>0.98850623506668955</v>
      </c>
      <c r="Z22" s="99">
        <f>SUM(Z23:Z24)</f>
        <v>27002319.469999999</v>
      </c>
      <c r="AA22" s="99">
        <f>SUM(AA23:AA24)</f>
        <v>0</v>
      </c>
      <c r="AB22" s="99">
        <f>SUM(AB23:AB24)</f>
        <v>8554168.3900000006</v>
      </c>
      <c r="AC22" s="99">
        <f>SUM(AC23:AC24)</f>
        <v>2684887.9100000099</v>
      </c>
      <c r="AD22" s="99">
        <v>0</v>
      </c>
      <c r="AE22" s="100">
        <f t="shared" si="7"/>
        <v>35556487.859999999</v>
      </c>
      <c r="AF22" s="101">
        <f t="shared" si="8"/>
        <v>29687207.38000001</v>
      </c>
      <c r="AG22" s="238">
        <f>SUM(AG23:AG24)</f>
        <v>35556487.859999999</v>
      </c>
      <c r="AH22" s="75">
        <f t="shared" si="15"/>
        <v>0.8366274564300159</v>
      </c>
      <c r="AI22" s="75">
        <v>0.82948613294193996</v>
      </c>
      <c r="AJ22" s="75">
        <f t="shared" si="10"/>
        <v>7.1413234880759457E-3</v>
      </c>
      <c r="AK22" s="80">
        <f t="shared" si="11"/>
        <v>0.8366274564300159</v>
      </c>
      <c r="AL22" s="72"/>
      <c r="AM22" s="81"/>
      <c r="AN22" s="81"/>
      <c r="AO22" s="81"/>
      <c r="AP22" s="72"/>
      <c r="AQ22" s="81"/>
      <c r="AR22" s="81"/>
      <c r="AS22" s="82"/>
    </row>
    <row r="23" spans="1:45" ht="66">
      <c r="A23" s="69" t="s">
        <v>245</v>
      </c>
      <c r="B23" s="70" t="s">
        <v>246</v>
      </c>
      <c r="C23" s="71" t="s">
        <v>230</v>
      </c>
      <c r="D23" s="71" t="s">
        <v>238</v>
      </c>
      <c r="E23" s="71"/>
      <c r="F23" s="72">
        <v>7804604</v>
      </c>
      <c r="G23" s="72"/>
      <c r="H23" s="72">
        <v>7804604</v>
      </c>
      <c r="I23" s="72"/>
      <c r="J23" s="72">
        <v>7804604</v>
      </c>
      <c r="K23" s="62" t="s">
        <v>232</v>
      </c>
      <c r="L23" s="72">
        <v>0</v>
      </c>
      <c r="M23" s="72"/>
      <c r="N23" s="73">
        <f t="shared" si="0"/>
        <v>7804604</v>
      </c>
      <c r="O23" s="74">
        <v>6751505.54</v>
      </c>
      <c r="P23" s="90">
        <v>7339042.4500000002</v>
      </c>
      <c r="Q23" s="85">
        <f t="shared" si="12"/>
        <v>0.94034783186949655</v>
      </c>
      <c r="R23" s="86">
        <v>0.94215971111410657</v>
      </c>
      <c r="S23" s="85">
        <f t="shared" si="13"/>
        <v>-1.8118792446100151E-3</v>
      </c>
      <c r="T23" s="85">
        <f t="shared" si="3"/>
        <v>0.94034783186949655</v>
      </c>
      <c r="U23" s="90">
        <v>7339042.4500000002</v>
      </c>
      <c r="V23" s="85">
        <f t="shared" si="14"/>
        <v>0.94034783186949655</v>
      </c>
      <c r="W23" s="86">
        <v>0.94215971111410657</v>
      </c>
      <c r="X23" s="85">
        <f t="shared" si="5"/>
        <v>-1.8118792446100151E-3</v>
      </c>
      <c r="Y23" s="85">
        <f t="shared" si="6"/>
        <v>0.94034783186949655</v>
      </c>
      <c r="Z23" s="87">
        <v>4432533.55</v>
      </c>
      <c r="AA23" s="88">
        <v>0</v>
      </c>
      <c r="AB23" s="87">
        <v>1518939.16</v>
      </c>
      <c r="AC23" s="87">
        <v>799345.44</v>
      </c>
      <c r="AD23" s="89">
        <v>0</v>
      </c>
      <c r="AE23" s="77">
        <f t="shared" si="7"/>
        <v>5951472.71</v>
      </c>
      <c r="AF23" s="79">
        <f t="shared" si="8"/>
        <v>5231878.99</v>
      </c>
      <c r="AG23" s="237">
        <f>SUM(Z23:AB23)</f>
        <v>5951472.71</v>
      </c>
      <c r="AH23" s="75">
        <f t="shared" si="15"/>
        <v>0.7625592163292334</v>
      </c>
      <c r="AI23" s="75">
        <v>0.76055672651680983</v>
      </c>
      <c r="AJ23" s="75">
        <f t="shared" si="10"/>
        <v>2.002489812423569E-3</v>
      </c>
      <c r="AK23" s="80">
        <f t="shared" si="11"/>
        <v>0.7625592163292334</v>
      </c>
      <c r="AL23" s="72"/>
      <c r="AM23" s="81"/>
      <c r="AN23" s="81"/>
      <c r="AO23" s="81"/>
      <c r="AP23" s="72"/>
      <c r="AQ23" s="81"/>
      <c r="AR23" s="81"/>
      <c r="AS23" s="82"/>
    </row>
    <row r="24" spans="1:45" ht="66">
      <c r="A24" s="69" t="s">
        <v>247</v>
      </c>
      <c r="B24" s="70" t="s">
        <v>248</v>
      </c>
      <c r="C24" s="71" t="s">
        <v>230</v>
      </c>
      <c r="D24" s="71" t="s">
        <v>238</v>
      </c>
      <c r="E24" s="71"/>
      <c r="F24" s="72">
        <v>34695182</v>
      </c>
      <c r="G24" s="72"/>
      <c r="H24" s="72">
        <v>34695182</v>
      </c>
      <c r="I24" s="72"/>
      <c r="J24" s="72">
        <v>34695182</v>
      </c>
      <c r="K24" s="62" t="s">
        <v>232</v>
      </c>
      <c r="L24" s="72">
        <v>0</v>
      </c>
      <c r="M24" s="72"/>
      <c r="N24" s="73">
        <f t="shared" si="0"/>
        <v>34695182</v>
      </c>
      <c r="O24" s="74">
        <v>31398375</v>
      </c>
      <c r="P24" s="99">
        <v>34672261</v>
      </c>
      <c r="Q24" s="85">
        <f t="shared" si="12"/>
        <v>0.99933936072161256</v>
      </c>
      <c r="R24" s="86">
        <v>0.99933936072161256</v>
      </c>
      <c r="S24" s="85">
        <f t="shared" si="13"/>
        <v>0</v>
      </c>
      <c r="T24" s="85">
        <f t="shared" si="3"/>
        <v>0.99933936072161256</v>
      </c>
      <c r="U24" s="99">
        <v>34672261</v>
      </c>
      <c r="V24" s="85">
        <f t="shared" si="14"/>
        <v>0.99933936072161256</v>
      </c>
      <c r="W24" s="86">
        <v>0.99933936072161256</v>
      </c>
      <c r="X24" s="85">
        <f t="shared" si="5"/>
        <v>0</v>
      </c>
      <c r="Y24" s="85">
        <f t="shared" si="6"/>
        <v>0.99933936072161256</v>
      </c>
      <c r="Z24" s="87">
        <v>22569785.919999998</v>
      </c>
      <c r="AA24" s="88">
        <v>0</v>
      </c>
      <c r="AB24" s="87">
        <v>7035229.2300000004</v>
      </c>
      <c r="AC24" s="87">
        <v>1885542.47000001</v>
      </c>
      <c r="AD24" s="89">
        <v>0</v>
      </c>
      <c r="AE24" s="77">
        <f t="shared" si="7"/>
        <v>29605015.149999999</v>
      </c>
      <c r="AF24" s="79">
        <f t="shared" si="8"/>
        <v>24455328.390000008</v>
      </c>
      <c r="AG24" s="237">
        <f>SUM(Z24:AB24)</f>
        <v>29605015.149999999</v>
      </c>
      <c r="AH24" s="75">
        <f t="shared" si="15"/>
        <v>0.85328894225140539</v>
      </c>
      <c r="AI24" s="75">
        <v>0.84499164956102546</v>
      </c>
      <c r="AJ24" s="75">
        <f t="shared" si="10"/>
        <v>8.2972926903799316E-3</v>
      </c>
      <c r="AK24" s="80">
        <f t="shared" si="11"/>
        <v>0.85328894225140539</v>
      </c>
      <c r="AL24" s="72"/>
      <c r="AM24" s="81"/>
      <c r="AN24" s="81"/>
      <c r="AO24" s="81"/>
      <c r="AP24" s="72"/>
      <c r="AQ24" s="81"/>
      <c r="AR24" s="81"/>
      <c r="AS24" s="82"/>
    </row>
    <row r="25" spans="1:45" s="18" customFormat="1" ht="66">
      <c r="A25" s="94" t="s">
        <v>249</v>
      </c>
      <c r="B25" s="95" t="s">
        <v>250</v>
      </c>
      <c r="C25" s="96" t="s">
        <v>230</v>
      </c>
      <c r="D25" s="96" t="s">
        <v>238</v>
      </c>
      <c r="E25" s="96"/>
      <c r="F25" s="72">
        <f>SUM(F26:F27)</f>
        <v>1001494.997196</v>
      </c>
      <c r="G25" s="72"/>
      <c r="H25" s="72">
        <f>SUM(H26:H27)</f>
        <v>1001494.997196</v>
      </c>
      <c r="I25" s="72"/>
      <c r="J25" s="72">
        <f>SUM(J26:J27)</f>
        <v>1001494.997196</v>
      </c>
      <c r="K25" s="62" t="s">
        <v>232</v>
      </c>
      <c r="L25" s="72">
        <f>SUM(L26:L27)</f>
        <v>0</v>
      </c>
      <c r="M25" s="72"/>
      <c r="N25" s="73">
        <f t="shared" si="0"/>
        <v>1001494.997196</v>
      </c>
      <c r="O25" s="74">
        <f>SUM(O26:O27)</f>
        <v>885591.97</v>
      </c>
      <c r="P25" s="90">
        <f>SUM(P26:P27)</f>
        <v>1001495</v>
      </c>
      <c r="Q25" s="85">
        <f t="shared" si="12"/>
        <v>1.0000000027998144</v>
      </c>
      <c r="R25" s="85">
        <v>1.0000000027998144</v>
      </c>
      <c r="S25" s="85">
        <f t="shared" si="13"/>
        <v>0</v>
      </c>
      <c r="T25" s="85">
        <f t="shared" si="3"/>
        <v>1.0000000027998144</v>
      </c>
      <c r="U25" s="90">
        <f>SUM(U26:U27)</f>
        <v>1001495</v>
      </c>
      <c r="V25" s="85">
        <f t="shared" si="14"/>
        <v>1.0000000027998144</v>
      </c>
      <c r="W25" s="85">
        <v>1.0000000027998144</v>
      </c>
      <c r="X25" s="85">
        <f t="shared" si="5"/>
        <v>0</v>
      </c>
      <c r="Y25" s="85">
        <f t="shared" si="6"/>
        <v>1.0000000027998144</v>
      </c>
      <c r="Z25" s="90">
        <f>SUM(Z26:Z27)</f>
        <v>719543.67</v>
      </c>
      <c r="AA25" s="99">
        <v>0</v>
      </c>
      <c r="AB25" s="99">
        <v>0</v>
      </c>
      <c r="AC25" s="99">
        <v>0</v>
      </c>
      <c r="AD25" s="99">
        <v>0</v>
      </c>
      <c r="AE25" s="100">
        <f t="shared" si="7"/>
        <v>719543.67</v>
      </c>
      <c r="AF25" s="72">
        <f>SUM(AF26:AF27)</f>
        <v>719543.67</v>
      </c>
      <c r="AG25" s="239">
        <f>SUM(Z25:AB25)</f>
        <v>719543.67</v>
      </c>
      <c r="AH25" s="75">
        <f t="shared" si="15"/>
        <v>0.71846956002235529</v>
      </c>
      <c r="AI25" s="75">
        <v>0.71846956002235529</v>
      </c>
      <c r="AJ25" s="75">
        <f t="shared" si="10"/>
        <v>0</v>
      </c>
      <c r="AK25" s="80">
        <f t="shared" si="11"/>
        <v>0.71846956002235529</v>
      </c>
      <c r="AL25" s="72"/>
      <c r="AM25" s="81"/>
      <c r="AN25" s="81"/>
      <c r="AO25" s="81"/>
      <c r="AP25" s="72"/>
      <c r="AQ25" s="81"/>
      <c r="AR25" s="81"/>
      <c r="AS25" s="82"/>
    </row>
    <row r="26" spans="1:45" ht="148.5">
      <c r="A26" s="69" t="s">
        <v>49</v>
      </c>
      <c r="B26" s="70" t="s">
        <v>251</v>
      </c>
      <c r="C26" s="71" t="s">
        <v>230</v>
      </c>
      <c r="D26" s="71" t="s">
        <v>238</v>
      </c>
      <c r="E26" s="71"/>
      <c r="F26" s="72">
        <v>1001494.997196</v>
      </c>
      <c r="G26" s="72"/>
      <c r="H26" s="72">
        <v>1001494.997196</v>
      </c>
      <c r="I26" s="72"/>
      <c r="J26" s="72">
        <v>1001494.997196</v>
      </c>
      <c r="K26" s="62" t="s">
        <v>232</v>
      </c>
      <c r="L26" s="72">
        <v>0</v>
      </c>
      <c r="M26" s="72"/>
      <c r="N26" s="73">
        <f t="shared" si="0"/>
        <v>1001494.997196</v>
      </c>
      <c r="O26" s="74">
        <v>885591.97</v>
      </c>
      <c r="P26" s="90">
        <v>1001495</v>
      </c>
      <c r="Q26" s="85">
        <f t="shared" si="12"/>
        <v>1.0000000027998144</v>
      </c>
      <c r="R26" s="86">
        <v>1.0000000027998144</v>
      </c>
      <c r="S26" s="85">
        <f t="shared" si="13"/>
        <v>0</v>
      </c>
      <c r="T26" s="85">
        <f t="shared" si="3"/>
        <v>1.0000000027998144</v>
      </c>
      <c r="U26" s="89">
        <v>1001495</v>
      </c>
      <c r="V26" s="85">
        <f t="shared" si="14"/>
        <v>1.0000000027998144</v>
      </c>
      <c r="W26" s="86">
        <v>1.0000000027998144</v>
      </c>
      <c r="X26" s="85">
        <f t="shared" si="5"/>
        <v>0</v>
      </c>
      <c r="Y26" s="85">
        <f t="shared" si="6"/>
        <v>1.0000000027998144</v>
      </c>
      <c r="Z26" s="89">
        <v>719543.67</v>
      </c>
      <c r="AA26" s="91">
        <v>0</v>
      </c>
      <c r="AB26" s="91">
        <v>0</v>
      </c>
      <c r="AC26" s="91">
        <v>0</v>
      </c>
      <c r="AD26" s="91">
        <v>0</v>
      </c>
      <c r="AE26" s="77">
        <f t="shared" si="7"/>
        <v>719543.67</v>
      </c>
      <c r="AF26" s="79">
        <f>Z26+AA26+AC26</f>
        <v>719543.67</v>
      </c>
      <c r="AG26" s="237">
        <f>SUM(Z26:AB26)</f>
        <v>719543.67</v>
      </c>
      <c r="AH26" s="75">
        <f t="shared" si="15"/>
        <v>0.71846956002235529</v>
      </c>
      <c r="AI26" s="75">
        <v>0.71846956002235529</v>
      </c>
      <c r="AJ26" s="75">
        <f t="shared" si="10"/>
        <v>0</v>
      </c>
      <c r="AK26" s="80">
        <f t="shared" si="11"/>
        <v>0.71846956002235529</v>
      </c>
      <c r="AL26" s="72"/>
      <c r="AM26" s="81"/>
      <c r="AN26" s="81"/>
      <c r="AO26" s="81"/>
      <c r="AP26" s="72"/>
      <c r="AQ26" s="81"/>
      <c r="AR26" s="81"/>
      <c r="AS26" s="82"/>
    </row>
    <row r="27" spans="1:45" ht="99">
      <c r="A27" s="69" t="s">
        <v>50</v>
      </c>
      <c r="B27" s="70" t="s">
        <v>252</v>
      </c>
      <c r="C27" s="71" t="s">
        <v>230</v>
      </c>
      <c r="D27" s="71" t="s">
        <v>238</v>
      </c>
      <c r="E27" s="71"/>
      <c r="F27" s="72">
        <v>0</v>
      </c>
      <c r="G27" s="72"/>
      <c r="H27" s="72">
        <v>0</v>
      </c>
      <c r="I27" s="72"/>
      <c r="J27" s="72">
        <v>0</v>
      </c>
      <c r="K27" s="62" t="s">
        <v>232</v>
      </c>
      <c r="L27" s="72">
        <v>0</v>
      </c>
      <c r="M27" s="72"/>
      <c r="N27" s="73">
        <f t="shared" si="0"/>
        <v>0</v>
      </c>
      <c r="O27" s="74">
        <v>0</v>
      </c>
      <c r="P27" s="90">
        <v>0</v>
      </c>
      <c r="Q27" s="85">
        <v>0</v>
      </c>
      <c r="R27" s="86">
        <v>0</v>
      </c>
      <c r="S27" s="85">
        <f t="shared" si="13"/>
        <v>0</v>
      </c>
      <c r="T27" s="85" t="e">
        <f t="shared" si="3"/>
        <v>#DIV/0!</v>
      </c>
      <c r="U27" s="89">
        <v>0</v>
      </c>
      <c r="V27" s="85">
        <v>0</v>
      </c>
      <c r="W27" s="86">
        <v>0</v>
      </c>
      <c r="X27" s="85">
        <f t="shared" si="5"/>
        <v>0</v>
      </c>
      <c r="Y27" s="85" t="e">
        <f t="shared" si="6"/>
        <v>#DIV/0!</v>
      </c>
      <c r="Z27" s="91">
        <v>0</v>
      </c>
      <c r="AA27" s="91">
        <v>0</v>
      </c>
      <c r="AB27" s="91">
        <v>0</v>
      </c>
      <c r="AC27" s="91">
        <v>0</v>
      </c>
      <c r="AD27" s="91">
        <v>0</v>
      </c>
      <c r="AE27" s="77">
        <f t="shared" si="7"/>
        <v>0</v>
      </c>
      <c r="AF27" s="79">
        <f>Z27+AA27+AC27</f>
        <v>0</v>
      </c>
      <c r="AG27" s="237">
        <f>SUM(Z27:AB27)</f>
        <v>0</v>
      </c>
      <c r="AH27" s="75">
        <v>0</v>
      </c>
      <c r="AI27" s="75">
        <v>0</v>
      </c>
      <c r="AJ27" s="75">
        <f t="shared" si="10"/>
        <v>0</v>
      </c>
      <c r="AK27" s="80" t="e">
        <f t="shared" si="11"/>
        <v>#DIV/0!</v>
      </c>
      <c r="AL27" s="72"/>
      <c r="AM27" s="81"/>
      <c r="AN27" s="81"/>
      <c r="AO27" s="81"/>
      <c r="AP27" s="72"/>
      <c r="AQ27" s="81"/>
      <c r="AR27" s="81"/>
      <c r="AS27" s="82"/>
    </row>
    <row r="28" spans="1:45" s="18" customFormat="1" ht="49.5">
      <c r="A28" s="59" t="s">
        <v>253</v>
      </c>
      <c r="B28" s="60" t="s">
        <v>254</v>
      </c>
      <c r="C28" s="61" t="s">
        <v>230</v>
      </c>
      <c r="D28" s="61" t="s">
        <v>231</v>
      </c>
      <c r="E28" s="61"/>
      <c r="F28" s="62">
        <f>F29+F39</f>
        <v>89810321.006687999</v>
      </c>
      <c r="G28" s="62"/>
      <c r="H28" s="62">
        <f>H29+H39</f>
        <v>89810321.006687999</v>
      </c>
      <c r="I28" s="62"/>
      <c r="J28" s="62">
        <f>J29+J39</f>
        <v>89810321.006687999</v>
      </c>
      <c r="K28" s="62" t="s">
        <v>232</v>
      </c>
      <c r="L28" s="62">
        <f>L29+L39</f>
        <v>7300000</v>
      </c>
      <c r="M28" s="62">
        <f>M29+M39</f>
        <v>6669571.7000000002</v>
      </c>
      <c r="N28" s="41">
        <f t="shared" si="0"/>
        <v>96479892.706688002</v>
      </c>
      <c r="O28" s="63">
        <f>O29+O39</f>
        <v>88518105.579999998</v>
      </c>
      <c r="P28" s="92">
        <f>P29+P39</f>
        <v>92568948.670000002</v>
      </c>
      <c r="Q28" s="93">
        <f t="shared" ref="Q28:Q40" si="16">P28/J28</f>
        <v>1.0307161541389722</v>
      </c>
      <c r="R28" s="93">
        <v>0.96306025031977183</v>
      </c>
      <c r="S28" s="93">
        <f t="shared" si="13"/>
        <v>6.7655903819200391E-2</v>
      </c>
      <c r="T28" s="93">
        <f t="shared" si="3"/>
        <v>0.9594636361321649</v>
      </c>
      <c r="U28" s="92">
        <f>U29+U39</f>
        <v>92568948.670000002</v>
      </c>
      <c r="V28" s="93">
        <f t="shared" ref="V28:V40" si="17">U28/J28</f>
        <v>1.0307161541389722</v>
      </c>
      <c r="W28" s="93">
        <v>0.96306025031977183</v>
      </c>
      <c r="X28" s="93">
        <f t="shared" si="5"/>
        <v>6.7655903819200391E-2</v>
      </c>
      <c r="Y28" s="93">
        <f t="shared" si="6"/>
        <v>0.9594636361321649</v>
      </c>
      <c r="Z28" s="92">
        <f>Z29+Z39</f>
        <v>65418508.700000003</v>
      </c>
      <c r="AA28" s="92">
        <f>AA29+AA39</f>
        <v>0</v>
      </c>
      <c r="AB28" s="92">
        <f>AB29+AB39</f>
        <v>2258014.56</v>
      </c>
      <c r="AC28" s="92">
        <f>AC29+AC39</f>
        <v>1011565.7699999999</v>
      </c>
      <c r="AD28" s="92">
        <f>AD29+AD39</f>
        <v>11362.99</v>
      </c>
      <c r="AE28" s="64">
        <f t="shared" si="7"/>
        <v>67665160.270000011</v>
      </c>
      <c r="AF28" s="64">
        <f>Z28+AA28+AC28</f>
        <v>66430074.470000006</v>
      </c>
      <c r="AG28" s="234">
        <f>AG29+AG39</f>
        <v>67676523.260000005</v>
      </c>
      <c r="AH28" s="65">
        <f t="shared" ref="AH28:AH40" si="18">AG28/J28</f>
        <v>0.75354950857998015</v>
      </c>
      <c r="AI28" s="65">
        <v>0.74419917522645085</v>
      </c>
      <c r="AJ28" s="65">
        <f t="shared" si="10"/>
        <v>9.3503333535293054E-3</v>
      </c>
      <c r="AK28" s="44">
        <f t="shared" si="11"/>
        <v>0.70145728152648179</v>
      </c>
      <c r="AL28" s="62"/>
      <c r="AM28" s="67"/>
      <c r="AN28" s="67"/>
      <c r="AO28" s="67"/>
      <c r="AP28" s="62"/>
      <c r="AQ28" s="67"/>
      <c r="AR28" s="67"/>
      <c r="AS28" s="68"/>
    </row>
    <row r="29" spans="1:45" s="18" customFormat="1" ht="82.5">
      <c r="A29" s="94" t="s">
        <v>255</v>
      </c>
      <c r="B29" s="95" t="s">
        <v>256</v>
      </c>
      <c r="C29" s="96" t="s">
        <v>230</v>
      </c>
      <c r="D29" s="96" t="s">
        <v>238</v>
      </c>
      <c r="E29" s="96"/>
      <c r="F29" s="72">
        <f>F30+F35</f>
        <v>56950404</v>
      </c>
      <c r="G29" s="72"/>
      <c r="H29" s="72">
        <f>H30+H35</f>
        <v>56950404</v>
      </c>
      <c r="I29" s="72"/>
      <c r="J29" s="72">
        <f>J30+J35</f>
        <v>56950404</v>
      </c>
      <c r="K29" s="62" t="s">
        <v>232</v>
      </c>
      <c r="L29" s="72">
        <f>L30+L35</f>
        <v>4300000</v>
      </c>
      <c r="M29" s="72">
        <f>M30+M35</f>
        <v>3669571.7</v>
      </c>
      <c r="N29" s="73">
        <f t="shared" si="0"/>
        <v>60619975.700000003</v>
      </c>
      <c r="O29" s="97">
        <f>O30+O35</f>
        <v>55713934.379999995</v>
      </c>
      <c r="P29" s="98">
        <f>P30+P35</f>
        <v>59944420.890000001</v>
      </c>
      <c r="Q29" s="85">
        <f t="shared" si="16"/>
        <v>1.0525723555885573</v>
      </c>
      <c r="R29" s="85">
        <v>0.9458784597910842</v>
      </c>
      <c r="S29" s="85">
        <f t="shared" si="13"/>
        <v>0.10669389579747313</v>
      </c>
      <c r="T29" s="85">
        <f t="shared" si="3"/>
        <v>0.98885590430878378</v>
      </c>
      <c r="U29" s="99">
        <f>U30+U35</f>
        <v>59944420.890000001</v>
      </c>
      <c r="V29" s="85">
        <f t="shared" si="17"/>
        <v>1.0525723555885573</v>
      </c>
      <c r="W29" s="85">
        <v>0.9458784597910842</v>
      </c>
      <c r="X29" s="85">
        <f t="shared" si="5"/>
        <v>0.10669389579747313</v>
      </c>
      <c r="Y29" s="85">
        <f t="shared" si="6"/>
        <v>0.98885590430878378</v>
      </c>
      <c r="Z29" s="99">
        <f>Z30+Z35</f>
        <v>39570524.75</v>
      </c>
      <c r="AA29" s="99">
        <f>AA30+AA35</f>
        <v>0</v>
      </c>
      <c r="AB29" s="99">
        <f>AB30+AB35</f>
        <v>745089.51</v>
      </c>
      <c r="AC29" s="99">
        <f>AC30+AC35</f>
        <v>385462.57999999996</v>
      </c>
      <c r="AD29" s="99">
        <v>0</v>
      </c>
      <c r="AE29" s="100">
        <f t="shared" si="7"/>
        <v>40315614.260000005</v>
      </c>
      <c r="AF29" s="101">
        <f>Z29+AA29+AC29</f>
        <v>39955987.329999998</v>
      </c>
      <c r="AG29" s="238">
        <f>AG30+AG35</f>
        <v>40315614.260000005</v>
      </c>
      <c r="AH29" s="75">
        <f t="shared" si="18"/>
        <v>0.7079074322282245</v>
      </c>
      <c r="AI29" s="75">
        <v>0.69723129848209675</v>
      </c>
      <c r="AJ29" s="75">
        <f t="shared" si="10"/>
        <v>1.0676133746127747E-2</v>
      </c>
      <c r="AK29" s="80">
        <f t="shared" si="11"/>
        <v>0.66505493930773718</v>
      </c>
      <c r="AL29" s="72"/>
      <c r="AM29" s="81"/>
      <c r="AN29" s="81"/>
      <c r="AO29" s="81"/>
      <c r="AP29" s="72"/>
      <c r="AQ29" s="81"/>
      <c r="AR29" s="81"/>
      <c r="AS29" s="82"/>
    </row>
    <row r="30" spans="1:45" s="18" customFormat="1" ht="132">
      <c r="A30" s="94" t="s">
        <v>257</v>
      </c>
      <c r="B30" s="95" t="s">
        <v>258</v>
      </c>
      <c r="C30" s="96" t="s">
        <v>230</v>
      </c>
      <c r="D30" s="96" t="s">
        <v>238</v>
      </c>
      <c r="E30" s="96"/>
      <c r="F30" s="72">
        <f>SUM(F31:F34)</f>
        <v>39946155</v>
      </c>
      <c r="G30" s="72"/>
      <c r="H30" s="72">
        <f>SUM(H31:H34)</f>
        <v>39946155</v>
      </c>
      <c r="I30" s="72"/>
      <c r="J30" s="72">
        <f>SUM(J31:J34)</f>
        <v>39946155</v>
      </c>
      <c r="K30" s="62" t="s">
        <v>232</v>
      </c>
      <c r="L30" s="72">
        <f>SUM(L31:L34)</f>
        <v>4300000</v>
      </c>
      <c r="M30" s="72">
        <f>SUM(M31:M34)</f>
        <v>3669571.7</v>
      </c>
      <c r="N30" s="73">
        <f t="shared" si="0"/>
        <v>43615726.700000003</v>
      </c>
      <c r="O30" s="97">
        <f>O31+O32+O33+O34</f>
        <v>36500901.280000001</v>
      </c>
      <c r="P30" s="102">
        <f>SUM(P31:P34)</f>
        <v>43360638.07</v>
      </c>
      <c r="Q30" s="85">
        <f t="shared" si="16"/>
        <v>1.085477139664631</v>
      </c>
      <c r="R30" s="85">
        <v>0.93331811559835987</v>
      </c>
      <c r="S30" s="85">
        <f t="shared" si="13"/>
        <v>0.15215902406627113</v>
      </c>
      <c r="T30" s="85">
        <f t="shared" si="3"/>
        <v>0.99415145294369234</v>
      </c>
      <c r="U30" s="90">
        <f>SUM(U31:U34)</f>
        <v>43360638.07</v>
      </c>
      <c r="V30" s="85">
        <f t="shared" si="17"/>
        <v>1.085477139664631</v>
      </c>
      <c r="W30" s="85">
        <v>0.93331811559835987</v>
      </c>
      <c r="X30" s="85">
        <f t="shared" si="5"/>
        <v>0.15215902406627113</v>
      </c>
      <c r="Y30" s="85">
        <f t="shared" si="6"/>
        <v>0.99415145294369234</v>
      </c>
      <c r="Z30" s="99">
        <f>SUM(Z31:Z34)</f>
        <v>24397469.699999999</v>
      </c>
      <c r="AA30" s="99">
        <f>SUM(AA31:AA34)</f>
        <v>0</v>
      </c>
      <c r="AB30" s="99">
        <f>SUM(AB31:AB34)</f>
        <v>592089.51</v>
      </c>
      <c r="AC30" s="99">
        <f>SUM(AC31:AC34)</f>
        <v>385462.57999999996</v>
      </c>
      <c r="AD30" s="99">
        <v>0</v>
      </c>
      <c r="AE30" s="100">
        <f t="shared" si="7"/>
        <v>24989559.210000001</v>
      </c>
      <c r="AF30" s="72">
        <f>SUM(AF31:AF34)</f>
        <v>24782932.280000001</v>
      </c>
      <c r="AG30" s="238">
        <f>SUM(AG31:AG34)</f>
        <v>24989559.210000001</v>
      </c>
      <c r="AH30" s="75">
        <f t="shared" si="18"/>
        <v>0.62558109059557798</v>
      </c>
      <c r="AI30" s="75">
        <v>0.61111529682894383</v>
      </c>
      <c r="AJ30" s="75">
        <f t="shared" si="10"/>
        <v>1.446579376663415E-2</v>
      </c>
      <c r="AK30" s="80">
        <f t="shared" si="11"/>
        <v>0.57294836291240792</v>
      </c>
      <c r="AL30" s="72"/>
      <c r="AM30" s="81"/>
      <c r="AN30" s="81"/>
      <c r="AO30" s="81"/>
      <c r="AP30" s="72"/>
      <c r="AQ30" s="81"/>
      <c r="AR30" s="81"/>
      <c r="AS30" s="82"/>
    </row>
    <row r="31" spans="1:45" ht="165">
      <c r="A31" s="69" t="s">
        <v>51</v>
      </c>
      <c r="B31" s="70" t="s">
        <v>259</v>
      </c>
      <c r="C31" s="71" t="s">
        <v>230</v>
      </c>
      <c r="D31" s="71" t="s">
        <v>238</v>
      </c>
      <c r="E31" s="71"/>
      <c r="F31" s="72">
        <v>2393420</v>
      </c>
      <c r="G31" s="72"/>
      <c r="H31" s="72">
        <f>F31</f>
        <v>2393420</v>
      </c>
      <c r="I31" s="72"/>
      <c r="J31" s="72">
        <f t="shared" ref="J31:J38" si="19">F31</f>
        <v>2393420</v>
      </c>
      <c r="K31" s="62" t="s">
        <v>232</v>
      </c>
      <c r="L31" s="72">
        <v>0</v>
      </c>
      <c r="M31" s="72"/>
      <c r="N31" s="73">
        <f t="shared" si="0"/>
        <v>2393420</v>
      </c>
      <c r="O31" s="74">
        <v>1003445.51</v>
      </c>
      <c r="P31" s="90">
        <v>2393420</v>
      </c>
      <c r="Q31" s="85">
        <f t="shared" si="16"/>
        <v>1</v>
      </c>
      <c r="R31" s="86">
        <v>1</v>
      </c>
      <c r="S31" s="85">
        <f t="shared" si="13"/>
        <v>0</v>
      </c>
      <c r="T31" s="85">
        <f t="shared" si="3"/>
        <v>1</v>
      </c>
      <c r="U31" s="89">
        <v>2393420</v>
      </c>
      <c r="V31" s="85">
        <f t="shared" si="17"/>
        <v>1</v>
      </c>
      <c r="W31" s="86">
        <v>1</v>
      </c>
      <c r="X31" s="85">
        <f t="shared" si="5"/>
        <v>0</v>
      </c>
      <c r="Y31" s="85">
        <f t="shared" si="6"/>
        <v>1</v>
      </c>
      <c r="Z31" s="89">
        <v>470669.48</v>
      </c>
      <c r="AA31" s="91">
        <v>0</v>
      </c>
      <c r="AB31" s="91">
        <v>0</v>
      </c>
      <c r="AC31" s="91">
        <v>0</v>
      </c>
      <c r="AD31" s="91">
        <v>0</v>
      </c>
      <c r="AE31" s="77">
        <f t="shared" si="7"/>
        <v>470669.48</v>
      </c>
      <c r="AF31" s="79">
        <f t="shared" ref="AF31:AF55" si="20">Z31+AA31+AC31</f>
        <v>470669.48</v>
      </c>
      <c r="AG31" s="237">
        <f>SUM(Z31:AB31)</f>
        <v>470669.48</v>
      </c>
      <c r="AH31" s="75">
        <f t="shared" si="18"/>
        <v>0.19665143602042265</v>
      </c>
      <c r="AI31" s="75">
        <v>0.19665143602042265</v>
      </c>
      <c r="AJ31" s="75">
        <f t="shared" si="10"/>
        <v>0</v>
      </c>
      <c r="AK31" s="80">
        <f t="shared" si="11"/>
        <v>0.19665143602042265</v>
      </c>
      <c r="AL31" s="72"/>
      <c r="AM31" s="81"/>
      <c r="AN31" s="81"/>
      <c r="AO31" s="81"/>
      <c r="AP31" s="72"/>
      <c r="AQ31" s="81"/>
      <c r="AR31" s="81"/>
      <c r="AS31" s="82"/>
    </row>
    <row r="32" spans="1:45" ht="115.5">
      <c r="A32" s="69" t="s">
        <v>52</v>
      </c>
      <c r="B32" s="70" t="s">
        <v>260</v>
      </c>
      <c r="C32" s="71" t="s">
        <v>230</v>
      </c>
      <c r="D32" s="71" t="s">
        <v>238</v>
      </c>
      <c r="E32" s="71"/>
      <c r="F32" s="72">
        <v>5425034</v>
      </c>
      <c r="G32" s="72"/>
      <c r="H32" s="72">
        <f>F32</f>
        <v>5425034</v>
      </c>
      <c r="I32" s="72"/>
      <c r="J32" s="72">
        <f t="shared" si="19"/>
        <v>5425034</v>
      </c>
      <c r="K32" s="62" t="s">
        <v>232</v>
      </c>
      <c r="L32" s="72">
        <v>0</v>
      </c>
      <c r="M32" s="72"/>
      <c r="N32" s="73">
        <f t="shared" si="0"/>
        <v>5425034</v>
      </c>
      <c r="O32" s="74">
        <v>5666514.3799999999</v>
      </c>
      <c r="P32" s="87">
        <v>5358780.58</v>
      </c>
      <c r="Q32" s="103">
        <f t="shared" si="16"/>
        <v>0.98778746455782585</v>
      </c>
      <c r="R32" s="104">
        <v>0.98778746455782585</v>
      </c>
      <c r="S32" s="103">
        <f t="shared" si="13"/>
        <v>0</v>
      </c>
      <c r="T32" s="85">
        <f t="shared" si="3"/>
        <v>0.98778746455782585</v>
      </c>
      <c r="U32" s="87">
        <v>5358780.58</v>
      </c>
      <c r="V32" s="103">
        <f t="shared" si="17"/>
        <v>0.98778746455782585</v>
      </c>
      <c r="W32" s="104">
        <v>0.98778746455782585</v>
      </c>
      <c r="X32" s="103">
        <f t="shared" si="5"/>
        <v>0</v>
      </c>
      <c r="Y32" s="85">
        <f t="shared" si="6"/>
        <v>0.98778746455782585</v>
      </c>
      <c r="Z32" s="87">
        <v>3348228.72</v>
      </c>
      <c r="AA32" s="105">
        <v>0</v>
      </c>
      <c r="AB32" s="88">
        <v>318919.59999999998</v>
      </c>
      <c r="AC32" s="87">
        <v>140000.5</v>
      </c>
      <c r="AD32" s="87">
        <v>16311.76</v>
      </c>
      <c r="AE32" s="106">
        <f t="shared" si="7"/>
        <v>3650836.5600000005</v>
      </c>
      <c r="AF32" s="73">
        <f t="shared" si="20"/>
        <v>3488229.22</v>
      </c>
      <c r="AG32" s="240">
        <f>SUM(Z32:AB32)</f>
        <v>3667148.3200000003</v>
      </c>
      <c r="AH32" s="107">
        <f t="shared" si="18"/>
        <v>0.6759678040727487</v>
      </c>
      <c r="AI32" s="107">
        <v>0.6759678040727487</v>
      </c>
      <c r="AJ32" s="107">
        <f t="shared" si="10"/>
        <v>0</v>
      </c>
      <c r="AK32" s="80">
        <f t="shared" si="11"/>
        <v>0.6759678040727487</v>
      </c>
      <c r="AL32" s="72"/>
      <c r="AM32" s="81"/>
      <c r="AN32" s="81"/>
      <c r="AO32" s="81"/>
      <c r="AP32" s="72"/>
      <c r="AQ32" s="81"/>
      <c r="AR32" s="81"/>
      <c r="AS32" s="82"/>
    </row>
    <row r="33" spans="1:45" ht="148.5">
      <c r="A33" s="69" t="s">
        <v>53</v>
      </c>
      <c r="B33" s="70" t="s">
        <v>261</v>
      </c>
      <c r="C33" s="71" t="s">
        <v>230</v>
      </c>
      <c r="D33" s="71" t="s">
        <v>238</v>
      </c>
      <c r="E33" s="71"/>
      <c r="F33" s="72">
        <v>10170874</v>
      </c>
      <c r="G33" s="72"/>
      <c r="H33" s="72">
        <f>F33</f>
        <v>10170874</v>
      </c>
      <c r="I33" s="72"/>
      <c r="J33" s="72">
        <f t="shared" si="19"/>
        <v>10170874</v>
      </c>
      <c r="K33" s="62" t="s">
        <v>232</v>
      </c>
      <c r="L33" s="72">
        <v>509500</v>
      </c>
      <c r="M33" s="72">
        <f>L33*0.8786</f>
        <v>447646.7</v>
      </c>
      <c r="N33" s="73">
        <f t="shared" si="0"/>
        <v>10618520.699999999</v>
      </c>
      <c r="O33" s="74">
        <v>7303838.3200000003</v>
      </c>
      <c r="P33" s="87">
        <v>10430742.49</v>
      </c>
      <c r="Q33" s="85">
        <f>P33/J33</f>
        <v>1.0255502614622893</v>
      </c>
      <c r="R33" s="86">
        <v>0.74462062257383188</v>
      </c>
      <c r="S33" s="85">
        <f t="shared" si="13"/>
        <v>0.28092963888845746</v>
      </c>
      <c r="T33" s="85">
        <f>P33/N33</f>
        <v>0.98231597269476534</v>
      </c>
      <c r="U33" s="87">
        <v>10430742.49</v>
      </c>
      <c r="V33" s="85">
        <f t="shared" si="17"/>
        <v>1.0255502614622893</v>
      </c>
      <c r="W33" s="86">
        <v>0.74462062257383188</v>
      </c>
      <c r="X33" s="85">
        <f t="shared" si="5"/>
        <v>0.28092963888845746</v>
      </c>
      <c r="Y33" s="85">
        <f t="shared" si="6"/>
        <v>0.98231597269476534</v>
      </c>
      <c r="Z33" s="89">
        <v>4405088.63</v>
      </c>
      <c r="AA33" s="89">
        <v>0</v>
      </c>
      <c r="AB33" s="89">
        <v>273169.90999999997</v>
      </c>
      <c r="AC33" s="87">
        <v>245462.08</v>
      </c>
      <c r="AD33" s="87">
        <v>7976.0700000000006</v>
      </c>
      <c r="AE33" s="77">
        <f t="shared" si="7"/>
        <v>4670282.47</v>
      </c>
      <c r="AF33" s="79">
        <f t="shared" si="20"/>
        <v>4650550.71</v>
      </c>
      <c r="AG33" s="237">
        <f>SUM(Z33:AB33)</f>
        <v>4678258.54</v>
      </c>
      <c r="AH33" s="75">
        <f t="shared" si="18"/>
        <v>0.45996622709120183</v>
      </c>
      <c r="AI33" s="75">
        <v>0.40315175470662601</v>
      </c>
      <c r="AJ33" s="75">
        <f t="shared" si="10"/>
        <v>5.681447238457582E-2</v>
      </c>
      <c r="AK33" s="80">
        <f t="shared" si="11"/>
        <v>0.44057535622640925</v>
      </c>
      <c r="AL33" s="72"/>
      <c r="AM33" s="81"/>
      <c r="AN33" s="81"/>
      <c r="AO33" s="81"/>
      <c r="AP33" s="72"/>
      <c r="AQ33" s="81"/>
      <c r="AR33" s="81"/>
      <c r="AS33" s="82"/>
    </row>
    <row r="34" spans="1:45" ht="82.5">
      <c r="A34" s="69" t="s">
        <v>54</v>
      </c>
      <c r="B34" s="70" t="s">
        <v>262</v>
      </c>
      <c r="C34" s="71" t="s">
        <v>230</v>
      </c>
      <c r="D34" s="71" t="s">
        <v>238</v>
      </c>
      <c r="E34" s="71"/>
      <c r="F34" s="72">
        <v>21956827</v>
      </c>
      <c r="G34" s="72"/>
      <c r="H34" s="72">
        <f>F34</f>
        <v>21956827</v>
      </c>
      <c r="I34" s="72"/>
      <c r="J34" s="72">
        <f t="shared" si="19"/>
        <v>21956827</v>
      </c>
      <c r="K34" s="62" t="s">
        <v>232</v>
      </c>
      <c r="L34" s="72">
        <v>3790500</v>
      </c>
      <c r="M34" s="72">
        <f>L34*0.85</f>
        <v>3221925</v>
      </c>
      <c r="N34" s="73">
        <f t="shared" si="0"/>
        <v>25178752</v>
      </c>
      <c r="O34" s="74">
        <v>22527103.07</v>
      </c>
      <c r="P34" s="90">
        <v>25177695</v>
      </c>
      <c r="Q34" s="85">
        <f>P34/J34</f>
        <v>1.146690958579762</v>
      </c>
      <c r="R34" s="86">
        <v>1</v>
      </c>
      <c r="S34" s="85">
        <f t="shared" si="13"/>
        <v>0.146690958579762</v>
      </c>
      <c r="T34" s="85">
        <f>P34/N34</f>
        <v>0.99995802015921997</v>
      </c>
      <c r="U34" s="89">
        <v>25177695</v>
      </c>
      <c r="V34" s="85">
        <f t="shared" si="17"/>
        <v>1.146690958579762</v>
      </c>
      <c r="W34" s="86">
        <v>1</v>
      </c>
      <c r="X34" s="85">
        <f t="shared" si="5"/>
        <v>0.146690958579762</v>
      </c>
      <c r="Y34" s="85">
        <f t="shared" si="6"/>
        <v>0.99995802015921997</v>
      </c>
      <c r="Z34" s="89">
        <v>16173482.869999999</v>
      </c>
      <c r="AA34" s="89">
        <v>0</v>
      </c>
      <c r="AB34" s="89">
        <v>0</v>
      </c>
      <c r="AC34" s="89">
        <v>0</v>
      </c>
      <c r="AD34" s="89">
        <v>0</v>
      </c>
      <c r="AE34" s="77">
        <f t="shared" si="7"/>
        <v>16173482.869999999</v>
      </c>
      <c r="AF34" s="79">
        <f t="shared" si="20"/>
        <v>16173482.869999999</v>
      </c>
      <c r="AG34" s="237">
        <f>SUM(Z34:AB34)</f>
        <v>16173482.869999999</v>
      </c>
      <c r="AH34" s="75">
        <f t="shared" si="18"/>
        <v>0.73660383032575694</v>
      </c>
      <c r="AI34" s="75">
        <v>0.73660383032575694</v>
      </c>
      <c r="AJ34" s="75">
        <f t="shared" si="10"/>
        <v>0</v>
      </c>
      <c r="AK34" s="80">
        <f t="shared" si="11"/>
        <v>0.64234648603711575</v>
      </c>
      <c r="AL34" s="72"/>
      <c r="AM34" s="81"/>
      <c r="AN34" s="81"/>
      <c r="AO34" s="81"/>
      <c r="AP34" s="72"/>
      <c r="AQ34" s="81"/>
      <c r="AR34" s="81"/>
      <c r="AS34" s="82"/>
    </row>
    <row r="35" spans="1:45" s="18" customFormat="1" ht="66">
      <c r="A35" s="94" t="s">
        <v>263</v>
      </c>
      <c r="B35" s="95" t="s">
        <v>264</v>
      </c>
      <c r="C35" s="96" t="s">
        <v>230</v>
      </c>
      <c r="D35" s="96" t="s">
        <v>238</v>
      </c>
      <c r="E35" s="96"/>
      <c r="F35" s="72">
        <f>SUM(F36:F38)</f>
        <v>17004249</v>
      </c>
      <c r="G35" s="72"/>
      <c r="H35" s="72">
        <f>SUM(H36:H38)</f>
        <v>17004249</v>
      </c>
      <c r="I35" s="72"/>
      <c r="J35" s="72">
        <f t="shared" si="19"/>
        <v>17004249</v>
      </c>
      <c r="K35" s="62" t="s">
        <v>232</v>
      </c>
      <c r="L35" s="72">
        <f>SUM(L36:L38)</f>
        <v>0</v>
      </c>
      <c r="M35" s="72">
        <f>SUM(M36:M38)</f>
        <v>0</v>
      </c>
      <c r="N35" s="73">
        <f t="shared" si="0"/>
        <v>17004249</v>
      </c>
      <c r="O35" s="97">
        <f>SUM(O36:O38)</f>
        <v>19213033.099999998</v>
      </c>
      <c r="P35" s="102">
        <f>SUM(P36:P38)</f>
        <v>16583782.82</v>
      </c>
      <c r="Q35" s="85">
        <f t="shared" si="16"/>
        <v>0.97527287562067577</v>
      </c>
      <c r="R35" s="85">
        <v>0.975385052877078</v>
      </c>
      <c r="S35" s="85">
        <f t="shared" si="13"/>
        <v>-1.1217725640222387E-4</v>
      </c>
      <c r="T35" s="85">
        <f t="shared" si="3"/>
        <v>0.97527287562067577</v>
      </c>
      <c r="U35" s="99">
        <f>SUM(U36:U38)</f>
        <v>16583782.82</v>
      </c>
      <c r="V35" s="85">
        <f t="shared" si="17"/>
        <v>0.97527287562067577</v>
      </c>
      <c r="W35" s="85">
        <v>0.975385052877078</v>
      </c>
      <c r="X35" s="85">
        <f t="shared" si="5"/>
        <v>-1.1217725640222387E-4</v>
      </c>
      <c r="Y35" s="85">
        <f t="shared" si="6"/>
        <v>0.97527287562067577</v>
      </c>
      <c r="Z35" s="99">
        <f>SUM(Z36:Z38)</f>
        <v>15173055.050000001</v>
      </c>
      <c r="AA35" s="99">
        <f>SUM(AA36:AA38)</f>
        <v>0</v>
      </c>
      <c r="AB35" s="99">
        <f>SUM(AB36:AB38)</f>
        <v>153000</v>
      </c>
      <c r="AC35" s="99">
        <f>SUM(AC36:AC38)</f>
        <v>0</v>
      </c>
      <c r="AD35" s="99">
        <v>0</v>
      </c>
      <c r="AE35" s="100">
        <f t="shared" si="7"/>
        <v>15326055.050000001</v>
      </c>
      <c r="AF35" s="101">
        <f t="shared" si="20"/>
        <v>15173055.050000001</v>
      </c>
      <c r="AG35" s="238">
        <f>SUM(AG36:AG38)</f>
        <v>15326055.050000001</v>
      </c>
      <c r="AH35" s="75">
        <f t="shared" si="18"/>
        <v>0.90130737617403744</v>
      </c>
      <c r="AI35" s="75">
        <v>0.89953386121315915</v>
      </c>
      <c r="AJ35" s="75">
        <f t="shared" si="10"/>
        <v>1.7735149608782974E-3</v>
      </c>
      <c r="AK35" s="80">
        <f t="shared" si="11"/>
        <v>0.90130737617403744</v>
      </c>
      <c r="AL35" s="72"/>
      <c r="AM35" s="81"/>
      <c r="AN35" s="81"/>
      <c r="AO35" s="81"/>
      <c r="AP35" s="72"/>
      <c r="AQ35" s="81"/>
      <c r="AR35" s="81"/>
      <c r="AS35" s="82"/>
    </row>
    <row r="36" spans="1:45" ht="165">
      <c r="A36" s="69" t="s">
        <v>55</v>
      </c>
      <c r="B36" s="70" t="s">
        <v>265</v>
      </c>
      <c r="C36" s="71" t="s">
        <v>230</v>
      </c>
      <c r="D36" s="71" t="s">
        <v>238</v>
      </c>
      <c r="E36" s="71"/>
      <c r="F36" s="72">
        <v>4203764</v>
      </c>
      <c r="G36" s="72"/>
      <c r="H36" s="72">
        <f>F36</f>
        <v>4203764</v>
      </c>
      <c r="I36" s="72"/>
      <c r="J36" s="72">
        <f t="shared" si="19"/>
        <v>4203764</v>
      </c>
      <c r="K36" s="62" t="s">
        <v>232</v>
      </c>
      <c r="L36" s="72">
        <v>0</v>
      </c>
      <c r="M36" s="72"/>
      <c r="N36" s="73">
        <f t="shared" si="0"/>
        <v>4203764</v>
      </c>
      <c r="O36" s="74">
        <v>5189378.05</v>
      </c>
      <c r="P36" s="102">
        <v>4146997.76</v>
      </c>
      <c r="Q36" s="85">
        <f t="shared" si="16"/>
        <v>0.98649633043148943</v>
      </c>
      <c r="R36" s="86">
        <v>0.98649633043148943</v>
      </c>
      <c r="S36" s="85">
        <f t="shared" si="13"/>
        <v>0</v>
      </c>
      <c r="T36" s="85">
        <f t="shared" si="3"/>
        <v>0.98649633043148943</v>
      </c>
      <c r="U36" s="102">
        <v>4146997.76</v>
      </c>
      <c r="V36" s="85">
        <f t="shared" si="17"/>
        <v>0.98649633043148943</v>
      </c>
      <c r="W36" s="86">
        <v>0.98649633043148943</v>
      </c>
      <c r="X36" s="85">
        <f t="shared" si="5"/>
        <v>0</v>
      </c>
      <c r="Y36" s="85">
        <f t="shared" si="6"/>
        <v>0.98649633043148943</v>
      </c>
      <c r="Z36" s="89">
        <v>4146997.76</v>
      </c>
      <c r="AA36" s="89">
        <v>0</v>
      </c>
      <c r="AB36" s="89">
        <v>0</v>
      </c>
      <c r="AC36" s="89">
        <v>0</v>
      </c>
      <c r="AD36" s="89">
        <v>0</v>
      </c>
      <c r="AE36" s="77">
        <f t="shared" si="7"/>
        <v>4146997.76</v>
      </c>
      <c r="AF36" s="79">
        <f t="shared" si="20"/>
        <v>4146997.76</v>
      </c>
      <c r="AG36" s="237">
        <f>SUM(Z36:AB36)</f>
        <v>4146997.76</v>
      </c>
      <c r="AH36" s="75">
        <f t="shared" si="18"/>
        <v>0.98649633043148943</v>
      </c>
      <c r="AI36" s="75">
        <v>0.98649633043148943</v>
      </c>
      <c r="AJ36" s="75">
        <f t="shared" si="10"/>
        <v>0</v>
      </c>
      <c r="AK36" s="80">
        <f t="shared" si="11"/>
        <v>0.98649633043148943</v>
      </c>
      <c r="AL36" s="72"/>
      <c r="AM36" s="81"/>
      <c r="AN36" s="81"/>
      <c r="AO36" s="81"/>
      <c r="AP36" s="72"/>
      <c r="AQ36" s="81"/>
      <c r="AR36" s="81"/>
      <c r="AS36" s="82"/>
    </row>
    <row r="37" spans="1:45" ht="132">
      <c r="A37" s="69" t="s">
        <v>56</v>
      </c>
      <c r="B37" s="70" t="s">
        <v>266</v>
      </c>
      <c r="C37" s="71" t="s">
        <v>230</v>
      </c>
      <c r="D37" s="71" t="s">
        <v>238</v>
      </c>
      <c r="E37" s="71"/>
      <c r="F37" s="72">
        <v>9465542</v>
      </c>
      <c r="G37" s="72"/>
      <c r="H37" s="72">
        <f>F37</f>
        <v>9465542</v>
      </c>
      <c r="I37" s="72"/>
      <c r="J37" s="72">
        <f t="shared" si="19"/>
        <v>9465542</v>
      </c>
      <c r="K37" s="62" t="s">
        <v>232</v>
      </c>
      <c r="L37" s="72">
        <v>0</v>
      </c>
      <c r="M37" s="72"/>
      <c r="N37" s="73">
        <f t="shared" si="0"/>
        <v>9465542</v>
      </c>
      <c r="O37" s="74">
        <v>11046381.24</v>
      </c>
      <c r="P37" s="102">
        <v>9112797.5500000007</v>
      </c>
      <c r="Q37" s="93">
        <f t="shared" si="16"/>
        <v>0.96273383499856646</v>
      </c>
      <c r="R37" s="86">
        <v>0.96273383499856646</v>
      </c>
      <c r="S37" s="85">
        <f t="shared" si="13"/>
        <v>0</v>
      </c>
      <c r="T37" s="85">
        <f t="shared" si="3"/>
        <v>0.96273383499856646</v>
      </c>
      <c r="U37" s="102">
        <v>9112797.5500000007</v>
      </c>
      <c r="V37" s="85">
        <f t="shared" si="17"/>
        <v>0.96273383499856646</v>
      </c>
      <c r="W37" s="86">
        <v>0.96273383499856646</v>
      </c>
      <c r="X37" s="85">
        <f t="shared" si="5"/>
        <v>0</v>
      </c>
      <c r="Y37" s="85">
        <f t="shared" si="6"/>
        <v>0.96273383499856646</v>
      </c>
      <c r="Z37" s="89">
        <v>9112797.5500000007</v>
      </c>
      <c r="AA37" s="89">
        <v>0</v>
      </c>
      <c r="AB37" s="89">
        <v>0</v>
      </c>
      <c r="AC37" s="89">
        <v>0</v>
      </c>
      <c r="AD37" s="89">
        <v>0</v>
      </c>
      <c r="AE37" s="77">
        <f t="shared" si="7"/>
        <v>9112797.5500000007</v>
      </c>
      <c r="AF37" s="79">
        <f t="shared" si="20"/>
        <v>9112797.5500000007</v>
      </c>
      <c r="AG37" s="237">
        <f>SUM(Z37:AB37)</f>
        <v>9112797.5500000007</v>
      </c>
      <c r="AH37" s="107">
        <f t="shared" si="18"/>
        <v>0.96273383499856646</v>
      </c>
      <c r="AI37" s="107">
        <v>0.96273383499856646</v>
      </c>
      <c r="AJ37" s="107">
        <f t="shared" si="10"/>
        <v>0</v>
      </c>
      <c r="AK37" s="80">
        <f t="shared" si="11"/>
        <v>0.96273383499856646</v>
      </c>
      <c r="AL37" s="72"/>
      <c r="AM37" s="81"/>
      <c r="AN37" s="81"/>
      <c r="AO37" s="81"/>
      <c r="AP37" s="72"/>
      <c r="AQ37" s="81"/>
      <c r="AR37" s="81"/>
      <c r="AS37" s="82"/>
    </row>
    <row r="38" spans="1:45" ht="115.5">
      <c r="A38" s="69" t="s">
        <v>267</v>
      </c>
      <c r="B38" s="70" t="s">
        <v>268</v>
      </c>
      <c r="C38" s="71" t="s">
        <v>230</v>
      </c>
      <c r="D38" s="71" t="s">
        <v>238</v>
      </c>
      <c r="E38" s="71"/>
      <c r="F38" s="72">
        <v>3334943</v>
      </c>
      <c r="G38" s="72"/>
      <c r="H38" s="72">
        <f>F38</f>
        <v>3334943</v>
      </c>
      <c r="I38" s="72"/>
      <c r="J38" s="72">
        <f t="shared" si="19"/>
        <v>3334943</v>
      </c>
      <c r="K38" s="62" t="s">
        <v>232</v>
      </c>
      <c r="L38" s="72">
        <v>0</v>
      </c>
      <c r="M38" s="72"/>
      <c r="N38" s="73">
        <f t="shared" si="0"/>
        <v>3334943</v>
      </c>
      <c r="O38" s="74">
        <v>2977273.81</v>
      </c>
      <c r="P38" s="90">
        <v>3323987.51</v>
      </c>
      <c r="Q38" s="93">
        <f t="shared" si="16"/>
        <v>0.99671493935578503</v>
      </c>
      <c r="R38" s="86">
        <v>0.99728691015108806</v>
      </c>
      <c r="S38" s="85">
        <f t="shared" si="13"/>
        <v>-5.7197079530302286E-4</v>
      </c>
      <c r="T38" s="85">
        <f t="shared" si="3"/>
        <v>0.99671493935578503</v>
      </c>
      <c r="U38" s="89">
        <v>3323987.51</v>
      </c>
      <c r="V38" s="85">
        <f t="shared" si="17"/>
        <v>0.99671493935578503</v>
      </c>
      <c r="W38" s="86">
        <v>0.99728691015108806</v>
      </c>
      <c r="X38" s="85">
        <f t="shared" si="5"/>
        <v>-5.7197079530302286E-4</v>
      </c>
      <c r="Y38" s="85">
        <f t="shared" si="6"/>
        <v>0.99671493935578503</v>
      </c>
      <c r="Z38" s="87">
        <v>1913259.74</v>
      </c>
      <c r="AA38" s="91">
        <v>0</v>
      </c>
      <c r="AB38" s="89">
        <v>153000</v>
      </c>
      <c r="AC38" s="89">
        <v>0</v>
      </c>
      <c r="AD38" s="89">
        <v>0</v>
      </c>
      <c r="AE38" s="77">
        <f t="shared" si="7"/>
        <v>2066259.74</v>
      </c>
      <c r="AF38" s="79">
        <f t="shared" si="20"/>
        <v>1913259.74</v>
      </c>
      <c r="AG38" s="237">
        <f>SUM(Z38:AB38)</f>
        <v>2066259.74</v>
      </c>
      <c r="AH38" s="107">
        <f t="shared" si="18"/>
        <v>0.61957872743252285</v>
      </c>
      <c r="AI38" s="107">
        <v>0.61053590721040807</v>
      </c>
      <c r="AJ38" s="107">
        <f t="shared" si="10"/>
        <v>9.042820222114778E-3</v>
      </c>
      <c r="AK38" s="80">
        <f t="shared" si="11"/>
        <v>0.61957872743252285</v>
      </c>
      <c r="AL38" s="72"/>
      <c r="AM38" s="81"/>
      <c r="AN38" s="81"/>
      <c r="AO38" s="81"/>
      <c r="AP38" s="72"/>
      <c r="AQ38" s="81"/>
      <c r="AR38" s="81"/>
      <c r="AS38" s="82"/>
    </row>
    <row r="39" spans="1:45" s="18" customFormat="1" ht="181.5">
      <c r="A39" s="59" t="s">
        <v>269</v>
      </c>
      <c r="B39" s="60" t="s">
        <v>270</v>
      </c>
      <c r="C39" s="61" t="s">
        <v>230</v>
      </c>
      <c r="D39" s="61" t="s">
        <v>231</v>
      </c>
      <c r="E39" s="61"/>
      <c r="F39" s="62">
        <f>F40+F45+F48+F51</f>
        <v>32859917.006688002</v>
      </c>
      <c r="G39" s="62"/>
      <c r="H39" s="62">
        <f>H40+H45+H48+H51</f>
        <v>32859917.006688002</v>
      </c>
      <c r="I39" s="62"/>
      <c r="J39" s="62">
        <f>J40+J45+J48+J51</f>
        <v>32859917.006688002</v>
      </c>
      <c r="K39" s="62" t="s">
        <v>232</v>
      </c>
      <c r="L39" s="62">
        <f>L40+L45+L48+L51</f>
        <v>3000000</v>
      </c>
      <c r="M39" s="62">
        <f>M40+M45+M48+M51</f>
        <v>3000000</v>
      </c>
      <c r="N39" s="41">
        <f t="shared" si="0"/>
        <v>35859917.006687999</v>
      </c>
      <c r="O39" s="63">
        <f>O40+O45+O48+O51</f>
        <v>32804171.199999999</v>
      </c>
      <c r="P39" s="92">
        <f>P40+P45+P48+P51</f>
        <v>32624527.780000001</v>
      </c>
      <c r="Q39" s="93">
        <f t="shared" si="16"/>
        <v>0.99283658486903381</v>
      </c>
      <c r="R39" s="93">
        <v>0.99283847257921842</v>
      </c>
      <c r="S39" s="93">
        <f t="shared" si="13"/>
        <v>-1.8877101846115352E-6</v>
      </c>
      <c r="T39" s="93">
        <f t="shared" si="3"/>
        <v>0.90977700182394217</v>
      </c>
      <c r="U39" s="92">
        <f>U40+U45+U48+U51</f>
        <v>32624527.780000001</v>
      </c>
      <c r="V39" s="93">
        <f t="shared" si="17"/>
        <v>0.99283658486903381</v>
      </c>
      <c r="W39" s="93">
        <v>0.99283847257921842</v>
      </c>
      <c r="X39" s="93">
        <f t="shared" si="5"/>
        <v>-1.8877101846115352E-6</v>
      </c>
      <c r="Y39" s="93">
        <f t="shared" si="6"/>
        <v>0.90977700182394217</v>
      </c>
      <c r="Z39" s="92">
        <f>Z40+Z45+Z48+Z51</f>
        <v>25847983.949999999</v>
      </c>
      <c r="AA39" s="92">
        <f>AA40+AA45+AA48+AA51</f>
        <v>0</v>
      </c>
      <c r="AB39" s="92">
        <f>AB40+AB45+AB48+AB51</f>
        <v>1512925.05</v>
      </c>
      <c r="AC39" s="92">
        <f>AC40+AC45+AC48+AC51</f>
        <v>626103.18999999994</v>
      </c>
      <c r="AD39" s="92">
        <f>AD40+AD45+AD48+AD51</f>
        <v>11362.99</v>
      </c>
      <c r="AE39" s="64">
        <f t="shared" si="7"/>
        <v>27349546.010000002</v>
      </c>
      <c r="AF39" s="64">
        <f t="shared" si="20"/>
        <v>26474087.140000001</v>
      </c>
      <c r="AG39" s="234">
        <f>AG40+AG45+AG48+AG51</f>
        <v>27360909</v>
      </c>
      <c r="AH39" s="65">
        <f t="shared" si="18"/>
        <v>0.83265301596565855</v>
      </c>
      <c r="AI39" s="65">
        <v>0.8256004628520025</v>
      </c>
      <c r="AJ39" s="65">
        <f t="shared" si="10"/>
        <v>7.052553113656046E-3</v>
      </c>
      <c r="AK39" s="44">
        <f t="shared" si="11"/>
        <v>0.76299420868422796</v>
      </c>
      <c r="AL39" s="62"/>
      <c r="AM39" s="67"/>
      <c r="AN39" s="67"/>
      <c r="AO39" s="67"/>
      <c r="AP39" s="62"/>
      <c r="AQ39" s="67"/>
      <c r="AR39" s="67"/>
      <c r="AS39" s="68"/>
    </row>
    <row r="40" spans="1:45" s="18" customFormat="1" ht="49.5">
      <c r="A40" s="94" t="s">
        <v>271</v>
      </c>
      <c r="B40" s="95" t="s">
        <v>272</v>
      </c>
      <c r="C40" s="96" t="s">
        <v>230</v>
      </c>
      <c r="D40" s="96" t="s">
        <v>231</v>
      </c>
      <c r="E40" s="96"/>
      <c r="F40" s="72">
        <f>SUM(F41:F44)</f>
        <v>22397467.876044001</v>
      </c>
      <c r="G40" s="72"/>
      <c r="H40" s="72">
        <f>SUM(H41:H44)</f>
        <v>22397467.876044001</v>
      </c>
      <c r="I40" s="72"/>
      <c r="J40" s="72">
        <f>SUM(J41:J44)</f>
        <v>22397467.876044001</v>
      </c>
      <c r="K40" s="62" t="s">
        <v>232</v>
      </c>
      <c r="L40" s="72">
        <f>SUM(L41:L44)</f>
        <v>1000000</v>
      </c>
      <c r="M40" s="72">
        <f>SUM(M41:M44)</f>
        <v>1000000</v>
      </c>
      <c r="N40" s="73">
        <f t="shared" si="0"/>
        <v>23397467.876044001</v>
      </c>
      <c r="O40" s="97">
        <f>SUM(O41:O44)</f>
        <v>25022558.98</v>
      </c>
      <c r="P40" s="98">
        <f>SUM(P41:P44)</f>
        <v>22389603.350000001</v>
      </c>
      <c r="Q40" s="85">
        <f t="shared" si="16"/>
        <v>0.99964886539462738</v>
      </c>
      <c r="R40" s="85">
        <v>0.99965163490412468</v>
      </c>
      <c r="S40" s="85">
        <f t="shared" si="13"/>
        <v>-2.7695094972912671E-6</v>
      </c>
      <c r="T40" s="85">
        <f t="shared" si="3"/>
        <v>0.9569242051582888</v>
      </c>
      <c r="U40" s="99">
        <f>SUM(U41:U44)</f>
        <v>22389603.350000001</v>
      </c>
      <c r="V40" s="85">
        <f t="shared" si="17"/>
        <v>0.99964886539462738</v>
      </c>
      <c r="W40" s="85">
        <v>0.99965163490412468</v>
      </c>
      <c r="X40" s="85">
        <f t="shared" si="5"/>
        <v>-2.7695094972912671E-6</v>
      </c>
      <c r="Y40" s="85">
        <f t="shared" si="6"/>
        <v>0.9569242051582888</v>
      </c>
      <c r="Z40" s="99">
        <f>SUM(Z41:Z44)</f>
        <v>21045753.159999996</v>
      </c>
      <c r="AA40" s="99">
        <f>SUM(AA41:AA44)</f>
        <v>0</v>
      </c>
      <c r="AB40" s="99">
        <f>SUM(AB41:AB44)</f>
        <v>0</v>
      </c>
      <c r="AC40" s="99">
        <f>SUM(AC41:AC44)</f>
        <v>0</v>
      </c>
      <c r="AD40" s="99">
        <f>SUM(AD41:AD44)</f>
        <v>0</v>
      </c>
      <c r="AE40" s="100">
        <f t="shared" si="7"/>
        <v>21045753.159999996</v>
      </c>
      <c r="AF40" s="101">
        <f t="shared" si="20"/>
        <v>21045753.159999996</v>
      </c>
      <c r="AG40" s="238">
        <f>SUM(AG41:AG44)</f>
        <v>21045753.159999996</v>
      </c>
      <c r="AH40" s="75">
        <f t="shared" si="18"/>
        <v>0.93964877085548681</v>
      </c>
      <c r="AI40" s="75">
        <v>0.93776290767515946</v>
      </c>
      <c r="AJ40" s="75">
        <f t="shared" si="10"/>
        <v>1.8858631803273518E-3</v>
      </c>
      <c r="AK40" s="80">
        <f t="shared" si="11"/>
        <v>0.89948849471647918</v>
      </c>
      <c r="AL40" s="72"/>
      <c r="AM40" s="81"/>
      <c r="AN40" s="81"/>
      <c r="AO40" s="81"/>
      <c r="AP40" s="72"/>
      <c r="AQ40" s="81"/>
      <c r="AR40" s="81"/>
      <c r="AS40" s="82"/>
    </row>
    <row r="41" spans="1:45" ht="165">
      <c r="A41" s="69" t="s">
        <v>58</v>
      </c>
      <c r="B41" s="70" t="s">
        <v>273</v>
      </c>
      <c r="C41" s="71" t="s">
        <v>230</v>
      </c>
      <c r="D41" s="71" t="s">
        <v>238</v>
      </c>
      <c r="E41" s="71"/>
      <c r="F41" s="72">
        <v>0</v>
      </c>
      <c r="G41" s="72"/>
      <c r="H41" s="72">
        <v>0</v>
      </c>
      <c r="I41" s="72"/>
      <c r="J41" s="72">
        <v>0</v>
      </c>
      <c r="K41" s="62" t="s">
        <v>232</v>
      </c>
      <c r="L41" s="72">
        <v>0</v>
      </c>
      <c r="M41" s="72"/>
      <c r="N41" s="73">
        <f t="shared" si="0"/>
        <v>0</v>
      </c>
      <c r="O41" s="74">
        <v>0</v>
      </c>
      <c r="P41" s="90">
        <v>0</v>
      </c>
      <c r="Q41" s="85">
        <v>0</v>
      </c>
      <c r="R41" s="86">
        <v>0</v>
      </c>
      <c r="S41" s="85">
        <f t="shared" si="13"/>
        <v>0</v>
      </c>
      <c r="T41" s="85" t="e">
        <f t="shared" si="3"/>
        <v>#DIV/0!</v>
      </c>
      <c r="U41" s="89">
        <v>0</v>
      </c>
      <c r="V41" s="85">
        <v>0</v>
      </c>
      <c r="W41" s="86">
        <v>0</v>
      </c>
      <c r="X41" s="85">
        <f t="shared" si="5"/>
        <v>0</v>
      </c>
      <c r="Y41" s="85" t="e">
        <f t="shared" si="6"/>
        <v>#DIV/0!</v>
      </c>
      <c r="Z41" s="91">
        <v>0</v>
      </c>
      <c r="AA41" s="91">
        <v>0</v>
      </c>
      <c r="AB41" s="91">
        <v>0</v>
      </c>
      <c r="AC41" s="91">
        <v>0</v>
      </c>
      <c r="AD41" s="91">
        <v>0</v>
      </c>
      <c r="AE41" s="77">
        <f t="shared" si="7"/>
        <v>0</v>
      </c>
      <c r="AF41" s="79">
        <f t="shared" si="20"/>
        <v>0</v>
      </c>
      <c r="AG41" s="237">
        <f>SUM(Z41:AB41)</f>
        <v>0</v>
      </c>
      <c r="AH41" s="75">
        <v>0</v>
      </c>
      <c r="AI41" s="75">
        <v>0</v>
      </c>
      <c r="AJ41" s="75">
        <f t="shared" si="10"/>
        <v>0</v>
      </c>
      <c r="AK41" s="80" t="e">
        <f t="shared" si="11"/>
        <v>#DIV/0!</v>
      </c>
      <c r="AL41" s="72"/>
      <c r="AM41" s="81"/>
      <c r="AN41" s="81"/>
      <c r="AO41" s="81"/>
      <c r="AP41" s="72"/>
      <c r="AQ41" s="81"/>
      <c r="AR41" s="81"/>
      <c r="AS41" s="82"/>
    </row>
    <row r="42" spans="1:45" ht="99">
      <c r="A42" s="69" t="s">
        <v>21</v>
      </c>
      <c r="B42" s="70" t="s">
        <v>274</v>
      </c>
      <c r="C42" s="71" t="s">
        <v>230</v>
      </c>
      <c r="D42" s="71" t="s">
        <v>275</v>
      </c>
      <c r="E42" s="71"/>
      <c r="F42" s="72">
        <v>5441400</v>
      </c>
      <c r="G42" s="72"/>
      <c r="H42" s="72">
        <v>5441400</v>
      </c>
      <c r="I42" s="72"/>
      <c r="J42" s="72">
        <v>5441400</v>
      </c>
      <c r="K42" s="62" t="s">
        <v>232</v>
      </c>
      <c r="L42" s="72">
        <v>1000000</v>
      </c>
      <c r="M42" s="72">
        <f>L42*1</f>
        <v>1000000</v>
      </c>
      <c r="N42" s="73">
        <f t="shared" si="0"/>
        <v>6441400</v>
      </c>
      <c r="O42" s="74">
        <v>4364899</v>
      </c>
      <c r="P42" s="90">
        <v>5433536.3499999996</v>
      </c>
      <c r="Q42" s="85">
        <f>P42/J42</f>
        <v>0.99855484801705441</v>
      </c>
      <c r="R42" s="86">
        <v>0.99856624765685298</v>
      </c>
      <c r="S42" s="85">
        <f t="shared" si="13"/>
        <v>-1.1399639798570504E-5</v>
      </c>
      <c r="T42" s="85">
        <f t="shared" si="3"/>
        <v>0.84353344769770544</v>
      </c>
      <c r="U42" s="89">
        <v>5433536.3499999996</v>
      </c>
      <c r="V42" s="85">
        <f>U42/J42</f>
        <v>0.99855484801705441</v>
      </c>
      <c r="W42" s="86">
        <v>0.99856624765685298</v>
      </c>
      <c r="X42" s="85">
        <f t="shared" si="5"/>
        <v>-1.1399639798570504E-5</v>
      </c>
      <c r="Y42" s="85">
        <f t="shared" si="6"/>
        <v>0.84353344769770544</v>
      </c>
      <c r="Z42" s="87">
        <v>4137701.01</v>
      </c>
      <c r="AA42" s="89">
        <v>0</v>
      </c>
      <c r="AB42" s="89">
        <v>0</v>
      </c>
      <c r="AC42" s="89">
        <v>0</v>
      </c>
      <c r="AD42" s="89">
        <v>0</v>
      </c>
      <c r="AE42" s="77">
        <f t="shared" si="7"/>
        <v>4137701.01</v>
      </c>
      <c r="AF42" s="79">
        <f t="shared" si="20"/>
        <v>4137701.01</v>
      </c>
      <c r="AG42" s="237">
        <f>SUM(Z42:AB42)</f>
        <v>4137701.01</v>
      </c>
      <c r="AH42" s="75">
        <f>AG42/J42</f>
        <v>0.76041110927334876</v>
      </c>
      <c r="AI42" s="75">
        <v>0.75339659830190764</v>
      </c>
      <c r="AJ42" s="75">
        <f t="shared" si="10"/>
        <v>7.0145109714411236E-3</v>
      </c>
      <c r="AK42" s="80">
        <f t="shared" si="11"/>
        <v>0.64236051324246279</v>
      </c>
      <c r="AL42" s="72"/>
      <c r="AM42" s="81"/>
      <c r="AN42" s="81"/>
      <c r="AO42" s="81"/>
      <c r="AP42" s="72"/>
      <c r="AQ42" s="81"/>
      <c r="AR42" s="81"/>
      <c r="AS42" s="82"/>
    </row>
    <row r="43" spans="1:45" ht="82.5">
      <c r="A43" s="69" t="s">
        <v>59</v>
      </c>
      <c r="B43" s="70" t="s">
        <v>276</v>
      </c>
      <c r="C43" s="71" t="s">
        <v>230</v>
      </c>
      <c r="D43" s="71" t="s">
        <v>238</v>
      </c>
      <c r="E43" s="71"/>
      <c r="F43" s="72">
        <v>0</v>
      </c>
      <c r="G43" s="72"/>
      <c r="H43" s="72">
        <v>0</v>
      </c>
      <c r="I43" s="72"/>
      <c r="J43" s="72">
        <v>0</v>
      </c>
      <c r="K43" s="62" t="s">
        <v>232</v>
      </c>
      <c r="L43" s="72">
        <v>0</v>
      </c>
      <c r="M43" s="72"/>
      <c r="N43" s="73">
        <f t="shared" si="0"/>
        <v>0</v>
      </c>
      <c r="O43" s="74">
        <v>0</v>
      </c>
      <c r="P43" s="90">
        <v>0</v>
      </c>
      <c r="Q43" s="85">
        <v>0</v>
      </c>
      <c r="R43" s="86">
        <v>0</v>
      </c>
      <c r="S43" s="85">
        <f t="shared" si="13"/>
        <v>0</v>
      </c>
      <c r="T43" s="85" t="e">
        <f t="shared" si="3"/>
        <v>#DIV/0!</v>
      </c>
      <c r="U43" s="89">
        <v>0</v>
      </c>
      <c r="V43" s="85">
        <v>0</v>
      </c>
      <c r="W43" s="86">
        <v>0</v>
      </c>
      <c r="X43" s="85">
        <f t="shared" si="5"/>
        <v>0</v>
      </c>
      <c r="Y43" s="85" t="e">
        <f t="shared" si="6"/>
        <v>#DIV/0!</v>
      </c>
      <c r="Z43" s="91">
        <v>0</v>
      </c>
      <c r="AA43" s="91">
        <v>0</v>
      </c>
      <c r="AB43" s="91">
        <v>0</v>
      </c>
      <c r="AC43" s="91">
        <v>0</v>
      </c>
      <c r="AD43" s="91">
        <v>0</v>
      </c>
      <c r="AE43" s="77">
        <f t="shared" si="7"/>
        <v>0</v>
      </c>
      <c r="AF43" s="79">
        <f t="shared" si="20"/>
        <v>0</v>
      </c>
      <c r="AG43" s="237">
        <f>SUM(Z43:AB43)</f>
        <v>0</v>
      </c>
      <c r="AH43" s="75">
        <v>0</v>
      </c>
      <c r="AI43" s="75">
        <v>0</v>
      </c>
      <c r="AJ43" s="75">
        <f t="shared" si="10"/>
        <v>0</v>
      </c>
      <c r="AK43" s="80" t="e">
        <f t="shared" si="11"/>
        <v>#DIV/0!</v>
      </c>
      <c r="AL43" s="72"/>
      <c r="AM43" s="81"/>
      <c r="AN43" s="81"/>
      <c r="AO43" s="81"/>
      <c r="AP43" s="72"/>
      <c r="AQ43" s="81"/>
      <c r="AR43" s="81"/>
      <c r="AS43" s="82"/>
    </row>
    <row r="44" spans="1:45" ht="132">
      <c r="A44" s="69" t="s">
        <v>60</v>
      </c>
      <c r="B44" s="70" t="s">
        <v>277</v>
      </c>
      <c r="C44" s="71" t="s">
        <v>230</v>
      </c>
      <c r="D44" s="71" t="s">
        <v>238</v>
      </c>
      <c r="E44" s="71"/>
      <c r="F44" s="72">
        <v>16956067.876044001</v>
      </c>
      <c r="G44" s="72"/>
      <c r="H44" s="72">
        <v>16956067.876044001</v>
      </c>
      <c r="I44" s="72"/>
      <c r="J44" s="72">
        <v>16956067.876044001</v>
      </c>
      <c r="K44" s="62" t="s">
        <v>232</v>
      </c>
      <c r="L44" s="72">
        <v>0</v>
      </c>
      <c r="M44" s="72"/>
      <c r="N44" s="73">
        <f t="shared" si="0"/>
        <v>16956067.876044001</v>
      </c>
      <c r="O44" s="74">
        <v>20657659.98</v>
      </c>
      <c r="P44" s="90">
        <v>16956067</v>
      </c>
      <c r="Q44" s="85">
        <f>P44/J44</f>
        <v>0.99999994833448369</v>
      </c>
      <c r="R44" s="86">
        <v>0.99999994833448369</v>
      </c>
      <c r="S44" s="85">
        <f t="shared" si="13"/>
        <v>0</v>
      </c>
      <c r="T44" s="85">
        <f t="shared" si="3"/>
        <v>0.99999994833448369</v>
      </c>
      <c r="U44" s="89">
        <v>16956067</v>
      </c>
      <c r="V44" s="85">
        <f>U44/J44</f>
        <v>0.99999994833448369</v>
      </c>
      <c r="W44" s="86">
        <v>0.99999994833448369</v>
      </c>
      <c r="X44" s="85">
        <f t="shared" si="5"/>
        <v>0</v>
      </c>
      <c r="Y44" s="85">
        <f t="shared" si="6"/>
        <v>0.99999994833448369</v>
      </c>
      <c r="Z44" s="87">
        <v>16908052.149999999</v>
      </c>
      <c r="AA44" s="91">
        <v>0</v>
      </c>
      <c r="AB44" s="91">
        <v>0</v>
      </c>
      <c r="AC44" s="91">
        <v>0</v>
      </c>
      <c r="AD44" s="91">
        <v>0</v>
      </c>
      <c r="AE44" s="77">
        <f t="shared" si="7"/>
        <v>16908052.149999999</v>
      </c>
      <c r="AF44" s="79">
        <f t="shared" si="20"/>
        <v>16908052.149999999</v>
      </c>
      <c r="AG44" s="237">
        <f>SUM(Z44:AB44)</f>
        <v>16908052.149999999</v>
      </c>
      <c r="AH44" s="75">
        <f>AG44/J44</f>
        <v>0.99716822753983891</v>
      </c>
      <c r="AI44" s="75">
        <v>0.99692820726923437</v>
      </c>
      <c r="AJ44" s="75">
        <f t="shared" si="10"/>
        <v>2.4002027060454623E-4</v>
      </c>
      <c r="AK44" s="80">
        <f t="shared" si="11"/>
        <v>0.99716822753983891</v>
      </c>
      <c r="AL44" s="72"/>
      <c r="AM44" s="81"/>
      <c r="AN44" s="81"/>
      <c r="AO44" s="81"/>
      <c r="AP44" s="72"/>
      <c r="AQ44" s="81"/>
      <c r="AR44" s="81"/>
      <c r="AS44" s="82"/>
    </row>
    <row r="45" spans="1:45" ht="99">
      <c r="A45" s="69" t="s">
        <v>278</v>
      </c>
      <c r="B45" s="70" t="s">
        <v>279</v>
      </c>
      <c r="C45" s="71" t="s">
        <v>230</v>
      </c>
      <c r="D45" s="71" t="s">
        <v>238</v>
      </c>
      <c r="E45" s="71"/>
      <c r="F45" s="72">
        <v>0</v>
      </c>
      <c r="G45" s="72"/>
      <c r="H45" s="72">
        <v>0</v>
      </c>
      <c r="I45" s="72"/>
      <c r="J45" s="72">
        <v>0</v>
      </c>
      <c r="K45" s="62" t="s">
        <v>232</v>
      </c>
      <c r="L45" s="72">
        <f>SUM(L46:L47)</f>
        <v>2000000</v>
      </c>
      <c r="M45" s="72">
        <f>SUM(M46:M47)</f>
        <v>2000000</v>
      </c>
      <c r="N45" s="73">
        <f t="shared" si="0"/>
        <v>2000000</v>
      </c>
      <c r="O45" s="74">
        <f>SUM(O46:O47)</f>
        <v>0</v>
      </c>
      <c r="P45" s="90">
        <f>SUM(P46:P47)</f>
        <v>0</v>
      </c>
      <c r="Q45" s="85">
        <v>0</v>
      </c>
      <c r="R45" s="86">
        <v>0</v>
      </c>
      <c r="S45" s="85">
        <f t="shared" si="13"/>
        <v>0</v>
      </c>
      <c r="T45" s="85">
        <f t="shared" si="3"/>
        <v>0</v>
      </c>
      <c r="U45" s="89">
        <f>SUM(U46:U47)</f>
        <v>0</v>
      </c>
      <c r="V45" s="85">
        <v>0</v>
      </c>
      <c r="W45" s="86">
        <v>0</v>
      </c>
      <c r="X45" s="85">
        <f t="shared" si="5"/>
        <v>0</v>
      </c>
      <c r="Y45" s="85">
        <f t="shared" si="6"/>
        <v>0</v>
      </c>
      <c r="Z45" s="89">
        <f>SUM(Z46:Z47)</f>
        <v>0</v>
      </c>
      <c r="AA45" s="89">
        <f>SUM(AA46:AA47)</f>
        <v>0</v>
      </c>
      <c r="AB45" s="89">
        <f>SUM(AB46:AB47)</f>
        <v>0</v>
      </c>
      <c r="AC45" s="89">
        <f>SUM(AC46:AC47)</f>
        <v>0</v>
      </c>
      <c r="AD45" s="89">
        <f>SUM(AD46:AD47)</f>
        <v>0</v>
      </c>
      <c r="AE45" s="100">
        <f t="shared" si="7"/>
        <v>0</v>
      </c>
      <c r="AF45" s="101">
        <f t="shared" si="20"/>
        <v>0</v>
      </c>
      <c r="AG45" s="241">
        <f>SUM(AG46:AG47)</f>
        <v>0</v>
      </c>
      <c r="AH45" s="75">
        <v>0</v>
      </c>
      <c r="AI45" s="75">
        <v>0</v>
      </c>
      <c r="AJ45" s="75">
        <f t="shared" si="10"/>
        <v>0</v>
      </c>
      <c r="AK45" s="80">
        <f t="shared" si="11"/>
        <v>0</v>
      </c>
      <c r="AL45" s="72"/>
      <c r="AM45" s="81"/>
      <c r="AN45" s="81"/>
      <c r="AO45" s="81"/>
      <c r="AP45" s="72"/>
      <c r="AQ45" s="81"/>
      <c r="AR45" s="81"/>
      <c r="AS45" s="82"/>
    </row>
    <row r="46" spans="1:45" ht="115.5">
      <c r="A46" s="69" t="s">
        <v>61</v>
      </c>
      <c r="B46" s="70" t="s">
        <v>280</v>
      </c>
      <c r="C46" s="71" t="s">
        <v>230</v>
      </c>
      <c r="D46" s="71" t="s">
        <v>238</v>
      </c>
      <c r="E46" s="71"/>
      <c r="F46" s="72">
        <v>0</v>
      </c>
      <c r="G46" s="72"/>
      <c r="H46" s="72">
        <v>0</v>
      </c>
      <c r="I46" s="72"/>
      <c r="J46" s="72">
        <v>0</v>
      </c>
      <c r="K46" s="62" t="s">
        <v>232</v>
      </c>
      <c r="L46" s="72">
        <v>2000000</v>
      </c>
      <c r="M46" s="72">
        <f>L46</f>
        <v>2000000</v>
      </c>
      <c r="N46" s="73">
        <f t="shared" si="0"/>
        <v>2000000</v>
      </c>
      <c r="O46" s="74">
        <v>0</v>
      </c>
      <c r="P46" s="90">
        <v>0</v>
      </c>
      <c r="Q46" s="85">
        <v>0</v>
      </c>
      <c r="R46" s="86">
        <v>0</v>
      </c>
      <c r="S46" s="85">
        <f t="shared" si="13"/>
        <v>0</v>
      </c>
      <c r="T46" s="85">
        <f t="shared" si="3"/>
        <v>0</v>
      </c>
      <c r="U46" s="89">
        <v>0</v>
      </c>
      <c r="V46" s="85">
        <v>0</v>
      </c>
      <c r="W46" s="86">
        <v>0</v>
      </c>
      <c r="X46" s="85">
        <f t="shared" si="5"/>
        <v>0</v>
      </c>
      <c r="Y46" s="85">
        <f t="shared" si="6"/>
        <v>0</v>
      </c>
      <c r="Z46" s="91">
        <v>0</v>
      </c>
      <c r="AA46" s="91">
        <v>0</v>
      </c>
      <c r="AB46" s="91">
        <v>0</v>
      </c>
      <c r="AC46" s="91">
        <v>0</v>
      </c>
      <c r="AD46" s="91">
        <v>0</v>
      </c>
      <c r="AE46" s="77">
        <f t="shared" si="7"/>
        <v>0</v>
      </c>
      <c r="AF46" s="79">
        <f t="shared" si="20"/>
        <v>0</v>
      </c>
      <c r="AG46" s="237">
        <f>SUM(Z46:AB46)</f>
        <v>0</v>
      </c>
      <c r="AH46" s="75">
        <v>0</v>
      </c>
      <c r="AI46" s="75">
        <v>0</v>
      </c>
      <c r="AJ46" s="75">
        <f t="shared" si="10"/>
        <v>0</v>
      </c>
      <c r="AK46" s="80">
        <f t="shared" si="11"/>
        <v>0</v>
      </c>
      <c r="AL46" s="72"/>
      <c r="AM46" s="81"/>
      <c r="AN46" s="81"/>
      <c r="AO46" s="81"/>
      <c r="AP46" s="72"/>
      <c r="AQ46" s="81"/>
      <c r="AR46" s="81"/>
      <c r="AS46" s="82"/>
    </row>
    <row r="47" spans="1:45" ht="165">
      <c r="A47" s="69" t="s">
        <v>62</v>
      </c>
      <c r="B47" s="70" t="s">
        <v>281</v>
      </c>
      <c r="C47" s="71" t="s">
        <v>230</v>
      </c>
      <c r="D47" s="71" t="s">
        <v>238</v>
      </c>
      <c r="E47" s="71"/>
      <c r="F47" s="72">
        <v>0</v>
      </c>
      <c r="G47" s="72"/>
      <c r="H47" s="72">
        <v>0</v>
      </c>
      <c r="I47" s="72"/>
      <c r="J47" s="72">
        <v>0</v>
      </c>
      <c r="K47" s="62" t="s">
        <v>232</v>
      </c>
      <c r="L47" s="72">
        <v>0</v>
      </c>
      <c r="M47" s="72"/>
      <c r="N47" s="73">
        <f t="shared" si="0"/>
        <v>0</v>
      </c>
      <c r="O47" s="74">
        <v>0</v>
      </c>
      <c r="P47" s="90">
        <v>0</v>
      </c>
      <c r="Q47" s="85">
        <v>0</v>
      </c>
      <c r="R47" s="86">
        <v>0</v>
      </c>
      <c r="S47" s="85">
        <f t="shared" si="13"/>
        <v>0</v>
      </c>
      <c r="T47" s="85" t="e">
        <f t="shared" si="3"/>
        <v>#DIV/0!</v>
      </c>
      <c r="U47" s="89">
        <v>0</v>
      </c>
      <c r="V47" s="85">
        <v>0</v>
      </c>
      <c r="W47" s="86">
        <v>0</v>
      </c>
      <c r="X47" s="85">
        <f t="shared" si="5"/>
        <v>0</v>
      </c>
      <c r="Y47" s="85" t="e">
        <f t="shared" si="6"/>
        <v>#DIV/0!</v>
      </c>
      <c r="Z47" s="91">
        <v>0</v>
      </c>
      <c r="AA47" s="91">
        <v>0</v>
      </c>
      <c r="AB47" s="91">
        <v>0</v>
      </c>
      <c r="AC47" s="91">
        <v>0</v>
      </c>
      <c r="AD47" s="91">
        <v>0</v>
      </c>
      <c r="AE47" s="77">
        <f t="shared" si="7"/>
        <v>0</v>
      </c>
      <c r="AF47" s="79">
        <f t="shared" si="20"/>
        <v>0</v>
      </c>
      <c r="AG47" s="237">
        <f>SUM(Z47:AB47)</f>
        <v>0</v>
      </c>
      <c r="AH47" s="75">
        <v>0</v>
      </c>
      <c r="AI47" s="75">
        <v>0</v>
      </c>
      <c r="AJ47" s="75">
        <f t="shared" si="10"/>
        <v>0</v>
      </c>
      <c r="AK47" s="80" t="e">
        <f t="shared" si="11"/>
        <v>#DIV/0!</v>
      </c>
      <c r="AL47" s="72"/>
      <c r="AM47" s="81"/>
      <c r="AN47" s="81"/>
      <c r="AO47" s="81"/>
      <c r="AP47" s="72"/>
      <c r="AQ47" s="81"/>
      <c r="AR47" s="81"/>
      <c r="AS47" s="82"/>
    </row>
    <row r="48" spans="1:45" s="18" customFormat="1" ht="148.5">
      <c r="A48" s="94" t="s">
        <v>282</v>
      </c>
      <c r="B48" s="95" t="s">
        <v>283</v>
      </c>
      <c r="C48" s="96" t="s">
        <v>230</v>
      </c>
      <c r="D48" s="96" t="s">
        <v>238</v>
      </c>
      <c r="E48" s="96"/>
      <c r="F48" s="72">
        <f>SUM(F49:F50)</f>
        <v>973356.13064400002</v>
      </c>
      <c r="G48" s="72"/>
      <c r="H48" s="72">
        <f>SUM(H49:H50)</f>
        <v>973356.13064400002</v>
      </c>
      <c r="I48" s="72"/>
      <c r="J48" s="72">
        <f>SUM(J49:J50)</f>
        <v>973356.13064400002</v>
      </c>
      <c r="K48" s="62" t="s">
        <v>232</v>
      </c>
      <c r="L48" s="72">
        <f>SUM(L49:L50)</f>
        <v>0</v>
      </c>
      <c r="M48" s="72">
        <f>SUM(M49:M50)</f>
        <v>0</v>
      </c>
      <c r="N48" s="73">
        <f t="shared" si="0"/>
        <v>973356.13064400002</v>
      </c>
      <c r="O48" s="97">
        <f>SUM(O49:O50)</f>
        <v>432310.82999999996</v>
      </c>
      <c r="P48" s="98">
        <v>973356</v>
      </c>
      <c r="Q48" s="85">
        <f>P48/J48</f>
        <v>0.999999865779856</v>
      </c>
      <c r="R48" s="85">
        <v>0.999999865779856</v>
      </c>
      <c r="S48" s="85">
        <f t="shared" si="13"/>
        <v>0</v>
      </c>
      <c r="T48" s="85">
        <f t="shared" si="3"/>
        <v>0.999999865779856</v>
      </c>
      <c r="U48" s="99">
        <f>SUM(U49:U50)</f>
        <v>973356</v>
      </c>
      <c r="V48" s="85">
        <f>U48/J48</f>
        <v>0.999999865779856</v>
      </c>
      <c r="W48" s="85">
        <v>0.999999865779856</v>
      </c>
      <c r="X48" s="85">
        <f t="shared" si="5"/>
        <v>0</v>
      </c>
      <c r="Y48" s="85">
        <f t="shared" si="6"/>
        <v>0.999999865779856</v>
      </c>
      <c r="Z48" s="99">
        <f>SUM(Z49:Z50)</f>
        <v>323046.01</v>
      </c>
      <c r="AA48" s="99">
        <f>SUM(AA49:AA50)</f>
        <v>0</v>
      </c>
      <c r="AB48" s="99">
        <f>SUM(AB49:AB50)</f>
        <v>0</v>
      </c>
      <c r="AC48" s="99">
        <f>SUM(AC49:AC50)</f>
        <v>0</v>
      </c>
      <c r="AD48" s="99">
        <v>0</v>
      </c>
      <c r="AE48" s="100">
        <f t="shared" si="7"/>
        <v>323046.01</v>
      </c>
      <c r="AF48" s="101">
        <f t="shared" si="20"/>
        <v>323046.01</v>
      </c>
      <c r="AG48" s="238">
        <f>SUM(AG49:AG50)</f>
        <v>323046.01</v>
      </c>
      <c r="AH48" s="75">
        <f>AG48/J48</f>
        <v>0.33188881215168758</v>
      </c>
      <c r="AI48" s="75">
        <v>0.33188881215168758</v>
      </c>
      <c r="AJ48" s="75">
        <f t="shared" si="10"/>
        <v>0</v>
      </c>
      <c r="AK48" s="80">
        <f t="shared" si="11"/>
        <v>0.33188881215168758</v>
      </c>
      <c r="AL48" s="72"/>
      <c r="AM48" s="81"/>
      <c r="AN48" s="81"/>
      <c r="AO48" s="81"/>
      <c r="AP48" s="72"/>
      <c r="AQ48" s="81"/>
      <c r="AR48" s="81"/>
      <c r="AS48" s="82"/>
    </row>
    <row r="49" spans="1:45" ht="148.5">
      <c r="A49" s="69" t="s">
        <v>63</v>
      </c>
      <c r="B49" s="70" t="s">
        <v>284</v>
      </c>
      <c r="C49" s="71" t="s">
        <v>230</v>
      </c>
      <c r="D49" s="71" t="s">
        <v>238</v>
      </c>
      <c r="E49" s="71"/>
      <c r="F49" s="72">
        <v>0</v>
      </c>
      <c r="G49" s="72"/>
      <c r="H49" s="72">
        <v>0</v>
      </c>
      <c r="I49" s="72"/>
      <c r="J49" s="72">
        <v>0</v>
      </c>
      <c r="K49" s="62" t="s">
        <v>232</v>
      </c>
      <c r="L49" s="72">
        <v>0</v>
      </c>
      <c r="M49" s="72"/>
      <c r="N49" s="73">
        <f t="shared" si="0"/>
        <v>0</v>
      </c>
      <c r="O49" s="74">
        <v>0</v>
      </c>
      <c r="P49" s="90">
        <v>0</v>
      </c>
      <c r="Q49" s="85">
        <v>0</v>
      </c>
      <c r="R49" s="86">
        <v>0</v>
      </c>
      <c r="S49" s="85">
        <f t="shared" si="13"/>
        <v>0</v>
      </c>
      <c r="T49" s="85" t="e">
        <f t="shared" si="3"/>
        <v>#DIV/0!</v>
      </c>
      <c r="U49" s="89">
        <v>0</v>
      </c>
      <c r="V49" s="85">
        <v>0</v>
      </c>
      <c r="W49" s="86">
        <v>0</v>
      </c>
      <c r="X49" s="85">
        <f t="shared" si="5"/>
        <v>0</v>
      </c>
      <c r="Y49" s="85" t="e">
        <f t="shared" si="6"/>
        <v>#DIV/0!</v>
      </c>
      <c r="Z49" s="91">
        <v>0</v>
      </c>
      <c r="AA49" s="91">
        <v>0</v>
      </c>
      <c r="AB49" s="91">
        <v>0</v>
      </c>
      <c r="AC49" s="91">
        <v>0</v>
      </c>
      <c r="AD49" s="91">
        <v>0</v>
      </c>
      <c r="AE49" s="77">
        <f t="shared" si="7"/>
        <v>0</v>
      </c>
      <c r="AF49" s="79">
        <f t="shared" si="20"/>
        <v>0</v>
      </c>
      <c r="AG49" s="237">
        <f>SUM(Z49:AB49)</f>
        <v>0</v>
      </c>
      <c r="AH49" s="75">
        <v>0</v>
      </c>
      <c r="AI49" s="75">
        <v>0</v>
      </c>
      <c r="AJ49" s="75">
        <f t="shared" si="10"/>
        <v>0</v>
      </c>
      <c r="AK49" s="80" t="e">
        <f t="shared" si="11"/>
        <v>#DIV/0!</v>
      </c>
      <c r="AL49" s="72"/>
      <c r="AM49" s="81"/>
      <c r="AN49" s="81"/>
      <c r="AO49" s="81"/>
      <c r="AP49" s="72"/>
      <c r="AQ49" s="81"/>
      <c r="AR49" s="81"/>
      <c r="AS49" s="82"/>
    </row>
    <row r="50" spans="1:45" ht="66">
      <c r="A50" s="69" t="s">
        <v>64</v>
      </c>
      <c r="B50" s="70" t="s">
        <v>285</v>
      </c>
      <c r="C50" s="71" t="s">
        <v>230</v>
      </c>
      <c r="D50" s="71" t="s">
        <v>238</v>
      </c>
      <c r="E50" s="71"/>
      <c r="F50" s="72">
        <v>973356.13064400002</v>
      </c>
      <c r="G50" s="72"/>
      <c r="H50" s="72">
        <v>973356.13064400002</v>
      </c>
      <c r="I50" s="72"/>
      <c r="J50" s="72">
        <v>973356.13064400002</v>
      </c>
      <c r="K50" s="62" t="s">
        <v>232</v>
      </c>
      <c r="L50" s="72">
        <v>0</v>
      </c>
      <c r="M50" s="72"/>
      <c r="N50" s="73">
        <f t="shared" si="0"/>
        <v>973356.13064400002</v>
      </c>
      <c r="O50" s="74">
        <v>432310.82999999996</v>
      </c>
      <c r="P50" s="90">
        <v>973356</v>
      </c>
      <c r="Q50" s="85">
        <f t="shared" ref="Q50:Q67" si="21">P50/J50</f>
        <v>0.999999865779856</v>
      </c>
      <c r="R50" s="86">
        <v>0.999999865779856</v>
      </c>
      <c r="S50" s="85">
        <f t="shared" si="13"/>
        <v>0</v>
      </c>
      <c r="T50" s="85">
        <f t="shared" si="3"/>
        <v>0.999999865779856</v>
      </c>
      <c r="U50" s="89">
        <v>973356</v>
      </c>
      <c r="V50" s="85">
        <f t="shared" ref="V50:V67" si="22">U50/J50</f>
        <v>0.999999865779856</v>
      </c>
      <c r="W50" s="86">
        <v>0.999999865779856</v>
      </c>
      <c r="X50" s="85">
        <f t="shared" si="5"/>
        <v>0</v>
      </c>
      <c r="Y50" s="85">
        <f t="shared" si="6"/>
        <v>0.999999865779856</v>
      </c>
      <c r="Z50" s="89">
        <v>323046.01</v>
      </c>
      <c r="AA50" s="91">
        <v>0</v>
      </c>
      <c r="AB50" s="91">
        <v>0</v>
      </c>
      <c r="AC50" s="91">
        <v>0</v>
      </c>
      <c r="AD50" s="91">
        <v>0</v>
      </c>
      <c r="AE50" s="77">
        <f t="shared" si="7"/>
        <v>323046.01</v>
      </c>
      <c r="AF50" s="79">
        <f t="shared" si="20"/>
        <v>323046.01</v>
      </c>
      <c r="AG50" s="237">
        <f>SUM(Z50:AB50)</f>
        <v>323046.01</v>
      </c>
      <c r="AH50" s="75">
        <f t="shared" ref="AH50:AH60" si="23">AG50/J50</f>
        <v>0.33188881215168758</v>
      </c>
      <c r="AI50" s="75">
        <v>0.33188881215168758</v>
      </c>
      <c r="AJ50" s="75">
        <f t="shared" si="10"/>
        <v>0</v>
      </c>
      <c r="AK50" s="80">
        <f t="shared" si="11"/>
        <v>0.33188881215168758</v>
      </c>
      <c r="AL50" s="72"/>
      <c r="AM50" s="81"/>
      <c r="AN50" s="81"/>
      <c r="AO50" s="81"/>
      <c r="AP50" s="72"/>
      <c r="AQ50" s="81"/>
      <c r="AR50" s="81"/>
      <c r="AS50" s="82"/>
    </row>
    <row r="51" spans="1:45" s="18" customFormat="1" ht="165">
      <c r="A51" s="94" t="s">
        <v>286</v>
      </c>
      <c r="B51" s="95" t="s">
        <v>287</v>
      </c>
      <c r="C51" s="96" t="s">
        <v>230</v>
      </c>
      <c r="D51" s="96" t="s">
        <v>238</v>
      </c>
      <c r="E51" s="96"/>
      <c r="F51" s="72">
        <f>SUM(F52:F53)</f>
        <v>9489093</v>
      </c>
      <c r="G51" s="72"/>
      <c r="H51" s="72">
        <f>SUM(H52:H53)</f>
        <v>9489093</v>
      </c>
      <c r="I51" s="72"/>
      <c r="J51" s="72">
        <f>SUM(J52:J53)</f>
        <v>9489093</v>
      </c>
      <c r="K51" s="62" t="s">
        <v>232</v>
      </c>
      <c r="L51" s="72">
        <f>SUM(L52:L53)</f>
        <v>0</v>
      </c>
      <c r="M51" s="72">
        <f>SUM(M52:M53)</f>
        <v>0</v>
      </c>
      <c r="N51" s="73">
        <f t="shared" si="0"/>
        <v>9489093</v>
      </c>
      <c r="O51" s="97">
        <f>SUM(O52:O53)</f>
        <v>7349301.3899999997</v>
      </c>
      <c r="P51" s="98">
        <f>SUM(P52:P53)</f>
        <v>9261568.4299999997</v>
      </c>
      <c r="Q51" s="85">
        <f t="shared" si="21"/>
        <v>0.97602251658825556</v>
      </c>
      <c r="R51" s="85">
        <v>0.97602251658825556</v>
      </c>
      <c r="S51" s="85">
        <f t="shared" si="13"/>
        <v>0</v>
      </c>
      <c r="T51" s="85">
        <f t="shared" si="3"/>
        <v>0.97602251658825556</v>
      </c>
      <c r="U51" s="99">
        <f>SUM(U52:U53)</f>
        <v>9261568.4299999997</v>
      </c>
      <c r="V51" s="85">
        <f t="shared" si="22"/>
        <v>0.97602251658825556</v>
      </c>
      <c r="W51" s="85">
        <v>0.97602251658825556</v>
      </c>
      <c r="X51" s="85">
        <f t="shared" si="5"/>
        <v>0</v>
      </c>
      <c r="Y51" s="85">
        <f t="shared" si="6"/>
        <v>0.97602251658825556</v>
      </c>
      <c r="Z51" s="99">
        <f>SUM(Z52:Z53)</f>
        <v>4479184.78</v>
      </c>
      <c r="AA51" s="99">
        <f>SUM(AA52:AA53)</f>
        <v>0</v>
      </c>
      <c r="AB51" s="99">
        <f>SUM(AB52:AB53)</f>
        <v>1512925.05</v>
      </c>
      <c r="AC51" s="99">
        <f>SUM(AC52:AC53)</f>
        <v>626103.18999999994</v>
      </c>
      <c r="AD51" s="99">
        <f>SUM(AD52:AD53)</f>
        <v>11362.99</v>
      </c>
      <c r="AE51" s="100">
        <f t="shared" si="7"/>
        <v>5980746.8399999999</v>
      </c>
      <c r="AF51" s="101">
        <f t="shared" si="20"/>
        <v>5105287.9700000007</v>
      </c>
      <c r="AG51" s="238">
        <f>SUM(AG52:AG53)</f>
        <v>5992109.8300000001</v>
      </c>
      <c r="AH51" s="75">
        <f t="shared" si="23"/>
        <v>0.63147340109323413</v>
      </c>
      <c r="AI51" s="75">
        <v>0.61150228794258843</v>
      </c>
      <c r="AJ51" s="75">
        <f t="shared" si="10"/>
        <v>1.9971113150645703E-2</v>
      </c>
      <c r="AK51" s="80">
        <f t="shared" si="11"/>
        <v>0.63147340109323413</v>
      </c>
      <c r="AL51" s="72"/>
      <c r="AM51" s="81"/>
      <c r="AN51" s="81"/>
      <c r="AO51" s="81"/>
      <c r="AP51" s="72"/>
      <c r="AQ51" s="81"/>
      <c r="AR51" s="81"/>
      <c r="AS51" s="82"/>
    </row>
    <row r="52" spans="1:45" ht="214.5">
      <c r="A52" s="69" t="s">
        <v>65</v>
      </c>
      <c r="B52" s="70" t="s">
        <v>288</v>
      </c>
      <c r="C52" s="71" t="s">
        <v>230</v>
      </c>
      <c r="D52" s="71" t="s">
        <v>238</v>
      </c>
      <c r="E52" s="71"/>
      <c r="F52" s="72">
        <v>3584300</v>
      </c>
      <c r="G52" s="72"/>
      <c r="H52" s="72">
        <v>3584300</v>
      </c>
      <c r="I52" s="72"/>
      <c r="J52" s="72">
        <v>3584300</v>
      </c>
      <c r="K52" s="62" t="s">
        <v>232</v>
      </c>
      <c r="L52" s="72">
        <v>0</v>
      </c>
      <c r="M52" s="72"/>
      <c r="N52" s="73">
        <f t="shared" si="0"/>
        <v>3584300</v>
      </c>
      <c r="O52" s="74">
        <v>2262873</v>
      </c>
      <c r="P52" s="90">
        <v>3584300</v>
      </c>
      <c r="Q52" s="85">
        <f t="shared" si="21"/>
        <v>1</v>
      </c>
      <c r="R52" s="86">
        <v>1</v>
      </c>
      <c r="S52" s="85">
        <f t="shared" si="13"/>
        <v>0</v>
      </c>
      <c r="T52" s="85">
        <f t="shared" si="3"/>
        <v>1</v>
      </c>
      <c r="U52" s="89">
        <v>3584300</v>
      </c>
      <c r="V52" s="85">
        <f t="shared" si="22"/>
        <v>1</v>
      </c>
      <c r="W52" s="86">
        <v>1</v>
      </c>
      <c r="X52" s="85">
        <f t="shared" si="5"/>
        <v>0</v>
      </c>
      <c r="Y52" s="85">
        <f t="shared" si="6"/>
        <v>1</v>
      </c>
      <c r="Z52" s="89">
        <v>1293764.8</v>
      </c>
      <c r="AA52" s="89">
        <v>0</v>
      </c>
      <c r="AB52" s="89">
        <v>110704</v>
      </c>
      <c r="AC52" s="89">
        <v>0</v>
      </c>
      <c r="AD52" s="89">
        <v>0</v>
      </c>
      <c r="AE52" s="77">
        <f t="shared" si="7"/>
        <v>1404468.8</v>
      </c>
      <c r="AF52" s="79">
        <f t="shared" si="20"/>
        <v>1293764.8</v>
      </c>
      <c r="AG52" s="237">
        <f>SUM(Z52:AB52)</f>
        <v>1404468.8</v>
      </c>
      <c r="AH52" s="75">
        <f t="shared" si="23"/>
        <v>0.3918390759702034</v>
      </c>
      <c r="AI52" s="75">
        <v>0.34327912842117009</v>
      </c>
      <c r="AJ52" s="75">
        <f t="shared" si="10"/>
        <v>4.8559947549033311E-2</v>
      </c>
      <c r="AK52" s="80">
        <f t="shared" si="11"/>
        <v>0.3918390759702034</v>
      </c>
      <c r="AL52" s="72"/>
      <c r="AM52" s="81"/>
      <c r="AN52" s="81"/>
      <c r="AO52" s="81"/>
      <c r="AP52" s="72"/>
      <c r="AQ52" s="81"/>
      <c r="AR52" s="81"/>
      <c r="AS52" s="82"/>
    </row>
    <row r="53" spans="1:45" ht="181.5">
      <c r="A53" s="69" t="s">
        <v>66</v>
      </c>
      <c r="B53" s="70" t="s">
        <v>289</v>
      </c>
      <c r="C53" s="71" t="s">
        <v>230</v>
      </c>
      <c r="D53" s="71" t="s">
        <v>290</v>
      </c>
      <c r="E53" s="71"/>
      <c r="F53" s="72">
        <v>5904793</v>
      </c>
      <c r="G53" s="72"/>
      <c r="H53" s="72">
        <f>F53</f>
        <v>5904793</v>
      </c>
      <c r="I53" s="72"/>
      <c r="J53" s="72">
        <f>F53</f>
        <v>5904793</v>
      </c>
      <c r="K53" s="62" t="s">
        <v>232</v>
      </c>
      <c r="L53" s="72">
        <v>0</v>
      </c>
      <c r="M53" s="72"/>
      <c r="N53" s="73">
        <f t="shared" si="0"/>
        <v>5904793</v>
      </c>
      <c r="O53" s="74">
        <v>5086428.3899999997</v>
      </c>
      <c r="P53" s="108">
        <v>5677268.4299999997</v>
      </c>
      <c r="Q53" s="85">
        <f t="shared" si="21"/>
        <v>0.96146781606061371</v>
      </c>
      <c r="R53" s="86">
        <v>0.96146781606061371</v>
      </c>
      <c r="S53" s="85">
        <f t="shared" si="13"/>
        <v>0</v>
      </c>
      <c r="T53" s="85">
        <f t="shared" si="3"/>
        <v>0.96146781606061371</v>
      </c>
      <c r="U53" s="108">
        <v>5677268.4299999997</v>
      </c>
      <c r="V53" s="85">
        <f t="shared" si="22"/>
        <v>0.96146781606061371</v>
      </c>
      <c r="W53" s="86">
        <v>0.96146781606061371</v>
      </c>
      <c r="X53" s="85">
        <f t="shared" si="5"/>
        <v>0</v>
      </c>
      <c r="Y53" s="85">
        <f t="shared" si="6"/>
        <v>0.96146781606061371</v>
      </c>
      <c r="Z53" s="87">
        <v>3185419.98</v>
      </c>
      <c r="AA53" s="91">
        <v>0</v>
      </c>
      <c r="AB53" s="89">
        <v>1402221.05</v>
      </c>
      <c r="AC53" s="87">
        <v>626103.18999999994</v>
      </c>
      <c r="AD53" s="89">
        <v>11362.99</v>
      </c>
      <c r="AE53" s="77">
        <f t="shared" si="7"/>
        <v>4576278.04</v>
      </c>
      <c r="AF53" s="79">
        <f t="shared" si="20"/>
        <v>3811523.17</v>
      </c>
      <c r="AG53" s="237">
        <f>SUM(Z53:AB53)</f>
        <v>4587641.03</v>
      </c>
      <c r="AH53" s="75">
        <f t="shared" si="23"/>
        <v>0.77693511525298187</v>
      </c>
      <c r="AI53" s="75">
        <v>0.77431786347125131</v>
      </c>
      <c r="AJ53" s="75">
        <f t="shared" si="10"/>
        <v>2.6172517817305563E-3</v>
      </c>
      <c r="AK53" s="80">
        <f t="shared" si="11"/>
        <v>0.77693511525298187</v>
      </c>
      <c r="AL53" s="72"/>
      <c r="AM53" s="81"/>
      <c r="AN53" s="81"/>
      <c r="AO53" s="81"/>
      <c r="AP53" s="72"/>
      <c r="AQ53" s="81"/>
      <c r="AR53" s="81"/>
      <c r="AS53" s="82"/>
    </row>
    <row r="54" spans="1:45" s="18" customFormat="1" ht="82.5">
      <c r="A54" s="59" t="s">
        <v>291</v>
      </c>
      <c r="B54" s="60" t="s">
        <v>292</v>
      </c>
      <c r="C54" s="61" t="s">
        <v>230</v>
      </c>
      <c r="D54" s="61"/>
      <c r="E54" s="61"/>
      <c r="F54" s="62">
        <f>F55+F72</f>
        <v>175190083.48281199</v>
      </c>
      <c r="G54" s="62"/>
      <c r="H54" s="62">
        <f>H55+H72</f>
        <v>175190083.48281199</v>
      </c>
      <c r="I54" s="62">
        <f>I55</f>
        <v>0</v>
      </c>
      <c r="J54" s="62">
        <f>J55+J72</f>
        <v>175190083.48281199</v>
      </c>
      <c r="K54" s="62" t="s">
        <v>232</v>
      </c>
      <c r="L54" s="62">
        <f>L55+L72</f>
        <v>26978867.81377</v>
      </c>
      <c r="M54" s="62">
        <f>M55+M72</f>
        <v>23157968.668533184</v>
      </c>
      <c r="N54" s="41">
        <f t="shared" si="0"/>
        <v>198348052.15134516</v>
      </c>
      <c r="O54" s="63">
        <f>O55+O72</f>
        <v>172291056.61000013</v>
      </c>
      <c r="P54" s="92">
        <f>P55+P72</f>
        <v>192938937.07000002</v>
      </c>
      <c r="Q54" s="93">
        <f t="shared" si="21"/>
        <v>1.1013119763078907</v>
      </c>
      <c r="R54" s="93">
        <v>1.0931284926226359</v>
      </c>
      <c r="S54" s="93">
        <f t="shared" si="13"/>
        <v>8.1834836852547888E-3</v>
      </c>
      <c r="T54" s="93">
        <f t="shared" si="3"/>
        <v>0.97272917468724207</v>
      </c>
      <c r="U54" s="92">
        <f>U55+U72</f>
        <v>192938937.07000002</v>
      </c>
      <c r="V54" s="93">
        <f t="shared" si="22"/>
        <v>1.1013119763078907</v>
      </c>
      <c r="W54" s="93">
        <v>1.0931284926226359</v>
      </c>
      <c r="X54" s="93">
        <f t="shared" si="5"/>
        <v>8.1834836852547888E-3</v>
      </c>
      <c r="Y54" s="93">
        <f t="shared" si="6"/>
        <v>0.97272917468724207</v>
      </c>
      <c r="Z54" s="92">
        <f>Z55+Z72</f>
        <v>137811962.41</v>
      </c>
      <c r="AA54" s="92">
        <f>AA55+AA72</f>
        <v>0</v>
      </c>
      <c r="AB54" s="92">
        <f>AB55+AB72</f>
        <v>1349615.73</v>
      </c>
      <c r="AC54" s="92">
        <f>AC55+AC72</f>
        <v>792650.17000000342</v>
      </c>
      <c r="AD54" s="92">
        <f>AD55+AD72</f>
        <v>17566.93</v>
      </c>
      <c r="AE54" s="100">
        <f t="shared" si="7"/>
        <v>139144011.20999998</v>
      </c>
      <c r="AF54" s="64">
        <f t="shared" si="20"/>
        <v>138604612.58000001</v>
      </c>
      <c r="AG54" s="234">
        <f>AG55+AG72</f>
        <v>139161578.13999999</v>
      </c>
      <c r="AH54" s="65">
        <f t="shared" si="23"/>
        <v>0.79434620598062111</v>
      </c>
      <c r="AI54" s="65">
        <v>0.7779133901341555</v>
      </c>
      <c r="AJ54" s="65">
        <f t="shared" si="10"/>
        <v>1.6432815846465609E-2</v>
      </c>
      <c r="AK54" s="44">
        <f t="shared" si="11"/>
        <v>0.70160294810364854</v>
      </c>
      <c r="AL54" s="62"/>
      <c r="AM54" s="67"/>
      <c r="AN54" s="67"/>
      <c r="AO54" s="67"/>
      <c r="AP54" s="62"/>
      <c r="AQ54" s="67"/>
      <c r="AR54" s="67"/>
      <c r="AS54" s="68"/>
    </row>
    <row r="55" spans="1:45" s="18" customFormat="1" ht="33">
      <c r="A55" s="59" t="s">
        <v>293</v>
      </c>
      <c r="B55" s="60" t="s">
        <v>294</v>
      </c>
      <c r="C55" s="61" t="s">
        <v>230</v>
      </c>
      <c r="D55" s="61"/>
      <c r="E55" s="61"/>
      <c r="F55" s="62">
        <f>F56+F62+F63+F66+F67+F68+F69+F70+F71</f>
        <v>166469737.48281199</v>
      </c>
      <c r="G55" s="62"/>
      <c r="H55" s="62">
        <f>H56+H62+H63+H66+H67+H68+H69+H70+H71</f>
        <v>166469737.48281199</v>
      </c>
      <c r="I55" s="62">
        <f>I67</f>
        <v>0</v>
      </c>
      <c r="J55" s="62">
        <f>J56+J62+J63+J66+J67+J68+J69+J70+J71</f>
        <v>166469737.48281199</v>
      </c>
      <c r="K55" s="62" t="s">
        <v>232</v>
      </c>
      <c r="L55" s="62">
        <f>L56+L62+L63+L66+L67+L68+L69+L70+L71</f>
        <v>25778867.81377</v>
      </c>
      <c r="M55" s="62">
        <f>M56+M62+M63+M66+M67+M68+M69+M70+M71</f>
        <v>22121768.668533184</v>
      </c>
      <c r="N55" s="41">
        <f t="shared" si="0"/>
        <v>188591506.15134516</v>
      </c>
      <c r="O55" s="63">
        <f>O56+O62+O63+O66+O67+O68+O69+O70+O71</f>
        <v>163393264.70000014</v>
      </c>
      <c r="P55" s="92">
        <f>P56+P62+P63+P66+P67+P68+P69+P70+P71</f>
        <v>183195773.92000002</v>
      </c>
      <c r="Q55" s="93">
        <f t="shared" si="21"/>
        <v>1.1004749373075391</v>
      </c>
      <c r="R55" s="93">
        <v>1.0980376149681443</v>
      </c>
      <c r="S55" s="93">
        <f t="shared" si="13"/>
        <v>2.4373223393947541E-3</v>
      </c>
      <c r="T55" s="93">
        <f t="shared" si="3"/>
        <v>0.97138931470744472</v>
      </c>
      <c r="U55" s="92">
        <f>U56+U62+U63+U66+U67+U68+U69+U70+U71</f>
        <v>183195773.92000002</v>
      </c>
      <c r="V55" s="93">
        <f t="shared" si="22"/>
        <v>1.1004749373075391</v>
      </c>
      <c r="W55" s="93">
        <v>1.0980376149681443</v>
      </c>
      <c r="X55" s="93">
        <f t="shared" si="5"/>
        <v>2.4373223393947541E-3</v>
      </c>
      <c r="Y55" s="93">
        <f t="shared" si="6"/>
        <v>0.97138931470744472</v>
      </c>
      <c r="Z55" s="92">
        <f>Z56+Z62+Z63+Z66+Z67+Z68+Z69+Z70+Z71</f>
        <v>131262318.77999999</v>
      </c>
      <c r="AA55" s="92">
        <f>AA56+AA62+AA63+AA66+AA67+AA68+AA69+AA70+AA71</f>
        <v>0</v>
      </c>
      <c r="AB55" s="92">
        <f>AB56+AB62+AB63+AB66+AB67+AB68+AB69+AB70+AB71</f>
        <v>1349615.73</v>
      </c>
      <c r="AC55" s="92">
        <f>AC56+AC62+AC63+AC66+AC67+AC68+AC69+AC70+AC71</f>
        <v>792650.17000000342</v>
      </c>
      <c r="AD55" s="92">
        <f>AD56+AD62+AD63+AD66+AD67+AD68+AD69+AD70+AD71</f>
        <v>17566.93</v>
      </c>
      <c r="AE55" s="64">
        <f t="shared" si="7"/>
        <v>132594367.57999998</v>
      </c>
      <c r="AF55" s="64">
        <f t="shared" si="20"/>
        <v>132054968.94999999</v>
      </c>
      <c r="AG55" s="234">
        <f>AG56+AG62+AG63+AG66+AG67+AG68+AG69+AG70+AG71</f>
        <v>132611934.50999999</v>
      </c>
      <c r="AH55" s="65">
        <f t="shared" si="23"/>
        <v>0.79661286498810147</v>
      </c>
      <c r="AI55" s="65">
        <v>0.7793192329830817</v>
      </c>
      <c r="AJ55" s="65">
        <f t="shared" si="10"/>
        <v>1.7293632005019766E-2</v>
      </c>
      <c r="AK55" s="44">
        <f t="shared" si="11"/>
        <v>0.70317023929793832</v>
      </c>
      <c r="AL55" s="62"/>
      <c r="AM55" s="67"/>
      <c r="AN55" s="67"/>
      <c r="AO55" s="67"/>
      <c r="AP55" s="62"/>
      <c r="AQ55" s="67"/>
      <c r="AR55" s="67"/>
      <c r="AS55" s="68"/>
    </row>
    <row r="56" spans="1:45" s="18" customFormat="1" ht="165">
      <c r="A56" s="94" t="s">
        <v>295</v>
      </c>
      <c r="B56" s="95" t="s">
        <v>296</v>
      </c>
      <c r="C56" s="96" t="s">
        <v>230</v>
      </c>
      <c r="D56" s="96"/>
      <c r="E56" s="96"/>
      <c r="F56" s="72">
        <f>SUM(F57:F61)</f>
        <v>96472054.197804004</v>
      </c>
      <c r="G56" s="72"/>
      <c r="H56" s="72">
        <f>SUM(H57:H61)</f>
        <v>96472054.197804004</v>
      </c>
      <c r="I56" s="72"/>
      <c r="J56" s="72">
        <f>SUM(J57:J61)</f>
        <v>96472054.197804004</v>
      </c>
      <c r="K56" s="62" t="s">
        <v>232</v>
      </c>
      <c r="L56" s="72">
        <f>SUM(L57:L61)</f>
        <v>10071088.81377</v>
      </c>
      <c r="M56" s="72">
        <f>SUM(M57:M61)</f>
        <v>9479029.6685331855</v>
      </c>
      <c r="N56" s="73">
        <f t="shared" si="0"/>
        <v>105951083.8663372</v>
      </c>
      <c r="O56" s="97">
        <f>SUM(O57:O60)</f>
        <v>74989216.65000011</v>
      </c>
      <c r="P56" s="102">
        <f>SUM(P57:P61)</f>
        <v>99452726.25999999</v>
      </c>
      <c r="Q56" s="85">
        <f t="shared" si="21"/>
        <v>1.0308967408953944</v>
      </c>
      <c r="R56" s="85">
        <v>1.0266639749053312</v>
      </c>
      <c r="S56" s="85">
        <f t="shared" si="13"/>
        <v>4.2327659900631698E-3</v>
      </c>
      <c r="T56" s="85">
        <f t="shared" si="3"/>
        <v>0.93866643578148556</v>
      </c>
      <c r="U56" s="98">
        <f>SUM(U57:U61)</f>
        <v>99452726.25999999</v>
      </c>
      <c r="V56" s="85">
        <f t="shared" si="22"/>
        <v>1.0308967408953944</v>
      </c>
      <c r="W56" s="85">
        <v>1.0266639749053312</v>
      </c>
      <c r="X56" s="85">
        <f t="shared" si="5"/>
        <v>4.2327659900631698E-3</v>
      </c>
      <c r="Y56" s="85">
        <f t="shared" si="6"/>
        <v>0.93866643578148556</v>
      </c>
      <c r="Z56" s="99">
        <f>SUM(Z57:Z60)</f>
        <v>64807020.829999998</v>
      </c>
      <c r="AA56" s="99">
        <f>SUM(AA57:AA60)</f>
        <v>0</v>
      </c>
      <c r="AB56" s="99">
        <f>SUM(AB57:AB60)</f>
        <v>168158.4</v>
      </c>
      <c r="AC56" s="99">
        <f>SUM(AC57:AC60)</f>
        <v>109489.8199999994</v>
      </c>
      <c r="AD56" s="99">
        <f>SUM(AD57:AD60)</f>
        <v>378.62</v>
      </c>
      <c r="AE56" s="100">
        <f t="shared" si="7"/>
        <v>64974800.610000007</v>
      </c>
      <c r="AF56" s="109">
        <f>SUM(AF57:AF60)</f>
        <v>64916510.649999991</v>
      </c>
      <c r="AG56" s="238">
        <f>SUM(AG57:AG60)</f>
        <v>64975179.230000004</v>
      </c>
      <c r="AH56" s="75">
        <f t="shared" si="23"/>
        <v>0.67351296466411348</v>
      </c>
      <c r="AI56" s="75">
        <v>0.6669487976080084</v>
      </c>
      <c r="AJ56" s="75">
        <f t="shared" si="10"/>
        <v>6.5641670561050747E-3</v>
      </c>
      <c r="AK56" s="80">
        <f t="shared" si="11"/>
        <v>0.61325639020332789</v>
      </c>
      <c r="AL56" s="72"/>
      <c r="AM56" s="81"/>
      <c r="AN56" s="81"/>
      <c r="AO56" s="81"/>
      <c r="AP56" s="72"/>
      <c r="AQ56" s="81"/>
      <c r="AR56" s="81"/>
      <c r="AS56" s="82"/>
    </row>
    <row r="57" spans="1:45" ht="115.5">
      <c r="A57" s="69" t="s">
        <v>33</v>
      </c>
      <c r="B57" s="70" t="s">
        <v>297</v>
      </c>
      <c r="C57" s="71" t="s">
        <v>230</v>
      </c>
      <c r="D57" s="71" t="s">
        <v>298</v>
      </c>
      <c r="E57" s="71"/>
      <c r="F57" s="72">
        <v>18120843.920952</v>
      </c>
      <c r="G57" s="72"/>
      <c r="H57" s="72">
        <v>18120843.920952</v>
      </c>
      <c r="I57" s="72"/>
      <c r="J57" s="72">
        <v>18120843.920952</v>
      </c>
      <c r="K57" s="62" t="s">
        <v>232</v>
      </c>
      <c r="L57" s="72">
        <v>2500000</v>
      </c>
      <c r="M57" s="72">
        <v>2500000</v>
      </c>
      <c r="N57" s="73">
        <f t="shared" si="0"/>
        <v>20620843.920952</v>
      </c>
      <c r="O57" s="74">
        <v>8287516.4299999997</v>
      </c>
      <c r="P57" s="108">
        <v>17438129.969999999</v>
      </c>
      <c r="Q57" s="85">
        <f t="shared" si="21"/>
        <v>0.96232438434268386</v>
      </c>
      <c r="R57" s="86">
        <v>0.9347318504529194</v>
      </c>
      <c r="S57" s="85">
        <f t="shared" si="13"/>
        <v>2.7592533889764459E-2</v>
      </c>
      <c r="T57" s="85">
        <f t="shared" si="3"/>
        <v>0.84565549484043301</v>
      </c>
      <c r="U57" s="108">
        <v>17438129.969999999</v>
      </c>
      <c r="V57" s="85">
        <f t="shared" si="22"/>
        <v>0.96232438434268386</v>
      </c>
      <c r="W57" s="86">
        <v>0.9347318504529194</v>
      </c>
      <c r="X57" s="85">
        <f t="shared" si="5"/>
        <v>2.7592533889764459E-2</v>
      </c>
      <c r="Y57" s="85">
        <f t="shared" si="6"/>
        <v>0.84565549484043301</v>
      </c>
      <c r="Z57" s="87">
        <v>7189068.3700000001</v>
      </c>
      <c r="AA57" s="91">
        <v>0</v>
      </c>
      <c r="AB57" s="89">
        <v>168158.4</v>
      </c>
      <c r="AC57" s="89">
        <v>19651.46</v>
      </c>
      <c r="AD57" s="89">
        <v>96.1</v>
      </c>
      <c r="AE57" s="77">
        <f t="shared" si="7"/>
        <v>7357130.6700000009</v>
      </c>
      <c r="AF57" s="79">
        <f>Z57+AA57+AC57</f>
        <v>7208719.8300000001</v>
      </c>
      <c r="AG57" s="237">
        <f>SUM(Z57:AB57)</f>
        <v>7357226.7700000005</v>
      </c>
      <c r="AH57" s="75">
        <f t="shared" si="23"/>
        <v>0.40600905797181436</v>
      </c>
      <c r="AI57" s="75">
        <v>0.39666169916563015</v>
      </c>
      <c r="AJ57" s="75">
        <f t="shared" si="10"/>
        <v>9.3473588061842028E-3</v>
      </c>
      <c r="AK57" s="80">
        <f t="shared" si="11"/>
        <v>0.35678592002360399</v>
      </c>
      <c r="AL57" s="72"/>
      <c r="AM57" s="81"/>
      <c r="AN57" s="81"/>
      <c r="AO57" s="81"/>
      <c r="AP57" s="72"/>
      <c r="AQ57" s="81"/>
      <c r="AR57" s="81"/>
      <c r="AS57" s="82"/>
    </row>
    <row r="58" spans="1:45" ht="66">
      <c r="A58" s="69" t="s">
        <v>299</v>
      </c>
      <c r="B58" s="70" t="s">
        <v>300</v>
      </c>
      <c r="C58" s="71" t="s">
        <v>230</v>
      </c>
      <c r="D58" s="71" t="s">
        <v>275</v>
      </c>
      <c r="E58" s="71"/>
      <c r="F58" s="72">
        <f>99432869*0.702804</f>
        <v>69881818.064676002</v>
      </c>
      <c r="G58" s="72"/>
      <c r="H58" s="72">
        <f>99432869*0.702804</f>
        <v>69881818.064676002</v>
      </c>
      <c r="I58" s="72"/>
      <c r="J58" s="72">
        <f>H58</f>
        <v>69881818.064676002</v>
      </c>
      <c r="K58" s="62" t="s">
        <v>232</v>
      </c>
      <c r="L58" s="72">
        <v>7571088.8137699999</v>
      </c>
      <c r="M58" s="72">
        <f>L58*0.9218</f>
        <v>6979029.6685331855</v>
      </c>
      <c r="N58" s="73">
        <f t="shared" si="0"/>
        <v>76860847.733209193</v>
      </c>
      <c r="O58" s="74">
        <v>60613901.980000101</v>
      </c>
      <c r="P58" s="102">
        <v>76860742.359999999</v>
      </c>
      <c r="Q58" s="85">
        <f t="shared" si="21"/>
        <v>1.0998675261834912</v>
      </c>
      <c r="R58" s="86">
        <v>1.1011791172745411</v>
      </c>
      <c r="S58" s="85">
        <f t="shared" si="13"/>
        <v>-1.3115910910499462E-3</v>
      </c>
      <c r="T58" s="85">
        <f t="shared" si="3"/>
        <v>0.99999862903920134</v>
      </c>
      <c r="U58" s="102">
        <v>76860742.359999999</v>
      </c>
      <c r="V58" s="85">
        <f t="shared" si="22"/>
        <v>1.0998675261834912</v>
      </c>
      <c r="W58" s="86">
        <v>1.1011791172745411</v>
      </c>
      <c r="X58" s="85">
        <f t="shared" si="5"/>
        <v>-1.3115910910499462E-3</v>
      </c>
      <c r="Y58" s="85">
        <f t="shared" si="6"/>
        <v>0.99999862903920134</v>
      </c>
      <c r="Z58" s="87">
        <v>52554937.339999996</v>
      </c>
      <c r="AA58" s="91">
        <v>0</v>
      </c>
      <c r="AB58" s="91">
        <v>0</v>
      </c>
      <c r="AC58" s="91">
        <v>89838.359999999404</v>
      </c>
      <c r="AD58" s="91">
        <v>36.119999999999997</v>
      </c>
      <c r="AE58" s="77">
        <f t="shared" si="7"/>
        <v>52554901.219999999</v>
      </c>
      <c r="AF58" s="79">
        <f>Z58+AA58+AC58</f>
        <v>52644775.699999996</v>
      </c>
      <c r="AG58" s="237">
        <f>SUM(Z58:AB58)</f>
        <v>52554937.339999996</v>
      </c>
      <c r="AH58" s="75">
        <f t="shared" si="23"/>
        <v>0.75205452284255281</v>
      </c>
      <c r="AI58" s="75">
        <v>0.74541650650516045</v>
      </c>
      <c r="AJ58" s="75">
        <f t="shared" si="10"/>
        <v>6.6380163373923606E-3</v>
      </c>
      <c r="AK58" s="80">
        <f t="shared" si="11"/>
        <v>0.68376733915845989</v>
      </c>
      <c r="AL58" s="72"/>
      <c r="AM58" s="81"/>
      <c r="AN58" s="81"/>
      <c r="AO58" s="81"/>
      <c r="AP58" s="72"/>
      <c r="AQ58" s="81"/>
      <c r="AR58" s="81"/>
      <c r="AS58" s="82"/>
    </row>
    <row r="59" spans="1:45" ht="181.5">
      <c r="A59" s="69" t="s">
        <v>34</v>
      </c>
      <c r="B59" s="70" t="s">
        <v>301</v>
      </c>
      <c r="C59" s="71" t="s">
        <v>230</v>
      </c>
      <c r="D59" s="71" t="s">
        <v>298</v>
      </c>
      <c r="E59" s="71"/>
      <c r="F59" s="72">
        <v>2398644.7510560001</v>
      </c>
      <c r="G59" s="72"/>
      <c r="H59" s="72">
        <v>2398644.7510560001</v>
      </c>
      <c r="I59" s="72"/>
      <c r="J59" s="72">
        <v>2398644.7510560001</v>
      </c>
      <c r="K59" s="62" t="s">
        <v>232</v>
      </c>
      <c r="L59" s="72">
        <v>0</v>
      </c>
      <c r="M59" s="72"/>
      <c r="N59" s="73">
        <f t="shared" si="0"/>
        <v>2398644.7510560001</v>
      </c>
      <c r="O59" s="74">
        <v>1992268.84</v>
      </c>
      <c r="P59" s="108">
        <v>2083354.05</v>
      </c>
      <c r="Q59" s="85">
        <f t="shared" si="21"/>
        <v>0.86855464907123336</v>
      </c>
      <c r="R59" s="86">
        <v>0.86855464907123336</v>
      </c>
      <c r="S59" s="85">
        <f t="shared" si="13"/>
        <v>0</v>
      </c>
      <c r="T59" s="85">
        <f t="shared" si="3"/>
        <v>0.86855464907123336</v>
      </c>
      <c r="U59" s="108">
        <v>2083354.05</v>
      </c>
      <c r="V59" s="85">
        <f t="shared" si="22"/>
        <v>0.86855464907123336</v>
      </c>
      <c r="W59" s="86">
        <v>0.86855464907123336</v>
      </c>
      <c r="X59" s="85">
        <f t="shared" si="5"/>
        <v>0</v>
      </c>
      <c r="Y59" s="85">
        <f t="shared" si="6"/>
        <v>0.86855464907123336</v>
      </c>
      <c r="Z59" s="90">
        <v>1992268.8399999999</v>
      </c>
      <c r="AA59" s="91">
        <v>0</v>
      </c>
      <c r="AB59" s="91">
        <v>0</v>
      </c>
      <c r="AC59" s="91">
        <v>0</v>
      </c>
      <c r="AD59" s="91">
        <v>0</v>
      </c>
      <c r="AE59" s="77">
        <f t="shared" si="7"/>
        <v>1992268.8399999999</v>
      </c>
      <c r="AF59" s="79">
        <f>Z59+AA59+AC59</f>
        <v>1992268.8399999999</v>
      </c>
      <c r="AG59" s="237">
        <f>SUM(Z59:AB59)</f>
        <v>1992268.8399999999</v>
      </c>
      <c r="AH59" s="75">
        <f t="shared" si="23"/>
        <v>0.83058103502942904</v>
      </c>
      <c r="AI59" s="75">
        <v>0.83058103502942904</v>
      </c>
      <c r="AJ59" s="75">
        <f t="shared" si="10"/>
        <v>0</v>
      </c>
      <c r="AK59" s="80">
        <f t="shared" si="11"/>
        <v>0.83058103502942904</v>
      </c>
      <c r="AL59" s="72"/>
      <c r="AM59" s="81"/>
      <c r="AN59" s="81"/>
      <c r="AO59" s="81"/>
      <c r="AP59" s="72"/>
      <c r="AQ59" s="81"/>
      <c r="AR59" s="81"/>
      <c r="AS59" s="82"/>
    </row>
    <row r="60" spans="1:45" ht="82.5">
      <c r="A60" s="69" t="s">
        <v>302</v>
      </c>
      <c r="B60" s="70" t="s">
        <v>303</v>
      </c>
      <c r="C60" s="71" t="s">
        <v>230</v>
      </c>
      <c r="D60" s="71" t="s">
        <v>275</v>
      </c>
      <c r="E60" s="71"/>
      <c r="F60" s="72">
        <v>3070747.4611200001</v>
      </c>
      <c r="G60" s="72"/>
      <c r="H60" s="72">
        <v>3070747.4611200001</v>
      </c>
      <c r="I60" s="72"/>
      <c r="J60" s="72">
        <v>3070747.4611200001</v>
      </c>
      <c r="K60" s="62" t="s">
        <v>232</v>
      </c>
      <c r="L60" s="72">
        <v>0</v>
      </c>
      <c r="M60" s="72"/>
      <c r="N60" s="73">
        <f t="shared" si="0"/>
        <v>3070747.4611200001</v>
      </c>
      <c r="O60" s="74">
        <v>4095529.4000000102</v>
      </c>
      <c r="P60" s="90">
        <v>3070499.88</v>
      </c>
      <c r="Q60" s="85">
        <f t="shared" si="21"/>
        <v>0.99991937431419065</v>
      </c>
      <c r="R60" s="86">
        <v>0.99991937431419065</v>
      </c>
      <c r="S60" s="85">
        <f t="shared" si="13"/>
        <v>0</v>
      </c>
      <c r="T60" s="85">
        <f t="shared" si="3"/>
        <v>0.99991937431419065</v>
      </c>
      <c r="U60" s="89">
        <v>3070499.88</v>
      </c>
      <c r="V60" s="85">
        <f t="shared" si="22"/>
        <v>0.99991937431419065</v>
      </c>
      <c r="W60" s="86">
        <v>0.99991937431419065</v>
      </c>
      <c r="X60" s="85">
        <f t="shared" si="5"/>
        <v>0</v>
      </c>
      <c r="Y60" s="85">
        <f t="shared" si="6"/>
        <v>0.99991937431419065</v>
      </c>
      <c r="Z60" s="90">
        <v>3070746.28</v>
      </c>
      <c r="AA60" s="91">
        <v>0</v>
      </c>
      <c r="AB60" s="91">
        <v>0</v>
      </c>
      <c r="AC60" s="91">
        <v>0</v>
      </c>
      <c r="AD60" s="91">
        <v>246.4</v>
      </c>
      <c r="AE60" s="77">
        <f t="shared" si="7"/>
        <v>3070499.88</v>
      </c>
      <c r="AF60" s="79">
        <f>Z60+AA60+AC60</f>
        <v>3070746.28</v>
      </c>
      <c r="AG60" s="237">
        <f>SUM(Z60:AB60)</f>
        <v>3070746.28</v>
      </c>
      <c r="AH60" s="75">
        <f t="shared" si="23"/>
        <v>0.99999961536400661</v>
      </c>
      <c r="AI60" s="75">
        <v>0.99999961536400661</v>
      </c>
      <c r="AJ60" s="75">
        <f t="shared" si="10"/>
        <v>0</v>
      </c>
      <c r="AK60" s="80">
        <f t="shared" si="11"/>
        <v>0.99999961536400661</v>
      </c>
      <c r="AL60" s="72"/>
      <c r="AM60" s="81"/>
      <c r="AN60" s="81"/>
      <c r="AO60" s="81"/>
      <c r="AP60" s="72"/>
      <c r="AQ60" s="81"/>
      <c r="AR60" s="81"/>
      <c r="AS60" s="82"/>
    </row>
    <row r="61" spans="1:45" ht="49.5">
      <c r="A61" s="69" t="s">
        <v>304</v>
      </c>
      <c r="B61" s="70" t="s">
        <v>305</v>
      </c>
      <c r="C61" s="71" t="s">
        <v>230</v>
      </c>
      <c r="D61" s="71" t="s">
        <v>298</v>
      </c>
      <c r="E61" s="71"/>
      <c r="F61" s="72">
        <v>3000000</v>
      </c>
      <c r="G61" s="72"/>
      <c r="H61" s="72">
        <v>3000000</v>
      </c>
      <c r="I61" s="72"/>
      <c r="J61" s="72">
        <v>3000000</v>
      </c>
      <c r="K61" s="62" t="s">
        <v>232</v>
      </c>
      <c r="L61" s="72">
        <v>0</v>
      </c>
      <c r="M61" s="72"/>
      <c r="N61" s="73">
        <f t="shared" si="0"/>
        <v>3000000</v>
      </c>
      <c r="O61" s="74">
        <v>0</v>
      </c>
      <c r="P61" s="90">
        <v>0</v>
      </c>
      <c r="Q61" s="85">
        <f t="shared" si="21"/>
        <v>0</v>
      </c>
      <c r="R61" s="86">
        <v>0</v>
      </c>
      <c r="S61" s="85">
        <v>0</v>
      </c>
      <c r="T61" s="85">
        <f t="shared" si="3"/>
        <v>0</v>
      </c>
      <c r="U61" s="89">
        <v>0</v>
      </c>
      <c r="V61" s="85">
        <f t="shared" si="22"/>
        <v>0</v>
      </c>
      <c r="W61" s="86">
        <v>0</v>
      </c>
      <c r="X61" s="85">
        <v>0</v>
      </c>
      <c r="Y61" s="85">
        <f t="shared" si="6"/>
        <v>0</v>
      </c>
      <c r="Z61" s="90">
        <v>0</v>
      </c>
      <c r="AA61" s="91">
        <v>0</v>
      </c>
      <c r="AB61" s="91">
        <v>0</v>
      </c>
      <c r="AC61" s="91">
        <v>0</v>
      </c>
      <c r="AD61" s="91"/>
      <c r="AE61" s="77"/>
      <c r="AF61" s="79">
        <v>0</v>
      </c>
      <c r="AG61" s="237">
        <v>0</v>
      </c>
      <c r="AH61" s="75">
        <v>0</v>
      </c>
      <c r="AI61" s="75">
        <v>0</v>
      </c>
      <c r="AJ61" s="75">
        <v>0</v>
      </c>
      <c r="AK61" s="80">
        <f t="shared" si="11"/>
        <v>0</v>
      </c>
      <c r="AL61" s="72"/>
      <c r="AM61" s="81"/>
      <c r="AN61" s="81"/>
      <c r="AO61" s="81"/>
      <c r="AP61" s="72"/>
      <c r="AQ61" s="81"/>
      <c r="AR61" s="81"/>
      <c r="AS61" s="82"/>
    </row>
    <row r="62" spans="1:45" ht="99">
      <c r="A62" s="69" t="s">
        <v>35</v>
      </c>
      <c r="B62" s="70" t="s">
        <v>306</v>
      </c>
      <c r="C62" s="71" t="s">
        <v>230</v>
      </c>
      <c r="D62" s="71" t="s">
        <v>298</v>
      </c>
      <c r="E62" s="71"/>
      <c r="F62" s="72">
        <v>12167953</v>
      </c>
      <c r="G62" s="72"/>
      <c r="H62" s="72">
        <v>12167953</v>
      </c>
      <c r="I62" s="72"/>
      <c r="J62" s="72">
        <v>12167953</v>
      </c>
      <c r="K62" s="62" t="s">
        <v>232</v>
      </c>
      <c r="L62" s="72">
        <v>0</v>
      </c>
      <c r="M62" s="72"/>
      <c r="N62" s="73">
        <f t="shared" si="0"/>
        <v>12167953</v>
      </c>
      <c r="O62" s="74">
        <v>14315238</v>
      </c>
      <c r="P62" s="90">
        <v>12167953</v>
      </c>
      <c r="Q62" s="85">
        <f t="shared" si="21"/>
        <v>1</v>
      </c>
      <c r="R62" s="86">
        <v>1</v>
      </c>
      <c r="S62" s="85">
        <f t="shared" ref="S62:S125" si="24">Q62-R62</f>
        <v>0</v>
      </c>
      <c r="T62" s="85">
        <f t="shared" si="3"/>
        <v>1</v>
      </c>
      <c r="U62" s="89">
        <v>12167953</v>
      </c>
      <c r="V62" s="85">
        <f t="shared" si="22"/>
        <v>1</v>
      </c>
      <c r="W62" s="86">
        <v>1</v>
      </c>
      <c r="X62" s="85">
        <f t="shared" ref="X62:X125" si="25">V62-W62</f>
        <v>0</v>
      </c>
      <c r="Y62" s="85">
        <f t="shared" si="6"/>
        <v>1</v>
      </c>
      <c r="Z62" s="90">
        <v>12167953</v>
      </c>
      <c r="AA62" s="91">
        <v>0</v>
      </c>
      <c r="AB62" s="91">
        <v>0</v>
      </c>
      <c r="AC62" s="91">
        <v>0</v>
      </c>
      <c r="AD62" s="91">
        <v>0</v>
      </c>
      <c r="AE62" s="77">
        <f t="shared" ref="AE62:AE122" si="26">AG62-AD62</f>
        <v>12167953</v>
      </c>
      <c r="AF62" s="79">
        <f t="shared" ref="AF62:AF122" si="27">Z62+AA62+AC62</f>
        <v>12167953</v>
      </c>
      <c r="AG62" s="237">
        <f>SUM(Z62:AB62)</f>
        <v>12167953</v>
      </c>
      <c r="AH62" s="75">
        <f t="shared" ref="AH62:AH67" si="28">AG62/J62</f>
        <v>1</v>
      </c>
      <c r="AI62" s="75">
        <v>1</v>
      </c>
      <c r="AJ62" s="75">
        <f t="shared" ref="AJ62:AJ125" si="29">AH62-AI62</f>
        <v>0</v>
      </c>
      <c r="AK62" s="80">
        <f t="shared" si="11"/>
        <v>1</v>
      </c>
      <c r="AL62" s="72"/>
      <c r="AM62" s="81"/>
      <c r="AN62" s="81"/>
      <c r="AO62" s="81"/>
      <c r="AP62" s="72"/>
      <c r="AQ62" s="81"/>
      <c r="AR62" s="81"/>
      <c r="AS62" s="82"/>
    </row>
    <row r="63" spans="1:45" s="18" customFormat="1" ht="148.5">
      <c r="A63" s="94" t="s">
        <v>307</v>
      </c>
      <c r="B63" s="95" t="s">
        <v>308</v>
      </c>
      <c r="C63" s="96" t="s">
        <v>230</v>
      </c>
      <c r="D63" s="96" t="s">
        <v>275</v>
      </c>
      <c r="E63" s="96"/>
      <c r="F63" s="72">
        <f>SUM(F64:F65)</f>
        <v>6205088.8449839996</v>
      </c>
      <c r="G63" s="72"/>
      <c r="H63" s="72">
        <f>SUM(H64:H65)</f>
        <v>6205088.8449839996</v>
      </c>
      <c r="I63" s="72"/>
      <c r="J63" s="72">
        <f>SUM(J64:J65)</f>
        <v>6205088.8449839996</v>
      </c>
      <c r="K63" s="62" t="s">
        <v>232</v>
      </c>
      <c r="L63" s="72">
        <f>SUM(L64:L65)</f>
        <v>0</v>
      </c>
      <c r="M63" s="72">
        <f>SUM(M64:M65)</f>
        <v>0</v>
      </c>
      <c r="N63" s="73">
        <f t="shared" si="0"/>
        <v>6205088.8449839996</v>
      </c>
      <c r="O63" s="97">
        <f>SUM(O64:O65)</f>
        <v>6827845.0899999999</v>
      </c>
      <c r="P63" s="98">
        <f>SUM(P64:P65)</f>
        <v>6200215.9699999997</v>
      </c>
      <c r="Q63" s="85">
        <f t="shared" si="21"/>
        <v>0.99921469698408283</v>
      </c>
      <c r="R63" s="85">
        <v>0.99921469698408283</v>
      </c>
      <c r="S63" s="85">
        <f t="shared" si="24"/>
        <v>0</v>
      </c>
      <c r="T63" s="85">
        <f t="shared" si="3"/>
        <v>0.99921469698408283</v>
      </c>
      <c r="U63" s="99">
        <f>SUM(U64:U65)</f>
        <v>6200215.9699999997</v>
      </c>
      <c r="V63" s="85">
        <f t="shared" si="22"/>
        <v>0.99921469698408283</v>
      </c>
      <c r="W63" s="85">
        <v>0.99921469698408283</v>
      </c>
      <c r="X63" s="85">
        <f t="shared" si="25"/>
        <v>0</v>
      </c>
      <c r="Y63" s="85">
        <f t="shared" si="6"/>
        <v>0.99921469698408283</v>
      </c>
      <c r="Z63" s="99">
        <f>SUM(Z64:Z65)</f>
        <v>4548356.2</v>
      </c>
      <c r="AA63" s="99">
        <f>SUM(AA64:AA65)</f>
        <v>0</v>
      </c>
      <c r="AB63" s="99">
        <f>SUM(AB64:AB65)</f>
        <v>1181457.33</v>
      </c>
      <c r="AC63" s="99">
        <f>SUM(AC64:AC65)</f>
        <v>683160.35000000405</v>
      </c>
      <c r="AD63" s="99">
        <f>SUM(AD64:AD65)</f>
        <v>16761.810000000001</v>
      </c>
      <c r="AE63" s="100">
        <f t="shared" si="26"/>
        <v>5713051.7200000007</v>
      </c>
      <c r="AF63" s="101">
        <f t="shared" si="27"/>
        <v>5231516.5500000045</v>
      </c>
      <c r="AG63" s="238">
        <f>SUM(AG64:AG65)</f>
        <v>5729813.5300000003</v>
      </c>
      <c r="AH63" s="75">
        <f t="shared" si="28"/>
        <v>0.92340555842835403</v>
      </c>
      <c r="AI63" s="75">
        <v>0.92340555842835403</v>
      </c>
      <c r="AJ63" s="75">
        <f t="shared" si="29"/>
        <v>0</v>
      </c>
      <c r="AK63" s="80">
        <f t="shared" si="11"/>
        <v>0.92340555842835403</v>
      </c>
      <c r="AL63" s="72"/>
      <c r="AM63" s="81"/>
      <c r="AN63" s="81"/>
      <c r="AO63" s="81"/>
      <c r="AP63" s="72"/>
      <c r="AQ63" s="81"/>
      <c r="AR63" s="81"/>
      <c r="AS63" s="82"/>
    </row>
    <row r="64" spans="1:45" ht="132">
      <c r="A64" s="69" t="s">
        <v>309</v>
      </c>
      <c r="B64" s="70" t="s">
        <v>310</v>
      </c>
      <c r="C64" s="71" t="s">
        <v>230</v>
      </c>
      <c r="D64" s="71" t="s">
        <v>275</v>
      </c>
      <c r="E64" s="71"/>
      <c r="F64" s="72">
        <v>519738.31688400003</v>
      </c>
      <c r="G64" s="72"/>
      <c r="H64" s="72">
        <v>519738.31688400003</v>
      </c>
      <c r="I64" s="72"/>
      <c r="J64" s="72">
        <v>519738.31688399997</v>
      </c>
      <c r="K64" s="62" t="s">
        <v>232</v>
      </c>
      <c r="L64" s="72">
        <v>0</v>
      </c>
      <c r="M64" s="72"/>
      <c r="N64" s="73">
        <f t="shared" si="0"/>
        <v>519738.31688399997</v>
      </c>
      <c r="O64" s="74">
        <v>718063</v>
      </c>
      <c r="P64" s="90">
        <v>519737.8</v>
      </c>
      <c r="Q64" s="85">
        <f t="shared" si="21"/>
        <v>0.99999900549183462</v>
      </c>
      <c r="R64" s="86">
        <v>0.99999900549183462</v>
      </c>
      <c r="S64" s="85">
        <f t="shared" si="24"/>
        <v>0</v>
      </c>
      <c r="T64" s="85">
        <f t="shared" si="3"/>
        <v>0.99999900549183462</v>
      </c>
      <c r="U64" s="89">
        <v>519737.8</v>
      </c>
      <c r="V64" s="85">
        <f t="shared" si="22"/>
        <v>0.99999900549183462</v>
      </c>
      <c r="W64" s="86">
        <v>0.99999900549183462</v>
      </c>
      <c r="X64" s="85">
        <f t="shared" si="25"/>
        <v>0</v>
      </c>
      <c r="Y64" s="85">
        <f t="shared" si="6"/>
        <v>0.99999900549183462</v>
      </c>
      <c r="Z64" s="89">
        <v>536499.61</v>
      </c>
      <c r="AA64" s="89">
        <v>0</v>
      </c>
      <c r="AB64" s="89">
        <v>0</v>
      </c>
      <c r="AC64" s="89">
        <v>0</v>
      </c>
      <c r="AD64" s="89">
        <v>16761.810000000001</v>
      </c>
      <c r="AE64" s="77">
        <f t="shared" si="26"/>
        <v>519737.8</v>
      </c>
      <c r="AF64" s="79">
        <f t="shared" si="27"/>
        <v>536499.61</v>
      </c>
      <c r="AG64" s="237">
        <f t="shared" ref="AG64:AG71" si="30">SUM(Z64:AB64)</f>
        <v>536499.61</v>
      </c>
      <c r="AH64" s="75">
        <f t="shared" si="28"/>
        <v>1.0322494851187602</v>
      </c>
      <c r="AI64" s="75">
        <v>1.0322494851187602</v>
      </c>
      <c r="AJ64" s="75">
        <f t="shared" si="29"/>
        <v>0</v>
      </c>
      <c r="AK64" s="80">
        <f>AG64/N64</f>
        <v>1.0322494851187602</v>
      </c>
      <c r="AL64" s="72"/>
      <c r="AM64" s="81"/>
      <c r="AN64" s="81"/>
      <c r="AO64" s="81"/>
      <c r="AP64" s="72"/>
      <c r="AQ64" s="81"/>
      <c r="AR64" s="81"/>
      <c r="AS64" s="82"/>
    </row>
    <row r="65" spans="1:45" ht="148.5">
      <c r="A65" s="69" t="s">
        <v>23</v>
      </c>
      <c r="B65" s="70" t="s">
        <v>311</v>
      </c>
      <c r="C65" s="71" t="s">
        <v>230</v>
      </c>
      <c r="D65" s="71" t="s">
        <v>275</v>
      </c>
      <c r="E65" s="71"/>
      <c r="F65" s="72">
        <f>8089525*0.702804</f>
        <v>5685350.5280999998</v>
      </c>
      <c r="G65" s="72"/>
      <c r="H65" s="72">
        <f>8089525*0.702804</f>
        <v>5685350.5280999998</v>
      </c>
      <c r="I65" s="72"/>
      <c r="J65" s="72">
        <f>H65</f>
        <v>5685350.5280999998</v>
      </c>
      <c r="K65" s="62" t="s">
        <v>232</v>
      </c>
      <c r="L65" s="72">
        <v>0</v>
      </c>
      <c r="M65" s="72"/>
      <c r="N65" s="73">
        <f t="shared" si="0"/>
        <v>5685350.5280999998</v>
      </c>
      <c r="O65" s="74">
        <v>6109782.0899999999</v>
      </c>
      <c r="P65" s="90">
        <v>5680478.1699999999</v>
      </c>
      <c r="Q65" s="85">
        <f t="shared" si="21"/>
        <v>0.99914299776664284</v>
      </c>
      <c r="R65" s="86">
        <v>0.99914299776664284</v>
      </c>
      <c r="S65" s="85">
        <f t="shared" si="24"/>
        <v>0</v>
      </c>
      <c r="T65" s="85">
        <f t="shared" si="3"/>
        <v>0.99914299776664284</v>
      </c>
      <c r="U65" s="89">
        <v>5680478.1699999999</v>
      </c>
      <c r="V65" s="85">
        <f t="shared" si="22"/>
        <v>0.99914299776664284</v>
      </c>
      <c r="W65" s="86">
        <v>0.99914299776664284</v>
      </c>
      <c r="X65" s="85">
        <f t="shared" si="25"/>
        <v>0</v>
      </c>
      <c r="Y65" s="85">
        <f t="shared" si="6"/>
        <v>0.99914299776664284</v>
      </c>
      <c r="Z65" s="89">
        <v>4011856.59</v>
      </c>
      <c r="AA65" s="89">
        <v>0</v>
      </c>
      <c r="AB65" s="89">
        <v>1181457.33</v>
      </c>
      <c r="AC65" s="87">
        <v>683160.35000000405</v>
      </c>
      <c r="AD65" s="89">
        <v>0</v>
      </c>
      <c r="AE65" s="77">
        <f t="shared" si="26"/>
        <v>5193313.92</v>
      </c>
      <c r="AF65" s="79">
        <f t="shared" si="27"/>
        <v>4695016.9400000041</v>
      </c>
      <c r="AG65" s="237">
        <f t="shared" si="30"/>
        <v>5193313.92</v>
      </c>
      <c r="AH65" s="75">
        <f t="shared" si="28"/>
        <v>0.91345536116584269</v>
      </c>
      <c r="AI65" s="75">
        <v>0.91345536116584269</v>
      </c>
      <c r="AJ65" s="75">
        <f t="shared" si="29"/>
        <v>0</v>
      </c>
      <c r="AK65" s="80">
        <f t="shared" si="11"/>
        <v>0.91345536116584269</v>
      </c>
      <c r="AL65" s="72"/>
      <c r="AM65" s="81"/>
      <c r="AN65" s="81"/>
      <c r="AO65" s="81"/>
      <c r="AP65" s="72"/>
      <c r="AQ65" s="81"/>
      <c r="AR65" s="81"/>
      <c r="AS65" s="82"/>
    </row>
    <row r="66" spans="1:45" ht="82.5">
      <c r="A66" s="69" t="s">
        <v>24</v>
      </c>
      <c r="B66" s="70" t="s">
        <v>312</v>
      </c>
      <c r="C66" s="71" t="s">
        <v>230</v>
      </c>
      <c r="D66" s="71" t="s">
        <v>275</v>
      </c>
      <c r="E66" s="71"/>
      <c r="F66" s="72">
        <v>1970593.5412079999</v>
      </c>
      <c r="G66" s="72"/>
      <c r="H66" s="72">
        <v>1970593.5412079999</v>
      </c>
      <c r="I66" s="72"/>
      <c r="J66" s="72">
        <v>1970593.5412079999</v>
      </c>
      <c r="K66" s="62" t="s">
        <v>232</v>
      </c>
      <c r="L66" s="72">
        <v>0</v>
      </c>
      <c r="M66" s="72"/>
      <c r="N66" s="73">
        <f t="shared" si="0"/>
        <v>1970593.5412079999</v>
      </c>
      <c r="O66" s="74">
        <v>2168172</v>
      </c>
      <c r="P66" s="90">
        <v>1966107.67</v>
      </c>
      <c r="Q66" s="85">
        <f t="shared" si="21"/>
        <v>0.99772359387453891</v>
      </c>
      <c r="R66" s="86">
        <v>0.99772359387453891</v>
      </c>
      <c r="S66" s="85">
        <f t="shared" si="24"/>
        <v>0</v>
      </c>
      <c r="T66" s="85">
        <f t="shared" si="3"/>
        <v>0.99772359387453891</v>
      </c>
      <c r="U66" s="89">
        <v>1966107.67</v>
      </c>
      <c r="V66" s="85">
        <f t="shared" si="22"/>
        <v>0.99772359387453891</v>
      </c>
      <c r="W66" s="86">
        <v>0.99772359387453891</v>
      </c>
      <c r="X66" s="85">
        <f t="shared" si="25"/>
        <v>0</v>
      </c>
      <c r="Y66" s="85">
        <f t="shared" si="6"/>
        <v>0.99772359387453891</v>
      </c>
      <c r="Z66" s="89">
        <v>1420448.56</v>
      </c>
      <c r="AA66" s="89">
        <v>0</v>
      </c>
      <c r="AB66" s="89">
        <v>0</v>
      </c>
      <c r="AC66" s="89">
        <v>0</v>
      </c>
      <c r="AD66" s="89">
        <v>0</v>
      </c>
      <c r="AE66" s="77">
        <f t="shared" si="26"/>
        <v>1420448.56</v>
      </c>
      <c r="AF66" s="79">
        <f t="shared" si="27"/>
        <v>1420448.56</v>
      </c>
      <c r="AG66" s="237">
        <f t="shared" si="30"/>
        <v>1420448.56</v>
      </c>
      <c r="AH66" s="75">
        <f t="shared" si="28"/>
        <v>0.72082270153450634</v>
      </c>
      <c r="AI66" s="75">
        <v>0.69988252329018696</v>
      </c>
      <c r="AJ66" s="75">
        <f t="shared" si="29"/>
        <v>2.0940178244319374E-2</v>
      </c>
      <c r="AK66" s="80">
        <f t="shared" si="11"/>
        <v>0.72082270153450634</v>
      </c>
      <c r="AL66" s="72"/>
      <c r="AM66" s="81"/>
      <c r="AN66" s="81"/>
      <c r="AO66" s="81"/>
      <c r="AP66" s="72"/>
      <c r="AQ66" s="81"/>
      <c r="AR66" s="81"/>
      <c r="AS66" s="82"/>
    </row>
    <row r="67" spans="1:45" ht="99">
      <c r="A67" s="69" t="s">
        <v>313</v>
      </c>
      <c r="B67" s="70" t="s">
        <v>314</v>
      </c>
      <c r="C67" s="71" t="s">
        <v>230</v>
      </c>
      <c r="D67" s="71" t="s">
        <v>275</v>
      </c>
      <c r="E67" s="71"/>
      <c r="F67" s="72">
        <v>48697755.119052</v>
      </c>
      <c r="G67" s="72"/>
      <c r="H67" s="72">
        <v>48697755.119052</v>
      </c>
      <c r="I67" s="72"/>
      <c r="J67" s="72">
        <v>48697755.119052</v>
      </c>
      <c r="K67" s="62" t="s">
        <v>232</v>
      </c>
      <c r="L67" s="72">
        <v>15707779</v>
      </c>
      <c r="M67" s="83">
        <v>12642739</v>
      </c>
      <c r="N67" s="73">
        <f t="shared" si="0"/>
        <v>61340494.119052</v>
      </c>
      <c r="O67" s="74">
        <v>64382079.689999998</v>
      </c>
      <c r="P67" s="102">
        <v>62457818.840000004</v>
      </c>
      <c r="Q67" s="85">
        <f t="shared" si="21"/>
        <v>1.282560534614144</v>
      </c>
      <c r="R67" s="86">
        <v>1.2826139912877348</v>
      </c>
      <c r="S67" s="85">
        <f t="shared" si="24"/>
        <v>-5.3456673590801529E-5</v>
      </c>
      <c r="T67" s="85">
        <f t="shared" si="3"/>
        <v>1.0182151242339108</v>
      </c>
      <c r="U67" s="102">
        <v>62457818.840000004</v>
      </c>
      <c r="V67" s="85">
        <f t="shared" si="22"/>
        <v>1.282560534614144</v>
      </c>
      <c r="W67" s="86">
        <v>1.2826139912877348</v>
      </c>
      <c r="X67" s="85">
        <f t="shared" si="25"/>
        <v>-5.3456673590801529E-5</v>
      </c>
      <c r="Y67" s="85">
        <f t="shared" si="6"/>
        <v>1.0182151242339108</v>
      </c>
      <c r="Z67" s="87">
        <v>47897455.269999996</v>
      </c>
      <c r="AA67" s="89">
        <v>0</v>
      </c>
      <c r="AB67" s="89">
        <v>0</v>
      </c>
      <c r="AC67" s="89">
        <v>0</v>
      </c>
      <c r="AD67" s="89">
        <v>426.5</v>
      </c>
      <c r="AE67" s="77">
        <f t="shared" si="26"/>
        <v>47897028.769999996</v>
      </c>
      <c r="AF67" s="79">
        <f t="shared" si="27"/>
        <v>47897455.269999996</v>
      </c>
      <c r="AG67" s="237">
        <f t="shared" si="30"/>
        <v>47897455.269999996</v>
      </c>
      <c r="AH67" s="75">
        <f t="shared" si="28"/>
        <v>0.98356598066798973</v>
      </c>
      <c r="AI67" s="75">
        <v>0.93834906369477744</v>
      </c>
      <c r="AJ67" s="75">
        <f t="shared" si="29"/>
        <v>4.5216916973212284E-2</v>
      </c>
      <c r="AK67" s="80">
        <f t="shared" si="11"/>
        <v>0.78084560546641124</v>
      </c>
      <c r="AL67" s="72"/>
      <c r="AM67" s="81"/>
      <c r="AN67" s="81"/>
      <c r="AO67" s="81"/>
      <c r="AP67" s="72"/>
      <c r="AQ67" s="81"/>
      <c r="AR67" s="81"/>
      <c r="AS67" s="82"/>
    </row>
    <row r="68" spans="1:45" ht="82.5">
      <c r="A68" s="69" t="s">
        <v>25</v>
      </c>
      <c r="B68" s="70" t="s">
        <v>315</v>
      </c>
      <c r="C68" s="71" t="s">
        <v>230</v>
      </c>
      <c r="D68" s="71" t="s">
        <v>275</v>
      </c>
      <c r="E68" s="71"/>
      <c r="F68" s="72">
        <v>0</v>
      </c>
      <c r="G68" s="72"/>
      <c r="H68" s="72">
        <v>0</v>
      </c>
      <c r="I68" s="72"/>
      <c r="J68" s="72">
        <v>0</v>
      </c>
      <c r="K68" s="62" t="s">
        <v>232</v>
      </c>
      <c r="L68" s="72">
        <v>0</v>
      </c>
      <c r="M68" s="72"/>
      <c r="N68" s="73">
        <f t="shared" si="0"/>
        <v>0</v>
      </c>
      <c r="O68" s="74">
        <v>0</v>
      </c>
      <c r="P68" s="90">
        <v>0</v>
      </c>
      <c r="Q68" s="85">
        <v>0</v>
      </c>
      <c r="R68" s="86">
        <v>0</v>
      </c>
      <c r="S68" s="85">
        <f t="shared" si="24"/>
        <v>0</v>
      </c>
      <c r="T68" s="85" t="e">
        <f t="shared" si="3"/>
        <v>#DIV/0!</v>
      </c>
      <c r="U68" s="89">
        <v>0</v>
      </c>
      <c r="V68" s="85">
        <v>0</v>
      </c>
      <c r="W68" s="86">
        <v>0</v>
      </c>
      <c r="X68" s="85">
        <f t="shared" si="25"/>
        <v>0</v>
      </c>
      <c r="Y68" s="85" t="e">
        <f t="shared" si="6"/>
        <v>#DIV/0!</v>
      </c>
      <c r="Z68" s="89">
        <v>0</v>
      </c>
      <c r="AA68" s="89">
        <v>0</v>
      </c>
      <c r="AB68" s="89">
        <v>0</v>
      </c>
      <c r="AC68" s="89">
        <v>0</v>
      </c>
      <c r="AD68" s="89">
        <v>0</v>
      </c>
      <c r="AE68" s="77">
        <f t="shared" si="26"/>
        <v>0</v>
      </c>
      <c r="AF68" s="79">
        <f t="shared" si="27"/>
        <v>0</v>
      </c>
      <c r="AG68" s="237">
        <f t="shared" si="30"/>
        <v>0</v>
      </c>
      <c r="AH68" s="75">
        <v>0</v>
      </c>
      <c r="AI68" s="75">
        <v>0</v>
      </c>
      <c r="AJ68" s="75">
        <f t="shared" si="29"/>
        <v>0</v>
      </c>
      <c r="AK68" s="80" t="e">
        <f t="shared" si="11"/>
        <v>#DIV/0!</v>
      </c>
      <c r="AL68" s="72"/>
      <c r="AM68" s="81"/>
      <c r="AN68" s="81"/>
      <c r="AO68" s="81"/>
      <c r="AP68" s="72"/>
      <c r="AQ68" s="81"/>
      <c r="AR68" s="81"/>
      <c r="AS68" s="82"/>
    </row>
    <row r="69" spans="1:45" ht="132">
      <c r="A69" s="69" t="s">
        <v>26</v>
      </c>
      <c r="B69" s="70" t="s">
        <v>316</v>
      </c>
      <c r="C69" s="71" t="s">
        <v>230</v>
      </c>
      <c r="D69" s="71" t="s">
        <v>275</v>
      </c>
      <c r="E69" s="71"/>
      <c r="F69" s="72">
        <v>850000</v>
      </c>
      <c r="G69" s="72"/>
      <c r="H69" s="72">
        <v>850000</v>
      </c>
      <c r="I69" s="72"/>
      <c r="J69" s="72">
        <v>850000</v>
      </c>
      <c r="K69" s="62" t="s">
        <v>232</v>
      </c>
      <c r="L69" s="72">
        <v>0</v>
      </c>
      <c r="M69" s="72"/>
      <c r="N69" s="73">
        <f t="shared" si="0"/>
        <v>850000</v>
      </c>
      <c r="O69" s="74">
        <v>609761.06000000006</v>
      </c>
      <c r="P69" s="90">
        <v>849999.97</v>
      </c>
      <c r="Q69" s="85">
        <f>P69/J69</f>
        <v>0.99999996470588237</v>
      </c>
      <c r="R69" s="86">
        <v>0.99999996470588237</v>
      </c>
      <c r="S69" s="85">
        <f t="shared" si="24"/>
        <v>0</v>
      </c>
      <c r="T69" s="85">
        <f t="shared" si="3"/>
        <v>0.99999996470588237</v>
      </c>
      <c r="U69" s="89">
        <v>849999.97</v>
      </c>
      <c r="V69" s="85">
        <f>U69/J69</f>
        <v>0.99999996470588237</v>
      </c>
      <c r="W69" s="86">
        <v>0.99999996470588237</v>
      </c>
      <c r="X69" s="85">
        <f t="shared" si="25"/>
        <v>0</v>
      </c>
      <c r="Y69" s="85">
        <f t="shared" si="6"/>
        <v>0.99999996470588237</v>
      </c>
      <c r="Z69" s="87">
        <v>320132.71000000002</v>
      </c>
      <c r="AA69" s="89">
        <v>0</v>
      </c>
      <c r="AB69" s="89">
        <v>0</v>
      </c>
      <c r="AC69" s="89">
        <v>0</v>
      </c>
      <c r="AD69" s="89">
        <v>0</v>
      </c>
      <c r="AE69" s="77">
        <f t="shared" si="26"/>
        <v>320132.71000000002</v>
      </c>
      <c r="AF69" s="79">
        <f t="shared" si="27"/>
        <v>320132.71000000002</v>
      </c>
      <c r="AG69" s="237">
        <f t="shared" si="30"/>
        <v>320132.71000000002</v>
      </c>
      <c r="AH69" s="75">
        <f>AG69/J69</f>
        <v>0.37662671764705885</v>
      </c>
      <c r="AI69" s="75">
        <v>0.37382581176470586</v>
      </c>
      <c r="AJ69" s="75">
        <f t="shared" si="29"/>
        <v>2.8009058823529887E-3</v>
      </c>
      <c r="AK69" s="80">
        <f t="shared" si="11"/>
        <v>0.37662671764705885</v>
      </c>
      <c r="AL69" s="72"/>
      <c r="AM69" s="81"/>
      <c r="AN69" s="81"/>
      <c r="AO69" s="81"/>
      <c r="AP69" s="72"/>
      <c r="AQ69" s="81"/>
      <c r="AR69" s="81"/>
      <c r="AS69" s="82"/>
    </row>
    <row r="70" spans="1:45" ht="181.5">
      <c r="A70" s="69" t="s">
        <v>27</v>
      </c>
      <c r="B70" s="70" t="s">
        <v>317</v>
      </c>
      <c r="C70" s="71" t="s">
        <v>230</v>
      </c>
      <c r="D70" s="71" t="s">
        <v>275</v>
      </c>
      <c r="E70" s="71"/>
      <c r="F70" s="72">
        <v>0</v>
      </c>
      <c r="G70" s="72"/>
      <c r="H70" s="72">
        <v>0</v>
      </c>
      <c r="I70" s="72"/>
      <c r="J70" s="72">
        <v>0</v>
      </c>
      <c r="K70" s="62" t="s">
        <v>232</v>
      </c>
      <c r="L70" s="72">
        <v>0</v>
      </c>
      <c r="M70" s="72"/>
      <c r="N70" s="73">
        <f t="shared" si="0"/>
        <v>0</v>
      </c>
      <c r="O70" s="74">
        <v>0</v>
      </c>
      <c r="P70" s="90">
        <v>0</v>
      </c>
      <c r="Q70" s="85">
        <v>0</v>
      </c>
      <c r="R70" s="86">
        <v>0</v>
      </c>
      <c r="S70" s="85">
        <f t="shared" si="24"/>
        <v>0</v>
      </c>
      <c r="T70" s="85" t="e">
        <f t="shared" si="3"/>
        <v>#DIV/0!</v>
      </c>
      <c r="U70" s="89">
        <v>0</v>
      </c>
      <c r="V70" s="85">
        <v>0</v>
      </c>
      <c r="W70" s="86">
        <v>0</v>
      </c>
      <c r="X70" s="85">
        <f t="shared" si="25"/>
        <v>0</v>
      </c>
      <c r="Y70" s="85" t="e">
        <f t="shared" si="6"/>
        <v>#DIV/0!</v>
      </c>
      <c r="Z70" s="89">
        <v>0</v>
      </c>
      <c r="AA70" s="89">
        <v>0</v>
      </c>
      <c r="AB70" s="89">
        <v>0</v>
      </c>
      <c r="AC70" s="89">
        <v>0</v>
      </c>
      <c r="AD70" s="89">
        <v>0</v>
      </c>
      <c r="AE70" s="77">
        <f t="shared" si="26"/>
        <v>0</v>
      </c>
      <c r="AF70" s="79">
        <f t="shared" si="27"/>
        <v>0</v>
      </c>
      <c r="AG70" s="237">
        <f t="shared" si="30"/>
        <v>0</v>
      </c>
      <c r="AH70" s="75">
        <v>0</v>
      </c>
      <c r="AI70" s="75">
        <v>0</v>
      </c>
      <c r="AJ70" s="75">
        <f t="shared" si="29"/>
        <v>0</v>
      </c>
      <c r="AK70" s="80" t="e">
        <f t="shared" si="11"/>
        <v>#DIV/0!</v>
      </c>
      <c r="AL70" s="72"/>
      <c r="AM70" s="81"/>
      <c r="AN70" s="81"/>
      <c r="AO70" s="81"/>
      <c r="AP70" s="72"/>
      <c r="AQ70" s="81"/>
      <c r="AR70" s="81"/>
      <c r="AS70" s="82"/>
    </row>
    <row r="71" spans="1:45" ht="66">
      <c r="A71" s="69" t="s">
        <v>36</v>
      </c>
      <c r="B71" s="70" t="s">
        <v>318</v>
      </c>
      <c r="C71" s="71" t="s">
        <v>230</v>
      </c>
      <c r="D71" s="71" t="s">
        <v>298</v>
      </c>
      <c r="E71" s="71"/>
      <c r="F71" s="72">
        <v>106292.77976400001</v>
      </c>
      <c r="G71" s="72"/>
      <c r="H71" s="72">
        <v>106292.77976400001</v>
      </c>
      <c r="I71" s="72"/>
      <c r="J71" s="72">
        <v>106292.77976399999</v>
      </c>
      <c r="K71" s="62" t="s">
        <v>232</v>
      </c>
      <c r="L71" s="72">
        <v>0</v>
      </c>
      <c r="M71" s="72"/>
      <c r="N71" s="73">
        <f t="shared" si="0"/>
        <v>106292.77976399999</v>
      </c>
      <c r="O71" s="74">
        <v>100952.21</v>
      </c>
      <c r="P71" s="90">
        <v>100952.21</v>
      </c>
      <c r="Q71" s="85">
        <f>P71/J71</f>
        <v>0.9497560438643381</v>
      </c>
      <c r="R71" s="86">
        <v>0.9497560438643381</v>
      </c>
      <c r="S71" s="85">
        <f t="shared" si="24"/>
        <v>0</v>
      </c>
      <c r="T71" s="85">
        <f t="shared" si="3"/>
        <v>0.9497560438643381</v>
      </c>
      <c r="U71" s="89">
        <v>100952.21</v>
      </c>
      <c r="V71" s="85">
        <f>U71/J71</f>
        <v>0.9497560438643381</v>
      </c>
      <c r="W71" s="86">
        <v>0.9497560438643381</v>
      </c>
      <c r="X71" s="85">
        <f t="shared" si="25"/>
        <v>0</v>
      </c>
      <c r="Y71" s="85">
        <f t="shared" si="6"/>
        <v>0.9497560438643381</v>
      </c>
      <c r="Z71" s="89">
        <v>100952.20999999999</v>
      </c>
      <c r="AA71" s="89">
        <v>0</v>
      </c>
      <c r="AB71" s="89">
        <v>0</v>
      </c>
      <c r="AC71" s="89">
        <v>0</v>
      </c>
      <c r="AD71" s="89">
        <v>0</v>
      </c>
      <c r="AE71" s="77">
        <f t="shared" si="26"/>
        <v>100952.20999999999</v>
      </c>
      <c r="AF71" s="79">
        <f t="shared" si="27"/>
        <v>100952.20999999999</v>
      </c>
      <c r="AG71" s="237">
        <f t="shared" si="30"/>
        <v>100952.20999999999</v>
      </c>
      <c r="AH71" s="75">
        <f>AG71/J71</f>
        <v>0.94975604386433798</v>
      </c>
      <c r="AI71" s="75">
        <v>0.94975604386433798</v>
      </c>
      <c r="AJ71" s="75">
        <f t="shared" si="29"/>
        <v>0</v>
      </c>
      <c r="AK71" s="80">
        <f t="shared" si="11"/>
        <v>0.94975604386433798</v>
      </c>
      <c r="AL71" s="72"/>
      <c r="AM71" s="81"/>
      <c r="AN71" s="81"/>
      <c r="AO71" s="81"/>
      <c r="AP71" s="72"/>
      <c r="AQ71" s="81"/>
      <c r="AR71" s="81"/>
      <c r="AS71" s="82"/>
    </row>
    <row r="72" spans="1:45" s="18" customFormat="1" ht="33">
      <c r="A72" s="59" t="s">
        <v>319</v>
      </c>
      <c r="B72" s="60" t="s">
        <v>320</v>
      </c>
      <c r="C72" s="61" t="s">
        <v>230</v>
      </c>
      <c r="D72" s="61" t="s">
        <v>321</v>
      </c>
      <c r="E72" s="61"/>
      <c r="F72" s="62">
        <f>SUM(F73:F75)</f>
        <v>8720346</v>
      </c>
      <c r="G72" s="62"/>
      <c r="H72" s="62">
        <f>SUM(H73:H75)</f>
        <v>8720346</v>
      </c>
      <c r="I72" s="62"/>
      <c r="J72" s="62">
        <f>SUM(J73:J75)</f>
        <v>8720346</v>
      </c>
      <c r="K72" s="62" t="s">
        <v>232</v>
      </c>
      <c r="L72" s="62">
        <f>SUM(L73:L75)</f>
        <v>1200000</v>
      </c>
      <c r="M72" s="62">
        <f>SUM(M73:M75)</f>
        <v>1036200</v>
      </c>
      <c r="N72" s="41">
        <f t="shared" si="0"/>
        <v>9756546</v>
      </c>
      <c r="O72" s="63">
        <f>SUM(O73:O75)</f>
        <v>8897791.9100000001</v>
      </c>
      <c r="P72" s="92">
        <f>SUM(P73:P75)</f>
        <v>9743163.1500000004</v>
      </c>
      <c r="Q72" s="93">
        <f>P72/J72</f>
        <v>1.1172908907513532</v>
      </c>
      <c r="R72" s="93">
        <v>0.99941428585517122</v>
      </c>
      <c r="S72" s="93">
        <f t="shared" si="24"/>
        <v>0.11787660489618201</v>
      </c>
      <c r="T72" s="93">
        <f t="shared" si="3"/>
        <v>0.99862832092422871</v>
      </c>
      <c r="U72" s="92">
        <f>SUM(U73:U75)</f>
        <v>9743163.1500000004</v>
      </c>
      <c r="V72" s="93">
        <f>U72/J72</f>
        <v>1.1172908907513532</v>
      </c>
      <c r="W72" s="93">
        <v>0.99941428585517122</v>
      </c>
      <c r="X72" s="93">
        <f t="shared" si="25"/>
        <v>0.11787660489618201</v>
      </c>
      <c r="Y72" s="93">
        <f t="shared" si="6"/>
        <v>0.99862832092422871</v>
      </c>
      <c r="Z72" s="92">
        <f>SUM(Z73:Z75)</f>
        <v>6549643.6299999999</v>
      </c>
      <c r="AA72" s="92">
        <f>SUM(AA73:AA75)</f>
        <v>0</v>
      </c>
      <c r="AB72" s="92">
        <f>SUM(AB73:AB75)</f>
        <v>0</v>
      </c>
      <c r="AC72" s="92">
        <f>SUM(AC73:AC75)</f>
        <v>0</v>
      </c>
      <c r="AD72" s="92">
        <f>SUM(AD73:AD75)</f>
        <v>0</v>
      </c>
      <c r="AE72" s="64">
        <f t="shared" si="26"/>
        <v>6549643.6299999999</v>
      </c>
      <c r="AF72" s="64">
        <f t="shared" si="27"/>
        <v>6549643.6299999999</v>
      </c>
      <c r="AG72" s="234">
        <f>SUM(AG73:AG75)</f>
        <v>6549643.6299999999</v>
      </c>
      <c r="AH72" s="65">
        <f>AG72/J72</f>
        <v>0.75107611899803062</v>
      </c>
      <c r="AI72" s="65">
        <v>0.75107611899803062</v>
      </c>
      <c r="AJ72" s="65">
        <f t="shared" si="29"/>
        <v>0</v>
      </c>
      <c r="AK72" s="44">
        <f t="shared" si="11"/>
        <v>0.67130761542045714</v>
      </c>
      <c r="AL72" s="62"/>
      <c r="AM72" s="67"/>
      <c r="AN72" s="67"/>
      <c r="AO72" s="67"/>
      <c r="AP72" s="62"/>
      <c r="AQ72" s="67"/>
      <c r="AR72" s="67"/>
      <c r="AS72" s="68"/>
    </row>
    <row r="73" spans="1:45" ht="82.5">
      <c r="A73" s="69" t="s">
        <v>67</v>
      </c>
      <c r="B73" s="70" t="s">
        <v>322</v>
      </c>
      <c r="C73" s="71" t="s">
        <v>230</v>
      </c>
      <c r="D73" s="71" t="s">
        <v>321</v>
      </c>
      <c r="E73" s="71"/>
      <c r="F73" s="72">
        <v>0</v>
      </c>
      <c r="G73" s="72"/>
      <c r="H73" s="72">
        <v>0</v>
      </c>
      <c r="I73" s="72"/>
      <c r="J73" s="72">
        <v>0</v>
      </c>
      <c r="K73" s="62" t="s">
        <v>232</v>
      </c>
      <c r="L73" s="72">
        <v>0</v>
      </c>
      <c r="M73" s="72"/>
      <c r="N73" s="73">
        <f t="shared" si="0"/>
        <v>0</v>
      </c>
      <c r="O73" s="74">
        <v>0</v>
      </c>
      <c r="P73" s="90">
        <v>0</v>
      </c>
      <c r="Q73" s="85">
        <v>0</v>
      </c>
      <c r="R73" s="86">
        <v>0</v>
      </c>
      <c r="S73" s="85">
        <f t="shared" si="24"/>
        <v>0</v>
      </c>
      <c r="T73" s="85" t="e">
        <f t="shared" si="3"/>
        <v>#DIV/0!</v>
      </c>
      <c r="U73" s="89">
        <v>0</v>
      </c>
      <c r="V73" s="85">
        <v>0</v>
      </c>
      <c r="W73" s="86">
        <v>0</v>
      </c>
      <c r="X73" s="85">
        <f t="shared" si="25"/>
        <v>0</v>
      </c>
      <c r="Y73" s="85" t="e">
        <f t="shared" si="6"/>
        <v>#DIV/0!</v>
      </c>
      <c r="Z73" s="91">
        <v>0</v>
      </c>
      <c r="AA73" s="91">
        <v>0</v>
      </c>
      <c r="AB73" s="91">
        <v>0</v>
      </c>
      <c r="AC73" s="91">
        <v>0</v>
      </c>
      <c r="AD73" s="91">
        <v>0</v>
      </c>
      <c r="AE73" s="77">
        <f t="shared" si="26"/>
        <v>0</v>
      </c>
      <c r="AF73" s="79">
        <f t="shared" si="27"/>
        <v>0</v>
      </c>
      <c r="AG73" s="237">
        <f>SUM(Z73:AB73)</f>
        <v>0</v>
      </c>
      <c r="AH73" s="75">
        <v>0</v>
      </c>
      <c r="AI73" s="75">
        <v>0</v>
      </c>
      <c r="AJ73" s="75">
        <f t="shared" si="29"/>
        <v>0</v>
      </c>
      <c r="AK73" s="80" t="e">
        <f t="shared" si="11"/>
        <v>#DIV/0!</v>
      </c>
      <c r="AL73" s="72"/>
      <c r="AM73" s="81"/>
      <c r="AN73" s="81"/>
      <c r="AO73" s="81"/>
      <c r="AP73" s="72"/>
      <c r="AQ73" s="81"/>
      <c r="AR73" s="81"/>
      <c r="AS73" s="82"/>
    </row>
    <row r="74" spans="1:45" ht="66">
      <c r="A74" s="69" t="s">
        <v>68</v>
      </c>
      <c r="B74" s="70" t="s">
        <v>323</v>
      </c>
      <c r="C74" s="71" t="s">
        <v>230</v>
      </c>
      <c r="D74" s="71" t="s">
        <v>321</v>
      </c>
      <c r="E74" s="71"/>
      <c r="F74" s="72">
        <v>0</v>
      </c>
      <c r="G74" s="72"/>
      <c r="H74" s="72">
        <v>0</v>
      </c>
      <c r="I74" s="72"/>
      <c r="J74" s="72">
        <v>0</v>
      </c>
      <c r="K74" s="62" t="s">
        <v>232</v>
      </c>
      <c r="L74" s="72">
        <v>0</v>
      </c>
      <c r="M74" s="72"/>
      <c r="N74" s="73">
        <f t="shared" si="0"/>
        <v>0</v>
      </c>
      <c r="O74" s="74">
        <v>0</v>
      </c>
      <c r="P74" s="90">
        <v>0</v>
      </c>
      <c r="Q74" s="85">
        <v>0</v>
      </c>
      <c r="R74" s="86">
        <v>0</v>
      </c>
      <c r="S74" s="85">
        <f t="shared" si="24"/>
        <v>0</v>
      </c>
      <c r="T74" s="85" t="e">
        <f t="shared" si="3"/>
        <v>#DIV/0!</v>
      </c>
      <c r="U74" s="89">
        <v>0</v>
      </c>
      <c r="V74" s="85">
        <v>0</v>
      </c>
      <c r="W74" s="86">
        <v>0</v>
      </c>
      <c r="X74" s="85">
        <f t="shared" si="25"/>
        <v>0</v>
      </c>
      <c r="Y74" s="85" t="e">
        <f t="shared" si="6"/>
        <v>#DIV/0!</v>
      </c>
      <c r="Z74" s="91">
        <v>0</v>
      </c>
      <c r="AA74" s="91">
        <v>0</v>
      </c>
      <c r="AB74" s="91">
        <v>0</v>
      </c>
      <c r="AC74" s="91">
        <v>0</v>
      </c>
      <c r="AD74" s="91">
        <v>0</v>
      </c>
      <c r="AE74" s="77">
        <f t="shared" si="26"/>
        <v>0</v>
      </c>
      <c r="AF74" s="79">
        <f t="shared" si="27"/>
        <v>0</v>
      </c>
      <c r="AG74" s="237">
        <f>SUM(Z74:AB74)</f>
        <v>0</v>
      </c>
      <c r="AH74" s="75">
        <v>0</v>
      </c>
      <c r="AI74" s="75">
        <v>0</v>
      </c>
      <c r="AJ74" s="75">
        <f t="shared" si="29"/>
        <v>0</v>
      </c>
      <c r="AK74" s="80" t="e">
        <f t="shared" si="11"/>
        <v>#DIV/0!</v>
      </c>
      <c r="AL74" s="72"/>
      <c r="AM74" s="81"/>
      <c r="AN74" s="81"/>
      <c r="AO74" s="81"/>
      <c r="AP74" s="72"/>
      <c r="AQ74" s="81"/>
      <c r="AR74" s="81"/>
      <c r="AS74" s="82"/>
    </row>
    <row r="75" spans="1:45" ht="148.5">
      <c r="A75" s="69" t="s">
        <v>69</v>
      </c>
      <c r="B75" s="70" t="s">
        <v>324</v>
      </c>
      <c r="C75" s="71" t="s">
        <v>230</v>
      </c>
      <c r="D75" s="71" t="s">
        <v>321</v>
      </c>
      <c r="E75" s="71"/>
      <c r="F75" s="72">
        <v>8720346</v>
      </c>
      <c r="G75" s="72"/>
      <c r="H75" s="72">
        <v>8720346</v>
      </c>
      <c r="I75" s="72"/>
      <c r="J75" s="72">
        <v>8720346</v>
      </c>
      <c r="K75" s="62" t="s">
        <v>232</v>
      </c>
      <c r="L75" s="72">
        <v>1200000</v>
      </c>
      <c r="M75" s="72">
        <f>L75*0.8635</f>
        <v>1036200</v>
      </c>
      <c r="N75" s="73">
        <f t="shared" si="0"/>
        <v>9756546</v>
      </c>
      <c r="O75" s="74">
        <v>8897791.9100000001</v>
      </c>
      <c r="P75" s="108">
        <v>9743163.1500000004</v>
      </c>
      <c r="Q75" s="85">
        <f>P75/J75</f>
        <v>1.1172908907513532</v>
      </c>
      <c r="R75" s="86">
        <v>0.99941428585517122</v>
      </c>
      <c r="S75" s="85">
        <f t="shared" si="24"/>
        <v>0.11787660489618201</v>
      </c>
      <c r="T75" s="85">
        <f>P75/N75</f>
        <v>0.99862832092422871</v>
      </c>
      <c r="U75" s="108">
        <v>9743163.1500000004</v>
      </c>
      <c r="V75" s="85">
        <f t="shared" ref="V75:V88" si="31">U75/J75</f>
        <v>1.1172908907513532</v>
      </c>
      <c r="W75" s="86">
        <v>0.99941428585517122</v>
      </c>
      <c r="X75" s="85">
        <f t="shared" si="25"/>
        <v>0.11787660489618201</v>
      </c>
      <c r="Y75" s="85">
        <f t="shared" si="6"/>
        <v>0.99862832092422871</v>
      </c>
      <c r="Z75" s="89">
        <v>6549643.6299999999</v>
      </c>
      <c r="AA75" s="89">
        <v>0</v>
      </c>
      <c r="AB75" s="89">
        <v>0</v>
      </c>
      <c r="AC75" s="91">
        <v>0</v>
      </c>
      <c r="AD75" s="91">
        <v>0</v>
      </c>
      <c r="AE75" s="77">
        <f t="shared" si="26"/>
        <v>6549643.6299999999</v>
      </c>
      <c r="AF75" s="79">
        <f t="shared" si="27"/>
        <v>6549643.6299999999</v>
      </c>
      <c r="AG75" s="237">
        <f>SUM(Z75:AB75)</f>
        <v>6549643.6299999999</v>
      </c>
      <c r="AH75" s="75">
        <f t="shared" ref="AH75:AH88" si="32">AG75/J75</f>
        <v>0.75107611899803062</v>
      </c>
      <c r="AI75" s="75">
        <v>0.75107611899803062</v>
      </c>
      <c r="AJ75" s="75">
        <f t="shared" si="29"/>
        <v>0</v>
      </c>
      <c r="AK75" s="80">
        <f t="shared" si="11"/>
        <v>0.67130761542045714</v>
      </c>
      <c r="AL75" s="72"/>
      <c r="AM75" s="81"/>
      <c r="AN75" s="81"/>
      <c r="AO75" s="81"/>
      <c r="AP75" s="72"/>
      <c r="AQ75" s="81"/>
      <c r="AR75" s="81"/>
      <c r="AS75" s="82"/>
    </row>
    <row r="76" spans="1:45" s="18" customFormat="1" ht="66">
      <c r="A76" s="59" t="s">
        <v>325</v>
      </c>
      <c r="B76" s="60" t="s">
        <v>326</v>
      </c>
      <c r="C76" s="61" t="s">
        <v>230</v>
      </c>
      <c r="D76" s="61"/>
      <c r="E76" s="61"/>
      <c r="F76" s="62">
        <f>F77</f>
        <v>33745009.938956</v>
      </c>
      <c r="G76" s="62"/>
      <c r="H76" s="62">
        <f>H77</f>
        <v>33745009.938956</v>
      </c>
      <c r="I76" s="62"/>
      <c r="J76" s="62">
        <f>J77</f>
        <v>33745009.938956</v>
      </c>
      <c r="K76" s="62" t="s">
        <v>232</v>
      </c>
      <c r="L76" s="62">
        <f>L77</f>
        <v>2127446.2999999998</v>
      </c>
      <c r="M76" s="62">
        <f>M77</f>
        <v>1964482.1096700002</v>
      </c>
      <c r="N76" s="41">
        <f t="shared" ref="N76:N139" si="33">J76+M76</f>
        <v>35709492.048625998</v>
      </c>
      <c r="O76" s="63">
        <f>O77</f>
        <v>29287172.93</v>
      </c>
      <c r="P76" s="92">
        <f>P77</f>
        <v>33263203.649999999</v>
      </c>
      <c r="Q76" s="93">
        <f t="shared" ref="Q76:Q88" si="34">P76/J76</f>
        <v>0.98572214707218697</v>
      </c>
      <c r="R76" s="93">
        <v>0.98591185363951594</v>
      </c>
      <c r="S76" s="93">
        <f t="shared" si="24"/>
        <v>-1.8970656732897329E-4</v>
      </c>
      <c r="T76" s="93">
        <f t="shared" ref="T76:T139" si="35">P76/N76</f>
        <v>0.9314947298803673</v>
      </c>
      <c r="U76" s="92">
        <f>U77</f>
        <v>33263203.649999999</v>
      </c>
      <c r="V76" s="93">
        <f t="shared" si="31"/>
        <v>0.98572214707218697</v>
      </c>
      <c r="W76" s="93">
        <v>0.98591185363951594</v>
      </c>
      <c r="X76" s="93">
        <f t="shared" si="25"/>
        <v>-1.8970656732897329E-4</v>
      </c>
      <c r="Y76" s="93">
        <f t="shared" ref="Y76:Y139" si="36">U76/N76</f>
        <v>0.9314947298803673</v>
      </c>
      <c r="Z76" s="92">
        <f>Z77</f>
        <v>22934922.560000002</v>
      </c>
      <c r="AA76" s="92">
        <f>AA77</f>
        <v>0</v>
      </c>
      <c r="AB76" s="92">
        <f>AB77</f>
        <v>2295247.31</v>
      </c>
      <c r="AC76" s="92">
        <f>AC77</f>
        <v>400618.96000000194</v>
      </c>
      <c r="AD76" s="92">
        <f>AD77</f>
        <v>22378.09</v>
      </c>
      <c r="AE76" s="64">
        <f t="shared" si="26"/>
        <v>25207791.779999997</v>
      </c>
      <c r="AF76" s="64">
        <f t="shared" si="27"/>
        <v>23335541.520000003</v>
      </c>
      <c r="AG76" s="234">
        <f>AG77</f>
        <v>25230169.869999997</v>
      </c>
      <c r="AH76" s="65">
        <f t="shared" si="32"/>
        <v>0.74767113465489665</v>
      </c>
      <c r="AI76" s="65">
        <v>0.72275103057073076</v>
      </c>
      <c r="AJ76" s="65">
        <f t="shared" si="29"/>
        <v>2.4920104084165895E-2</v>
      </c>
      <c r="AK76" s="44">
        <f t="shared" ref="AK76:AK139" si="37">AG76/N76</f>
        <v>0.70653958996795041</v>
      </c>
      <c r="AL76" s="62"/>
      <c r="AM76" s="67"/>
      <c r="AN76" s="67"/>
      <c r="AO76" s="67"/>
      <c r="AP76" s="62"/>
      <c r="AQ76" s="67"/>
      <c r="AR76" s="67"/>
      <c r="AS76" s="68"/>
    </row>
    <row r="77" spans="1:45" s="18" customFormat="1" ht="49.5">
      <c r="A77" s="59" t="s">
        <v>327</v>
      </c>
      <c r="B77" s="60" t="s">
        <v>328</v>
      </c>
      <c r="C77" s="61" t="s">
        <v>230</v>
      </c>
      <c r="D77" s="61"/>
      <c r="E77" s="61"/>
      <c r="F77" s="62">
        <f>F78+F81</f>
        <v>33745009.938956</v>
      </c>
      <c r="G77" s="62"/>
      <c r="H77" s="62">
        <f>H78+H81</f>
        <v>33745009.938956</v>
      </c>
      <c r="I77" s="62"/>
      <c r="J77" s="62">
        <f>J78+J81</f>
        <v>33745009.938956</v>
      </c>
      <c r="K77" s="62" t="s">
        <v>232</v>
      </c>
      <c r="L77" s="62">
        <f>L78+L81</f>
        <v>2127446.2999999998</v>
      </c>
      <c r="M77" s="62">
        <f>M78+M81</f>
        <v>1964482.1096700002</v>
      </c>
      <c r="N77" s="41">
        <f t="shared" si="33"/>
        <v>35709492.048625998</v>
      </c>
      <c r="O77" s="63">
        <f>O78+O81</f>
        <v>29287172.93</v>
      </c>
      <c r="P77" s="92">
        <f>P78+P81</f>
        <v>33263203.649999999</v>
      </c>
      <c r="Q77" s="93">
        <f t="shared" si="34"/>
        <v>0.98572214707218697</v>
      </c>
      <c r="R77" s="93">
        <v>0.98591185363951594</v>
      </c>
      <c r="S77" s="93">
        <f t="shared" si="24"/>
        <v>-1.8970656732897329E-4</v>
      </c>
      <c r="T77" s="93">
        <f t="shared" si="35"/>
        <v>0.9314947298803673</v>
      </c>
      <c r="U77" s="92">
        <f>U78+U81</f>
        <v>33263203.649999999</v>
      </c>
      <c r="V77" s="93">
        <f t="shared" si="31"/>
        <v>0.98572214707218697</v>
      </c>
      <c r="W77" s="93">
        <v>0.98591185363951594</v>
      </c>
      <c r="X77" s="93">
        <f t="shared" si="25"/>
        <v>-1.8970656732897329E-4</v>
      </c>
      <c r="Y77" s="93">
        <f t="shared" si="36"/>
        <v>0.9314947298803673</v>
      </c>
      <c r="Z77" s="92">
        <f>Z78+Z81</f>
        <v>22934922.560000002</v>
      </c>
      <c r="AA77" s="92">
        <f>AA78+AA81</f>
        <v>0</v>
      </c>
      <c r="AB77" s="92">
        <f>AB78+AB81</f>
        <v>2295247.31</v>
      </c>
      <c r="AC77" s="92">
        <f>SUM(AC78,AC81)</f>
        <v>400618.96000000194</v>
      </c>
      <c r="AD77" s="92">
        <f>AD78+AD81</f>
        <v>22378.09</v>
      </c>
      <c r="AE77" s="64">
        <f t="shared" si="26"/>
        <v>25207791.779999997</v>
      </c>
      <c r="AF77" s="64">
        <f t="shared" si="27"/>
        <v>23335541.520000003</v>
      </c>
      <c r="AG77" s="234">
        <f>AG78+AG81</f>
        <v>25230169.869999997</v>
      </c>
      <c r="AH77" s="65">
        <f t="shared" si="32"/>
        <v>0.74767113465489665</v>
      </c>
      <c r="AI77" s="65">
        <v>0.72275103057073076</v>
      </c>
      <c r="AJ77" s="65">
        <f t="shared" si="29"/>
        <v>2.4920104084165895E-2</v>
      </c>
      <c r="AK77" s="44">
        <f t="shared" si="37"/>
        <v>0.70653958996795041</v>
      </c>
      <c r="AL77" s="62"/>
      <c r="AM77" s="67"/>
      <c r="AN77" s="67"/>
      <c r="AO77" s="67"/>
      <c r="AP77" s="62"/>
      <c r="AQ77" s="67"/>
      <c r="AR77" s="67"/>
      <c r="AS77" s="68"/>
    </row>
    <row r="78" spans="1:45" s="18" customFormat="1" ht="82.5">
      <c r="A78" s="94" t="s">
        <v>329</v>
      </c>
      <c r="B78" s="95" t="s">
        <v>330</v>
      </c>
      <c r="C78" s="96" t="s">
        <v>230</v>
      </c>
      <c r="D78" s="96" t="s">
        <v>331</v>
      </c>
      <c r="E78" s="96"/>
      <c r="F78" s="72">
        <f>SUM(F79:F80)</f>
        <v>19645085.938956</v>
      </c>
      <c r="G78" s="72"/>
      <c r="H78" s="72">
        <f>SUM(H79:H80)</f>
        <v>19645085.938956</v>
      </c>
      <c r="I78" s="72"/>
      <c r="J78" s="72">
        <f>SUM(J79:J80)</f>
        <v>19645085.938956</v>
      </c>
      <c r="K78" s="62" t="s">
        <v>232</v>
      </c>
      <c r="L78" s="72">
        <f>SUM(L79:L80)</f>
        <v>2127446.2999999998</v>
      </c>
      <c r="M78" s="72">
        <f>SUM(M79:M80)</f>
        <v>1964482.1096700002</v>
      </c>
      <c r="N78" s="73">
        <f t="shared" si="33"/>
        <v>21609568.048625998</v>
      </c>
      <c r="O78" s="97">
        <f>SUM(O79:O80)</f>
        <v>18187599.07</v>
      </c>
      <c r="P78" s="98">
        <f>SUM(P79:P80)</f>
        <v>19582503.789999999</v>
      </c>
      <c r="Q78" s="85">
        <f t="shared" si="34"/>
        <v>0.99681436115115685</v>
      </c>
      <c r="R78" s="85">
        <v>0.99681436115115685</v>
      </c>
      <c r="S78" s="85">
        <f t="shared" si="24"/>
        <v>0</v>
      </c>
      <c r="T78" s="85">
        <f t="shared" si="35"/>
        <v>0.90619598438688431</v>
      </c>
      <c r="U78" s="99">
        <f>SUM(U79:U80)</f>
        <v>19582503.789999999</v>
      </c>
      <c r="V78" s="85">
        <f t="shared" si="31"/>
        <v>0.99681436115115685</v>
      </c>
      <c r="W78" s="85">
        <v>0.99681436115115685</v>
      </c>
      <c r="X78" s="85">
        <f t="shared" si="25"/>
        <v>0</v>
      </c>
      <c r="Y78" s="85">
        <f t="shared" si="36"/>
        <v>0.90619598438688431</v>
      </c>
      <c r="Z78" s="99">
        <f>SUM(Z79:Z80)</f>
        <v>15745663.08</v>
      </c>
      <c r="AA78" s="99">
        <f>SUM(AA79:AA80)</f>
        <v>0</v>
      </c>
      <c r="AB78" s="99">
        <f>SUM(AB79:AB80)</f>
        <v>0</v>
      </c>
      <c r="AC78" s="99">
        <f>SUM(AC79:AC80)</f>
        <v>0</v>
      </c>
      <c r="AD78" s="99">
        <f>SUM(AD79:AD80)</f>
        <v>0</v>
      </c>
      <c r="AE78" s="100">
        <f t="shared" si="26"/>
        <v>15745663.08</v>
      </c>
      <c r="AF78" s="101">
        <f t="shared" si="27"/>
        <v>15745663.08</v>
      </c>
      <c r="AG78" s="238">
        <f>SUM(AG79:AG80)</f>
        <v>15745663.08</v>
      </c>
      <c r="AH78" s="75">
        <f t="shared" si="32"/>
        <v>0.80150644944629712</v>
      </c>
      <c r="AI78" s="75">
        <v>0.78288992309785421</v>
      </c>
      <c r="AJ78" s="75">
        <f t="shared" si="29"/>
        <v>1.8616526348442908E-2</v>
      </c>
      <c r="AK78" s="80">
        <f t="shared" si="37"/>
        <v>0.72864311977773</v>
      </c>
      <c r="AL78" s="72"/>
      <c r="AM78" s="81"/>
      <c r="AN78" s="81"/>
      <c r="AO78" s="81"/>
      <c r="AP78" s="72"/>
      <c r="AQ78" s="81"/>
      <c r="AR78" s="81"/>
      <c r="AS78" s="82"/>
    </row>
    <row r="79" spans="1:45" ht="99">
      <c r="A79" s="69" t="s">
        <v>28</v>
      </c>
      <c r="B79" s="70" t="s">
        <v>332</v>
      </c>
      <c r="C79" s="71" t="s">
        <v>230</v>
      </c>
      <c r="D79" s="71" t="s">
        <v>331</v>
      </c>
      <c r="E79" s="71"/>
      <c r="F79" s="72">
        <v>10940071.258476</v>
      </c>
      <c r="G79" s="72"/>
      <c r="H79" s="72">
        <v>10940071.258476</v>
      </c>
      <c r="I79" s="72"/>
      <c r="J79" s="72">
        <v>10940071.258476</v>
      </c>
      <c r="K79" s="62" t="s">
        <v>232</v>
      </c>
      <c r="L79" s="72">
        <v>1194461.3</v>
      </c>
      <c r="M79" s="72">
        <f>L79*0.9159</f>
        <v>1094007.10467</v>
      </c>
      <c r="N79" s="73">
        <f t="shared" si="33"/>
        <v>12034078.363146</v>
      </c>
      <c r="O79" s="74">
        <v>10450819.07</v>
      </c>
      <c r="P79" s="108">
        <v>10888746.68</v>
      </c>
      <c r="Q79" s="85">
        <f t="shared" si="34"/>
        <v>0.99530857000257322</v>
      </c>
      <c r="R79" s="86">
        <v>0.99530857000257322</v>
      </c>
      <c r="S79" s="85">
        <f t="shared" si="24"/>
        <v>0</v>
      </c>
      <c r="T79" s="85">
        <f t="shared" si="35"/>
        <v>0.90482597432192702</v>
      </c>
      <c r="U79" s="108">
        <v>10888746.68</v>
      </c>
      <c r="V79" s="85">
        <f t="shared" si="31"/>
        <v>0.99530857000257322</v>
      </c>
      <c r="W79" s="86">
        <v>0.99530857000257322</v>
      </c>
      <c r="X79" s="85">
        <f t="shared" si="25"/>
        <v>0</v>
      </c>
      <c r="Y79" s="85">
        <f t="shared" si="36"/>
        <v>0.90482597432192702</v>
      </c>
      <c r="Z79" s="87">
        <v>8480346.7599999998</v>
      </c>
      <c r="AA79" s="89">
        <v>0</v>
      </c>
      <c r="AB79" s="89">
        <v>0</v>
      </c>
      <c r="AC79" s="89">
        <v>0</v>
      </c>
      <c r="AD79" s="89">
        <v>0</v>
      </c>
      <c r="AE79" s="77">
        <f t="shared" si="26"/>
        <v>8480346.7599999998</v>
      </c>
      <c r="AF79" s="79">
        <f t="shared" si="27"/>
        <v>8480346.7599999998</v>
      </c>
      <c r="AG79" s="237">
        <f>SUM(Z79:AB79)</f>
        <v>8480346.7599999998</v>
      </c>
      <c r="AH79" s="75">
        <f t="shared" si="32"/>
        <v>0.77516375895903888</v>
      </c>
      <c r="AI79" s="75">
        <v>0.76167925995399766</v>
      </c>
      <c r="AJ79" s="75">
        <f t="shared" si="29"/>
        <v>1.3484499005041228E-2</v>
      </c>
      <c r="AK79" s="80">
        <f t="shared" si="37"/>
        <v>0.70469432756652184</v>
      </c>
      <c r="AL79" s="72"/>
      <c r="AM79" s="81"/>
      <c r="AN79" s="81"/>
      <c r="AO79" s="81"/>
      <c r="AP79" s="72"/>
      <c r="AQ79" s="81"/>
      <c r="AR79" s="81"/>
      <c r="AS79" s="82"/>
    </row>
    <row r="80" spans="1:45" ht="115.5">
      <c r="A80" s="69" t="s">
        <v>29</v>
      </c>
      <c r="B80" s="70" t="s">
        <v>333</v>
      </c>
      <c r="C80" s="71" t="s">
        <v>230</v>
      </c>
      <c r="D80" s="71" t="s">
        <v>331</v>
      </c>
      <c r="E80" s="71"/>
      <c r="F80" s="72">
        <v>8705014.6804799996</v>
      </c>
      <c r="G80" s="72"/>
      <c r="H80" s="72">
        <v>8705014.6804799996</v>
      </c>
      <c r="I80" s="72"/>
      <c r="J80" s="72">
        <v>8705014.6804799996</v>
      </c>
      <c r="K80" s="62" t="s">
        <v>232</v>
      </c>
      <c r="L80" s="72">
        <v>932985</v>
      </c>
      <c r="M80" s="72">
        <f>L80*0.933</f>
        <v>870475.005</v>
      </c>
      <c r="N80" s="73">
        <f t="shared" si="33"/>
        <v>9575489.6854800005</v>
      </c>
      <c r="O80" s="74">
        <v>7736780</v>
      </c>
      <c r="P80" s="110">
        <v>8693757.1099999994</v>
      </c>
      <c r="Q80" s="85">
        <f t="shared" si="34"/>
        <v>0.99870677179841594</v>
      </c>
      <c r="R80" s="86">
        <v>0.99870677179841594</v>
      </c>
      <c r="S80" s="85">
        <f t="shared" si="24"/>
        <v>0</v>
      </c>
      <c r="T80" s="85">
        <f t="shared" si="35"/>
        <v>0.90791775622535154</v>
      </c>
      <c r="U80" s="110">
        <v>8693757.1099999994</v>
      </c>
      <c r="V80" s="85">
        <f t="shared" si="31"/>
        <v>0.99870677179841594</v>
      </c>
      <c r="W80" s="86">
        <v>0.99870677179841594</v>
      </c>
      <c r="X80" s="85">
        <f t="shared" si="25"/>
        <v>0</v>
      </c>
      <c r="Y80" s="85">
        <f t="shared" si="36"/>
        <v>0.90791775622535154</v>
      </c>
      <c r="Z80" s="87">
        <v>7265316.3200000003</v>
      </c>
      <c r="AA80" s="89">
        <v>0</v>
      </c>
      <c r="AB80" s="89">
        <v>0</v>
      </c>
      <c r="AC80" s="89">
        <v>0</v>
      </c>
      <c r="AD80" s="89">
        <v>0</v>
      </c>
      <c r="AE80" s="77">
        <f t="shared" si="26"/>
        <v>7265316.3200000003</v>
      </c>
      <c r="AF80" s="79">
        <f t="shared" si="27"/>
        <v>7265316.3200000003</v>
      </c>
      <c r="AG80" s="237">
        <f>SUM(Z80:AB80)</f>
        <v>7265316.3200000003</v>
      </c>
      <c r="AH80" s="75">
        <f t="shared" si="32"/>
        <v>0.83461275904469656</v>
      </c>
      <c r="AI80" s="75">
        <v>0.80954653135764942</v>
      </c>
      <c r="AJ80" s="75">
        <f t="shared" si="29"/>
        <v>2.5066227687047138E-2</v>
      </c>
      <c r="AK80" s="80">
        <f t="shared" si="37"/>
        <v>0.7587409687273664</v>
      </c>
      <c r="AL80" s="72"/>
      <c r="AM80" s="81"/>
      <c r="AN80" s="81"/>
      <c r="AO80" s="81"/>
      <c r="AP80" s="72"/>
      <c r="AQ80" s="81"/>
      <c r="AR80" s="81"/>
      <c r="AS80" s="82"/>
    </row>
    <row r="81" spans="1:45" s="18" customFormat="1" ht="132">
      <c r="A81" s="94" t="s">
        <v>334</v>
      </c>
      <c r="B81" s="95" t="s">
        <v>335</v>
      </c>
      <c r="C81" s="96" t="s">
        <v>230</v>
      </c>
      <c r="D81" s="96" t="s">
        <v>331</v>
      </c>
      <c r="E81" s="96"/>
      <c r="F81" s="72">
        <f>SUM(F82:F84)</f>
        <v>14099924</v>
      </c>
      <c r="G81" s="72"/>
      <c r="H81" s="72">
        <f>SUM(H82:H84)</f>
        <v>14099924</v>
      </c>
      <c r="I81" s="72"/>
      <c r="J81" s="72">
        <f>SUM(J82:J84)</f>
        <v>14099924</v>
      </c>
      <c r="K81" s="62" t="s">
        <v>232</v>
      </c>
      <c r="L81" s="72">
        <f>SUM(L82:L84)</f>
        <v>0</v>
      </c>
      <c r="M81" s="72">
        <f>SUM(M82:M84)</f>
        <v>0</v>
      </c>
      <c r="N81" s="73">
        <f t="shared" si="33"/>
        <v>14099924</v>
      </c>
      <c r="O81" s="97">
        <f>SUM(O82:O84)</f>
        <v>11099573.859999999</v>
      </c>
      <c r="P81" s="102">
        <f>SUM(P82:P84)</f>
        <v>13680699.859999999</v>
      </c>
      <c r="Q81" s="85">
        <f t="shared" si="34"/>
        <v>0.97026763122978532</v>
      </c>
      <c r="R81" s="85">
        <v>0.97072165140748279</v>
      </c>
      <c r="S81" s="85">
        <f t="shared" si="24"/>
        <v>-4.5402017769746728E-4</v>
      </c>
      <c r="T81" s="85">
        <f t="shared" si="35"/>
        <v>0.97026763122978532</v>
      </c>
      <c r="U81" s="99">
        <f>SUM(U82:U84)</f>
        <v>13680699.859999999</v>
      </c>
      <c r="V81" s="85">
        <f t="shared" si="31"/>
        <v>0.97026763122978532</v>
      </c>
      <c r="W81" s="85">
        <v>0.97072165140748279</v>
      </c>
      <c r="X81" s="85">
        <f t="shared" si="25"/>
        <v>-4.5402017769746728E-4</v>
      </c>
      <c r="Y81" s="85">
        <f t="shared" si="36"/>
        <v>0.97026763122978532</v>
      </c>
      <c r="Z81" s="99">
        <f>SUM(Z82:Z84)</f>
        <v>7189259.4800000004</v>
      </c>
      <c r="AA81" s="99">
        <f>SUM(AA82:AA84)</f>
        <v>0</v>
      </c>
      <c r="AB81" s="99">
        <f>SUM(AB82:AB84)</f>
        <v>2295247.31</v>
      </c>
      <c r="AC81" s="99">
        <f>SUM(AC82:AC84)</f>
        <v>400618.96000000194</v>
      </c>
      <c r="AD81" s="99">
        <f>SUM(AD82:AD84)</f>
        <v>22378.09</v>
      </c>
      <c r="AE81" s="100">
        <f t="shared" si="26"/>
        <v>9462128.6999999993</v>
      </c>
      <c r="AF81" s="101">
        <f t="shared" si="27"/>
        <v>7589878.4400000023</v>
      </c>
      <c r="AG81" s="238">
        <f>SUM(AG82:AG84)</f>
        <v>9484506.7899999991</v>
      </c>
      <c r="AH81" s="75">
        <f t="shared" si="32"/>
        <v>0.67266368173331992</v>
      </c>
      <c r="AI81" s="75">
        <v>0.63896095397393637</v>
      </c>
      <c r="AJ81" s="75">
        <f t="shared" si="29"/>
        <v>3.3702727759383544E-2</v>
      </c>
      <c r="AK81" s="80">
        <f t="shared" si="37"/>
        <v>0.67266368173331992</v>
      </c>
      <c r="AL81" s="72"/>
      <c r="AM81" s="81"/>
      <c r="AN81" s="81"/>
      <c r="AO81" s="81"/>
      <c r="AP81" s="72"/>
      <c r="AQ81" s="81"/>
      <c r="AR81" s="81"/>
      <c r="AS81" s="82"/>
    </row>
    <row r="82" spans="1:45" ht="82.5">
      <c r="A82" s="69" t="s">
        <v>336</v>
      </c>
      <c r="B82" s="70" t="s">
        <v>337</v>
      </c>
      <c r="C82" s="71" t="s">
        <v>230</v>
      </c>
      <c r="D82" s="71" t="s">
        <v>331</v>
      </c>
      <c r="E82" s="71"/>
      <c r="F82" s="72">
        <v>1262086</v>
      </c>
      <c r="G82" s="72"/>
      <c r="H82" s="72">
        <v>1262086</v>
      </c>
      <c r="I82" s="72"/>
      <c r="J82" s="72">
        <v>1262086</v>
      </c>
      <c r="K82" s="62" t="s">
        <v>232</v>
      </c>
      <c r="L82" s="72">
        <v>0</v>
      </c>
      <c r="M82" s="72"/>
      <c r="N82" s="73">
        <f t="shared" si="33"/>
        <v>1262086</v>
      </c>
      <c r="O82" s="74">
        <v>1002828.26</v>
      </c>
      <c r="P82" s="90">
        <v>1261889.69</v>
      </c>
      <c r="Q82" s="85">
        <f t="shared" si="34"/>
        <v>0.99984445592455662</v>
      </c>
      <c r="R82" s="86">
        <v>0.99984445592455662</v>
      </c>
      <c r="S82" s="85">
        <f t="shared" si="24"/>
        <v>0</v>
      </c>
      <c r="T82" s="85">
        <f t="shared" si="35"/>
        <v>0.99984445592455662</v>
      </c>
      <c r="U82" s="90">
        <v>1261889.69</v>
      </c>
      <c r="V82" s="85">
        <f t="shared" si="31"/>
        <v>0.99984445592455662</v>
      </c>
      <c r="W82" s="86">
        <v>0.99984445592455662</v>
      </c>
      <c r="X82" s="85">
        <f t="shared" si="25"/>
        <v>0</v>
      </c>
      <c r="Y82" s="85">
        <f t="shared" si="36"/>
        <v>0.99984445592455662</v>
      </c>
      <c r="Z82" s="87">
        <v>733316.11</v>
      </c>
      <c r="AA82" s="89">
        <v>0</v>
      </c>
      <c r="AB82" s="89">
        <v>0</v>
      </c>
      <c r="AC82" s="89">
        <v>0</v>
      </c>
      <c r="AD82" s="89">
        <v>0</v>
      </c>
      <c r="AE82" s="77">
        <f t="shared" si="26"/>
        <v>733316.11</v>
      </c>
      <c r="AF82" s="79">
        <f t="shared" si="27"/>
        <v>733316.11</v>
      </c>
      <c r="AG82" s="237">
        <f>SUM(Z82:AB82)</f>
        <v>733316.11</v>
      </c>
      <c r="AH82" s="75">
        <f t="shared" si="32"/>
        <v>0.58103497701424467</v>
      </c>
      <c r="AI82" s="75">
        <v>0.57966260619323884</v>
      </c>
      <c r="AJ82" s="75">
        <f t="shared" si="29"/>
        <v>1.3723708210058305E-3</v>
      </c>
      <c r="AK82" s="80">
        <f t="shared" si="37"/>
        <v>0.58103497701424467</v>
      </c>
      <c r="AL82" s="72"/>
      <c r="AM82" s="81"/>
      <c r="AN82" s="81"/>
      <c r="AO82" s="81"/>
      <c r="AP82" s="72"/>
      <c r="AQ82" s="81"/>
      <c r="AR82" s="81"/>
      <c r="AS82" s="82"/>
    </row>
    <row r="83" spans="1:45" ht="132">
      <c r="A83" s="69" t="s">
        <v>31</v>
      </c>
      <c r="B83" s="70" t="s">
        <v>338</v>
      </c>
      <c r="C83" s="71" t="s">
        <v>230</v>
      </c>
      <c r="D83" s="71" t="s">
        <v>331</v>
      </c>
      <c r="E83" s="71"/>
      <c r="F83" s="72">
        <v>3215141</v>
      </c>
      <c r="G83" s="72"/>
      <c r="H83" s="72">
        <v>3215141</v>
      </c>
      <c r="I83" s="72"/>
      <c r="J83" s="72">
        <v>3215141</v>
      </c>
      <c r="K83" s="62" t="s">
        <v>232</v>
      </c>
      <c r="L83" s="72">
        <v>0</v>
      </c>
      <c r="M83" s="72"/>
      <c r="N83" s="73">
        <f t="shared" si="33"/>
        <v>3215141</v>
      </c>
      <c r="O83" s="74">
        <v>3212479.7800000003</v>
      </c>
      <c r="P83" s="90">
        <v>3215136.33</v>
      </c>
      <c r="Q83" s="85">
        <f t="shared" si="34"/>
        <v>0.99999854749760586</v>
      </c>
      <c r="R83" s="86">
        <v>0.99999854749760586</v>
      </c>
      <c r="S83" s="85">
        <f t="shared" si="24"/>
        <v>0</v>
      </c>
      <c r="T83" s="85">
        <f t="shared" si="35"/>
        <v>0.99999854749760586</v>
      </c>
      <c r="U83" s="89">
        <v>3215136.33</v>
      </c>
      <c r="V83" s="85">
        <f t="shared" si="31"/>
        <v>0.99999854749760586</v>
      </c>
      <c r="W83" s="86">
        <v>0.99999854749760586</v>
      </c>
      <c r="X83" s="85">
        <f t="shared" si="25"/>
        <v>0</v>
      </c>
      <c r="Y83" s="85">
        <f t="shared" si="36"/>
        <v>0.99999854749760586</v>
      </c>
      <c r="Z83" s="87">
        <v>2407856.94</v>
      </c>
      <c r="AA83" s="91">
        <v>0</v>
      </c>
      <c r="AB83" s="89">
        <v>241209.09</v>
      </c>
      <c r="AC83" s="87">
        <v>104686.040000001</v>
      </c>
      <c r="AD83" s="89">
        <v>0</v>
      </c>
      <c r="AE83" s="77">
        <f t="shared" si="26"/>
        <v>2649066.0299999998</v>
      </c>
      <c r="AF83" s="79">
        <f t="shared" si="27"/>
        <v>2512542.9800000009</v>
      </c>
      <c r="AG83" s="237">
        <f>SUM(Z83:AB83)</f>
        <v>2649066.0299999998</v>
      </c>
      <c r="AH83" s="75">
        <f t="shared" si="32"/>
        <v>0.82393463614815021</v>
      </c>
      <c r="AI83" s="75">
        <v>0.81237967790526133</v>
      </c>
      <c r="AJ83" s="75">
        <f t="shared" si="29"/>
        <v>1.155495824288888E-2</v>
      </c>
      <c r="AK83" s="80">
        <f t="shared" si="37"/>
        <v>0.82393463614815021</v>
      </c>
      <c r="AL83" s="72"/>
      <c r="AM83" s="81"/>
      <c r="AN83" s="81"/>
      <c r="AO83" s="81"/>
      <c r="AP83" s="72"/>
      <c r="AQ83" s="81"/>
      <c r="AR83" s="81"/>
      <c r="AS83" s="82"/>
    </row>
    <row r="84" spans="1:45" ht="115.5">
      <c r="A84" s="69" t="s">
        <v>339</v>
      </c>
      <c r="B84" s="70" t="s">
        <v>340</v>
      </c>
      <c r="C84" s="71" t="s">
        <v>230</v>
      </c>
      <c r="D84" s="71" t="s">
        <v>331</v>
      </c>
      <c r="E84" s="71"/>
      <c r="F84" s="72">
        <v>9622697</v>
      </c>
      <c r="G84" s="72"/>
      <c r="H84" s="72">
        <v>9622697</v>
      </c>
      <c r="I84" s="72"/>
      <c r="J84" s="72">
        <v>9622697</v>
      </c>
      <c r="K84" s="62" t="s">
        <v>232</v>
      </c>
      <c r="L84" s="72">
        <v>0</v>
      </c>
      <c r="M84" s="72"/>
      <c r="N84" s="73">
        <f t="shared" si="33"/>
        <v>9622697</v>
      </c>
      <c r="O84" s="74">
        <v>6884265.8200000003</v>
      </c>
      <c r="P84" s="108">
        <v>9203673.8399999999</v>
      </c>
      <c r="Q84" s="85">
        <f t="shared" si="34"/>
        <v>0.95645470703275803</v>
      </c>
      <c r="R84" s="86">
        <v>0.95711997270619664</v>
      </c>
      <c r="S84" s="85">
        <f t="shared" si="24"/>
        <v>-6.6526567343860865E-4</v>
      </c>
      <c r="T84" s="85">
        <f t="shared" si="35"/>
        <v>0.95645470703275803</v>
      </c>
      <c r="U84" s="108">
        <v>9203673.8399999999</v>
      </c>
      <c r="V84" s="85">
        <f t="shared" si="31"/>
        <v>0.95645470703275803</v>
      </c>
      <c r="W84" s="86">
        <v>0.95711997270619664</v>
      </c>
      <c r="X84" s="85">
        <f t="shared" si="25"/>
        <v>-6.6526567343860865E-4</v>
      </c>
      <c r="Y84" s="85">
        <f t="shared" si="36"/>
        <v>0.95645470703275803</v>
      </c>
      <c r="Z84" s="87">
        <v>4048086.43</v>
      </c>
      <c r="AA84" s="91">
        <v>0</v>
      </c>
      <c r="AB84" s="89">
        <v>2054038.22</v>
      </c>
      <c r="AC84" s="87">
        <v>295932.92000000097</v>
      </c>
      <c r="AD84" s="89">
        <v>22378.09</v>
      </c>
      <c r="AE84" s="77">
        <f t="shared" si="26"/>
        <v>6079746.5600000005</v>
      </c>
      <c r="AF84" s="79">
        <f t="shared" si="27"/>
        <v>4344019.3500000015</v>
      </c>
      <c r="AG84" s="237">
        <f>SUM(Z84:AB84)</f>
        <v>6102124.6500000004</v>
      </c>
      <c r="AH84" s="75">
        <f t="shared" si="32"/>
        <v>0.63413870872168165</v>
      </c>
      <c r="AI84" s="75">
        <v>0.58879559649441315</v>
      </c>
      <c r="AJ84" s="75">
        <f t="shared" si="29"/>
        <v>4.5343112227268501E-2</v>
      </c>
      <c r="AK84" s="80">
        <f t="shared" si="37"/>
        <v>0.63413870872168165</v>
      </c>
      <c r="AL84" s="72"/>
      <c r="AM84" s="81"/>
      <c r="AN84" s="81"/>
      <c r="AO84" s="81"/>
      <c r="AP84" s="72"/>
      <c r="AQ84" s="81"/>
      <c r="AR84" s="81"/>
      <c r="AS84" s="82"/>
    </row>
    <row r="85" spans="1:45" s="18" customFormat="1" ht="66">
      <c r="A85" s="59" t="s">
        <v>341</v>
      </c>
      <c r="B85" s="60" t="s">
        <v>342</v>
      </c>
      <c r="C85" s="61" t="s">
        <v>230</v>
      </c>
      <c r="D85" s="61" t="s">
        <v>231</v>
      </c>
      <c r="E85" s="61"/>
      <c r="F85" s="62">
        <f>F86+F94+F100</f>
        <v>16087896.360943999</v>
      </c>
      <c r="G85" s="62"/>
      <c r="H85" s="62">
        <f>H86+H94+H100</f>
        <v>16087896.360943999</v>
      </c>
      <c r="I85" s="62"/>
      <c r="J85" s="62">
        <f>J86+J94+J100</f>
        <v>16087896.398467999</v>
      </c>
      <c r="K85" s="62" t="s">
        <v>232</v>
      </c>
      <c r="L85" s="62">
        <f>L86+L94+L100</f>
        <v>0</v>
      </c>
      <c r="M85" s="62">
        <f>M86+M94+M100</f>
        <v>0</v>
      </c>
      <c r="N85" s="41">
        <f t="shared" si="33"/>
        <v>16087896.398467999</v>
      </c>
      <c r="O85" s="63">
        <f>O86+O94+O100</f>
        <v>13359181.68</v>
      </c>
      <c r="P85" s="92">
        <f>P86+P94+P100</f>
        <v>15717625.890000001</v>
      </c>
      <c r="Q85" s="93">
        <f t="shared" si="34"/>
        <v>0.97698452928232071</v>
      </c>
      <c r="R85" s="93">
        <v>0.9797489584732566</v>
      </c>
      <c r="S85" s="93">
        <f t="shared" si="24"/>
        <v>-2.7644291909358909E-3</v>
      </c>
      <c r="T85" s="93">
        <f t="shared" si="35"/>
        <v>0.97698452928232071</v>
      </c>
      <c r="U85" s="92">
        <f>U86+U94+U100</f>
        <v>15682864.259999998</v>
      </c>
      <c r="V85" s="93">
        <f t="shared" si="31"/>
        <v>0.9748237974414995</v>
      </c>
      <c r="W85" s="93">
        <v>0.97485528623047069</v>
      </c>
      <c r="X85" s="93">
        <f t="shared" si="25"/>
        <v>-3.1488788971190118E-5</v>
      </c>
      <c r="Y85" s="93">
        <f t="shared" si="36"/>
        <v>0.9748237974414995</v>
      </c>
      <c r="Z85" s="92">
        <f>Z86+Z94+Z100</f>
        <v>7622500.2599999998</v>
      </c>
      <c r="AA85" s="92">
        <f>AA86+AA94+AA100</f>
        <v>0</v>
      </c>
      <c r="AB85" s="92">
        <f>AB86+AB94+AB100</f>
        <v>3351441.2199999997</v>
      </c>
      <c r="AC85" s="92">
        <f>AC86+AC94+AC100</f>
        <v>1952313.4000000008</v>
      </c>
      <c r="AD85" s="92">
        <f>AD86+AD94+AD100</f>
        <v>81636.78</v>
      </c>
      <c r="AE85" s="64">
        <f t="shared" si="26"/>
        <v>10892304.700000001</v>
      </c>
      <c r="AF85" s="64">
        <f t="shared" si="27"/>
        <v>9574813.6600000001</v>
      </c>
      <c r="AG85" s="234">
        <f>AG86+AG94+AG100</f>
        <v>10973941.48</v>
      </c>
      <c r="AH85" s="65">
        <f t="shared" si="32"/>
        <v>0.68212407689578458</v>
      </c>
      <c r="AI85" s="65">
        <v>0.64935954852473632</v>
      </c>
      <c r="AJ85" s="65">
        <f t="shared" si="29"/>
        <v>3.2764528371048263E-2</v>
      </c>
      <c r="AK85" s="44">
        <f t="shared" si="37"/>
        <v>0.68212407689578458</v>
      </c>
      <c r="AL85" s="62"/>
      <c r="AM85" s="67"/>
      <c r="AN85" s="67"/>
      <c r="AO85" s="67"/>
      <c r="AP85" s="62"/>
      <c r="AQ85" s="67"/>
      <c r="AR85" s="67"/>
      <c r="AS85" s="68"/>
    </row>
    <row r="86" spans="1:45" s="18" customFormat="1" ht="49.5">
      <c r="A86" s="59" t="s">
        <v>343</v>
      </c>
      <c r="B86" s="60" t="s">
        <v>344</v>
      </c>
      <c r="C86" s="61" t="s">
        <v>230</v>
      </c>
      <c r="D86" s="61" t="s">
        <v>231</v>
      </c>
      <c r="E86" s="61"/>
      <c r="F86" s="62">
        <f>F87+F90+F91</f>
        <v>5299478.0679240003</v>
      </c>
      <c r="G86" s="62"/>
      <c r="H86" s="62">
        <f>H87+H90+H91</f>
        <v>5299478.0679240003</v>
      </c>
      <c r="I86" s="62"/>
      <c r="J86" s="62">
        <f>J87+J90+J91</f>
        <v>5299478.1054480001</v>
      </c>
      <c r="K86" s="62" t="s">
        <v>232</v>
      </c>
      <c r="L86" s="62">
        <f>L87+L90+L91</f>
        <v>0</v>
      </c>
      <c r="M86" s="62">
        <f>M87+M90+M91</f>
        <v>0</v>
      </c>
      <c r="N86" s="41">
        <f t="shared" si="33"/>
        <v>5299478.1054480001</v>
      </c>
      <c r="O86" s="63">
        <f>O87+O90+O91</f>
        <v>4544472.7300000004</v>
      </c>
      <c r="P86" s="92">
        <f>P87+P90+P91</f>
        <v>5337574.6300000008</v>
      </c>
      <c r="Q86" s="93">
        <f t="shared" si="34"/>
        <v>1.0071887313795742</v>
      </c>
      <c r="R86" s="93">
        <v>0.99970137453541963</v>
      </c>
      <c r="S86" s="93">
        <f t="shared" si="24"/>
        <v>7.4873568441545801E-3</v>
      </c>
      <c r="T86" s="93">
        <f t="shared" si="35"/>
        <v>1.0071887313795742</v>
      </c>
      <c r="U86" s="92">
        <f>U87+U90+U91</f>
        <v>5302813</v>
      </c>
      <c r="V86" s="93">
        <f t="shared" si="31"/>
        <v>1.0006292873535172</v>
      </c>
      <c r="W86" s="93">
        <v>0.98857183232343582</v>
      </c>
      <c r="X86" s="93">
        <f t="shared" si="25"/>
        <v>1.2057455030081377E-2</v>
      </c>
      <c r="Y86" s="93">
        <f t="shared" si="36"/>
        <v>1.0006292873535172</v>
      </c>
      <c r="Z86" s="92">
        <f>Z87+Z90+Z91</f>
        <v>2929279.51</v>
      </c>
      <c r="AA86" s="92">
        <f>AA87+AA90+AA91</f>
        <v>0</v>
      </c>
      <c r="AB86" s="92">
        <f>AB87+AB90+AB91</f>
        <v>57811.66</v>
      </c>
      <c r="AC86" s="92">
        <f>AC87+AC90+AC91</f>
        <v>55404.149999999907</v>
      </c>
      <c r="AD86" s="92">
        <f>AD87+AD90+AD91</f>
        <v>3927.54</v>
      </c>
      <c r="AE86" s="64">
        <f t="shared" si="26"/>
        <v>2983163.63</v>
      </c>
      <c r="AF86" s="64">
        <f t="shared" si="27"/>
        <v>2984683.6599999997</v>
      </c>
      <c r="AG86" s="234">
        <f>AG87+AG90+AG91</f>
        <v>2987091.17</v>
      </c>
      <c r="AH86" s="65">
        <f t="shared" si="32"/>
        <v>0.56365761128991043</v>
      </c>
      <c r="AI86" s="65">
        <v>0.5225321942359914</v>
      </c>
      <c r="AJ86" s="65">
        <f t="shared" si="29"/>
        <v>4.1125417053919033E-2</v>
      </c>
      <c r="AK86" s="44">
        <f t="shared" si="37"/>
        <v>0.56365761128991043</v>
      </c>
      <c r="AL86" s="62"/>
      <c r="AM86" s="67"/>
      <c r="AN86" s="67"/>
      <c r="AO86" s="67"/>
      <c r="AP86" s="62"/>
      <c r="AQ86" s="67"/>
      <c r="AR86" s="67"/>
      <c r="AS86" s="68"/>
    </row>
    <row r="87" spans="1:45" s="18" customFormat="1" ht="82.5">
      <c r="A87" s="94" t="s">
        <v>345</v>
      </c>
      <c r="B87" s="95" t="s">
        <v>346</v>
      </c>
      <c r="C87" s="96" t="s">
        <v>230</v>
      </c>
      <c r="D87" s="96" t="s">
        <v>231</v>
      </c>
      <c r="E87" s="96"/>
      <c r="F87" s="72">
        <f>SUM(F88:F89)</f>
        <v>2781474</v>
      </c>
      <c r="G87" s="72"/>
      <c r="H87" s="72">
        <f>SUM(H88:H89)</f>
        <v>2781474</v>
      </c>
      <c r="I87" s="72"/>
      <c r="J87" s="72">
        <f>SUM(J88:J89)</f>
        <v>2781474.0375239998</v>
      </c>
      <c r="K87" s="62" t="s">
        <v>232</v>
      </c>
      <c r="L87" s="72">
        <f>SUM(L88:L89)</f>
        <v>0</v>
      </c>
      <c r="M87" s="72">
        <f>SUM(M88:M89)</f>
        <v>0</v>
      </c>
      <c r="N87" s="73">
        <f t="shared" si="33"/>
        <v>2781474.0375239998</v>
      </c>
      <c r="O87" s="97">
        <f>SUM(O88:O89)</f>
        <v>1988364.74</v>
      </c>
      <c r="P87" s="98">
        <f>SUM(P88:P89)</f>
        <v>2781474</v>
      </c>
      <c r="Q87" s="85">
        <f t="shared" si="34"/>
        <v>0.99999998650931154</v>
      </c>
      <c r="R87" s="85">
        <v>0.99999998650931154</v>
      </c>
      <c r="S87" s="85">
        <f t="shared" si="24"/>
        <v>0</v>
      </c>
      <c r="T87" s="85">
        <f t="shared" si="35"/>
        <v>0.99999998650931154</v>
      </c>
      <c r="U87" s="99">
        <f>SUM(U88:U89)</f>
        <v>2781474</v>
      </c>
      <c r="V87" s="85">
        <f t="shared" si="31"/>
        <v>0.99999998650931154</v>
      </c>
      <c r="W87" s="85">
        <v>0.99999998650931154</v>
      </c>
      <c r="X87" s="85">
        <f t="shared" si="25"/>
        <v>0</v>
      </c>
      <c r="Y87" s="85">
        <f t="shared" si="36"/>
        <v>0.99999998650931154</v>
      </c>
      <c r="Z87" s="99">
        <f>SUM(Z88:Z89)</f>
        <v>1362419.03</v>
      </c>
      <c r="AA87" s="99">
        <f>SUM(AA88:AA89)</f>
        <v>0</v>
      </c>
      <c r="AB87" s="99">
        <f>SUM(AB88:AB89)</f>
        <v>0</v>
      </c>
      <c r="AC87" s="99">
        <f>SUM(AC88:AC89)</f>
        <v>0</v>
      </c>
      <c r="AD87" s="99">
        <f>SUM(AD88:AD89)</f>
        <v>0</v>
      </c>
      <c r="AE87" s="100">
        <f t="shared" si="26"/>
        <v>1362419.03</v>
      </c>
      <c r="AF87" s="101">
        <f t="shared" si="27"/>
        <v>1362419.03</v>
      </c>
      <c r="AG87" s="238">
        <f>SUM(AG88:AG89)</f>
        <v>1362419.03</v>
      </c>
      <c r="AH87" s="75">
        <f t="shared" si="32"/>
        <v>0.4898190713341305</v>
      </c>
      <c r="AI87" s="75">
        <v>0.4898190713341305</v>
      </c>
      <c r="AJ87" s="75">
        <f t="shared" si="29"/>
        <v>0</v>
      </c>
      <c r="AK87" s="80">
        <f t="shared" si="37"/>
        <v>0.4898190713341305</v>
      </c>
      <c r="AL87" s="72"/>
      <c r="AM87" s="81"/>
      <c r="AN87" s="81"/>
      <c r="AO87" s="81"/>
      <c r="AP87" s="72"/>
      <c r="AQ87" s="81"/>
      <c r="AR87" s="81"/>
      <c r="AS87" s="82"/>
    </row>
    <row r="88" spans="1:45" ht="115.5">
      <c r="A88" s="69" t="s">
        <v>37</v>
      </c>
      <c r="B88" s="70" t="s">
        <v>347</v>
      </c>
      <c r="C88" s="71" t="s">
        <v>230</v>
      </c>
      <c r="D88" s="71" t="s">
        <v>348</v>
      </c>
      <c r="E88" s="71"/>
      <c r="F88" s="72">
        <v>2781474</v>
      </c>
      <c r="G88" s="72"/>
      <c r="H88" s="72">
        <v>2781474</v>
      </c>
      <c r="I88" s="72"/>
      <c r="J88" s="72">
        <v>2781474.0375239998</v>
      </c>
      <c r="K88" s="62" t="s">
        <v>232</v>
      </c>
      <c r="L88" s="72">
        <v>0</v>
      </c>
      <c r="M88" s="72"/>
      <c r="N88" s="73">
        <f t="shared" si="33"/>
        <v>2781474.0375239998</v>
      </c>
      <c r="O88" s="74">
        <v>1988364.74</v>
      </c>
      <c r="P88" s="90">
        <v>2781474</v>
      </c>
      <c r="Q88" s="85">
        <f t="shared" si="34"/>
        <v>0.99999998650931154</v>
      </c>
      <c r="R88" s="86">
        <v>0.99999998650931154</v>
      </c>
      <c r="S88" s="85">
        <f t="shared" si="24"/>
        <v>0</v>
      </c>
      <c r="T88" s="85">
        <f t="shared" si="35"/>
        <v>0.99999998650931154</v>
      </c>
      <c r="U88" s="89">
        <f>P88</f>
        <v>2781474</v>
      </c>
      <c r="V88" s="85">
        <f t="shared" si="31"/>
        <v>0.99999998650931154</v>
      </c>
      <c r="W88" s="86">
        <v>0.99999998650931154</v>
      </c>
      <c r="X88" s="85">
        <f t="shared" si="25"/>
        <v>0</v>
      </c>
      <c r="Y88" s="85">
        <f t="shared" si="36"/>
        <v>0.99999998650931154</v>
      </c>
      <c r="Z88" s="89">
        <v>1362419.03</v>
      </c>
      <c r="AA88" s="89">
        <v>0</v>
      </c>
      <c r="AB88" s="89">
        <v>0</v>
      </c>
      <c r="AC88" s="89">
        <v>0</v>
      </c>
      <c r="AD88" s="89">
        <v>0</v>
      </c>
      <c r="AE88" s="77">
        <f t="shared" si="26"/>
        <v>1362419.03</v>
      </c>
      <c r="AF88" s="79">
        <f t="shared" si="27"/>
        <v>1362419.03</v>
      </c>
      <c r="AG88" s="237">
        <f>SUM(Z88:AB88)</f>
        <v>1362419.03</v>
      </c>
      <c r="AH88" s="75">
        <f t="shared" si="32"/>
        <v>0.4898190713341305</v>
      </c>
      <c r="AI88" s="75">
        <v>0.4898190713341305</v>
      </c>
      <c r="AJ88" s="75">
        <f t="shared" si="29"/>
        <v>0</v>
      </c>
      <c r="AK88" s="80">
        <f t="shared" si="37"/>
        <v>0.4898190713341305</v>
      </c>
      <c r="AL88" s="72"/>
      <c r="AM88" s="81"/>
      <c r="AN88" s="81"/>
      <c r="AO88" s="81"/>
      <c r="AP88" s="72"/>
      <c r="AQ88" s="81"/>
      <c r="AR88" s="81"/>
      <c r="AS88" s="82"/>
    </row>
    <row r="89" spans="1:45" ht="49.5">
      <c r="A89" s="69" t="s">
        <v>38</v>
      </c>
      <c r="B89" s="70" t="s">
        <v>349</v>
      </c>
      <c r="C89" s="71" t="s">
        <v>230</v>
      </c>
      <c r="D89" s="71" t="s">
        <v>350</v>
      </c>
      <c r="E89" s="71"/>
      <c r="F89" s="72">
        <v>0</v>
      </c>
      <c r="G89" s="72"/>
      <c r="H89" s="72">
        <v>0</v>
      </c>
      <c r="I89" s="72"/>
      <c r="J89" s="72">
        <v>0</v>
      </c>
      <c r="K89" s="62" t="s">
        <v>232</v>
      </c>
      <c r="L89" s="72">
        <v>0</v>
      </c>
      <c r="M89" s="72"/>
      <c r="N89" s="73">
        <f t="shared" si="33"/>
        <v>0</v>
      </c>
      <c r="O89" s="74">
        <v>0</v>
      </c>
      <c r="P89" s="90">
        <v>0</v>
      </c>
      <c r="Q89" s="85"/>
      <c r="R89" s="86"/>
      <c r="S89" s="85">
        <f t="shared" si="24"/>
        <v>0</v>
      </c>
      <c r="T89" s="85" t="e">
        <f t="shared" si="35"/>
        <v>#DIV/0!</v>
      </c>
      <c r="U89" s="89">
        <v>0</v>
      </c>
      <c r="V89" s="85"/>
      <c r="W89" s="86"/>
      <c r="X89" s="85">
        <f t="shared" si="25"/>
        <v>0</v>
      </c>
      <c r="Y89" s="85" t="e">
        <f t="shared" si="36"/>
        <v>#DIV/0!</v>
      </c>
      <c r="Z89" s="91">
        <v>0</v>
      </c>
      <c r="AA89" s="91">
        <v>0</v>
      </c>
      <c r="AB89" s="91">
        <v>0</v>
      </c>
      <c r="AC89" s="89">
        <v>0</v>
      </c>
      <c r="AD89" s="89">
        <v>0</v>
      </c>
      <c r="AE89" s="77">
        <f t="shared" si="26"/>
        <v>0</v>
      </c>
      <c r="AF89" s="79">
        <f t="shared" si="27"/>
        <v>0</v>
      </c>
      <c r="AG89" s="237">
        <f>SUM(Z89:AB89)</f>
        <v>0</v>
      </c>
      <c r="AH89" s="75"/>
      <c r="AI89" s="75"/>
      <c r="AJ89" s="75">
        <f t="shared" si="29"/>
        <v>0</v>
      </c>
      <c r="AK89" s="80" t="e">
        <f t="shared" si="37"/>
        <v>#DIV/0!</v>
      </c>
      <c r="AL89" s="72"/>
      <c r="AM89" s="81"/>
      <c r="AN89" s="81"/>
      <c r="AO89" s="81"/>
      <c r="AP89" s="72"/>
      <c r="AQ89" s="81"/>
      <c r="AR89" s="81"/>
      <c r="AS89" s="82"/>
    </row>
    <row r="90" spans="1:45" ht="115.5">
      <c r="A90" s="69" t="s">
        <v>39</v>
      </c>
      <c r="B90" s="70" t="s">
        <v>351</v>
      </c>
      <c r="C90" s="71" t="s">
        <v>230</v>
      </c>
      <c r="D90" s="71" t="s">
        <v>350</v>
      </c>
      <c r="E90" s="71"/>
      <c r="F90" s="83">
        <v>1723395</v>
      </c>
      <c r="G90" s="72"/>
      <c r="H90" s="83">
        <v>1723395</v>
      </c>
      <c r="I90" s="72"/>
      <c r="J90" s="72">
        <f>H90</f>
        <v>1723395</v>
      </c>
      <c r="K90" s="62" t="s">
        <v>232</v>
      </c>
      <c r="L90" s="72">
        <v>0</v>
      </c>
      <c r="M90" s="72"/>
      <c r="N90" s="73">
        <f t="shared" si="33"/>
        <v>1723395</v>
      </c>
      <c r="O90" s="74">
        <v>1626849.1600000001</v>
      </c>
      <c r="P90" s="102">
        <v>1761644.56</v>
      </c>
      <c r="Q90" s="103">
        <f t="shared" ref="Q90:Q117" si="38">P90/J90</f>
        <v>1.0221943083274583</v>
      </c>
      <c r="R90" s="86">
        <v>0.9998885029920408</v>
      </c>
      <c r="S90" s="85">
        <f t="shared" si="24"/>
        <v>2.2305805335417483E-2</v>
      </c>
      <c r="T90" s="85">
        <f t="shared" si="35"/>
        <v>1.0221943083274583</v>
      </c>
      <c r="U90" s="89">
        <v>1761644.56</v>
      </c>
      <c r="V90" s="85">
        <f t="shared" ref="V90:V117" si="39">U90/J90</f>
        <v>1.0221943083274583</v>
      </c>
      <c r="W90" s="86">
        <v>0.9998885029920408</v>
      </c>
      <c r="X90" s="111">
        <f t="shared" si="25"/>
        <v>2.2305805335417483E-2</v>
      </c>
      <c r="Y90" s="85">
        <f t="shared" si="36"/>
        <v>1.0221943083274583</v>
      </c>
      <c r="Z90" s="87">
        <v>885711.99</v>
      </c>
      <c r="AA90" s="89">
        <v>0</v>
      </c>
      <c r="AB90" s="89">
        <v>0</v>
      </c>
      <c r="AC90" s="89">
        <v>0</v>
      </c>
      <c r="AD90" s="89">
        <v>0</v>
      </c>
      <c r="AE90" s="77">
        <f t="shared" si="26"/>
        <v>885711.99</v>
      </c>
      <c r="AF90" s="79">
        <f t="shared" si="27"/>
        <v>885711.99</v>
      </c>
      <c r="AG90" s="237">
        <f>SUM(Z90:AB90)</f>
        <v>885711.99</v>
      </c>
      <c r="AH90" s="107">
        <f t="shared" ref="AH90:AH117" si="40">AG90/J90</f>
        <v>0.51393440853663841</v>
      </c>
      <c r="AI90" s="107">
        <v>0.39083463263711082</v>
      </c>
      <c r="AJ90" s="107">
        <f t="shared" si="29"/>
        <v>0.12309977589952759</v>
      </c>
      <c r="AK90" s="80">
        <f t="shared" si="37"/>
        <v>0.51393440853663841</v>
      </c>
      <c r="AL90" s="72"/>
      <c r="AM90" s="81"/>
      <c r="AN90" s="81"/>
      <c r="AO90" s="81"/>
      <c r="AP90" s="72"/>
      <c r="AQ90" s="81"/>
      <c r="AR90" s="81"/>
      <c r="AS90" s="82"/>
    </row>
    <row r="91" spans="1:45" s="18" customFormat="1" ht="115.5">
      <c r="A91" s="94" t="s">
        <v>352</v>
      </c>
      <c r="B91" s="95" t="s">
        <v>353</v>
      </c>
      <c r="C91" s="96" t="s">
        <v>230</v>
      </c>
      <c r="D91" s="96" t="s">
        <v>350</v>
      </c>
      <c r="E91" s="96"/>
      <c r="F91" s="72">
        <f>SUM(F92:F93)</f>
        <v>794609.06792399997</v>
      </c>
      <c r="G91" s="72"/>
      <c r="H91" s="72">
        <f>SUM(H92:H93)</f>
        <v>794609.06792399997</v>
      </c>
      <c r="I91" s="72"/>
      <c r="J91" s="72">
        <f>SUM(J92:J93)</f>
        <v>794609.06792399997</v>
      </c>
      <c r="K91" s="62" t="s">
        <v>232</v>
      </c>
      <c r="L91" s="72">
        <f>SUM(L92:L93)</f>
        <v>0</v>
      </c>
      <c r="M91" s="72">
        <f>SUM(M92:M93)</f>
        <v>0</v>
      </c>
      <c r="N91" s="73">
        <f t="shared" si="33"/>
        <v>794609.06792399997</v>
      </c>
      <c r="O91" s="97">
        <f>SUM(O92:O93)</f>
        <v>929258.82999999984</v>
      </c>
      <c r="P91" s="90">
        <v>794456.07</v>
      </c>
      <c r="Q91" s="85">
        <f t="shared" si="38"/>
        <v>0.99980745509939906</v>
      </c>
      <c r="R91" s="85">
        <v>0.99824375916292196</v>
      </c>
      <c r="S91" s="85">
        <f t="shared" si="24"/>
        <v>1.5636959364770942E-3</v>
      </c>
      <c r="T91" s="85">
        <f t="shared" si="35"/>
        <v>0.99980745509939906</v>
      </c>
      <c r="U91" s="90">
        <v>759694.44</v>
      </c>
      <c r="V91" s="85">
        <f t="shared" si="39"/>
        <v>0.95606062234449685</v>
      </c>
      <c r="W91" s="85">
        <v>0.9235908855072883</v>
      </c>
      <c r="X91" s="85">
        <f t="shared" si="25"/>
        <v>3.2469736837208552E-2</v>
      </c>
      <c r="Y91" s="85">
        <f t="shared" si="36"/>
        <v>0.95606062234449685</v>
      </c>
      <c r="Z91" s="99">
        <f>SUM(Z92:Z93)</f>
        <v>681148.49</v>
      </c>
      <c r="AA91" s="99">
        <f>SUM(AA92:AA93)</f>
        <v>0</v>
      </c>
      <c r="AB91" s="99">
        <f>SUM(AB92:AB93)</f>
        <v>57811.66</v>
      </c>
      <c r="AC91" s="99">
        <f>SUM(AC92:AC93)</f>
        <v>55404.149999999907</v>
      </c>
      <c r="AD91" s="99">
        <f>SUM(AD92:AD93)</f>
        <v>3927.54</v>
      </c>
      <c r="AE91" s="100">
        <f t="shared" si="26"/>
        <v>735032.60999999987</v>
      </c>
      <c r="AF91" s="101">
        <f t="shared" si="27"/>
        <v>736552.6399999999</v>
      </c>
      <c r="AG91" s="242">
        <f>SUM(AG92:AG93)</f>
        <v>738960.14999999991</v>
      </c>
      <c r="AH91" s="75">
        <f>AG91/J91</f>
        <v>0.92996692314449825</v>
      </c>
      <c r="AI91" s="75">
        <v>0.92833373324606427</v>
      </c>
      <c r="AJ91" s="75">
        <f t="shared" si="29"/>
        <v>1.6331898984339732E-3</v>
      </c>
      <c r="AK91" s="80">
        <f t="shared" si="37"/>
        <v>0.92996692314449825</v>
      </c>
      <c r="AL91" s="72"/>
      <c r="AM91" s="81"/>
      <c r="AN91" s="81"/>
      <c r="AO91" s="81"/>
      <c r="AP91" s="72"/>
      <c r="AQ91" s="81"/>
      <c r="AR91" s="81"/>
      <c r="AS91" s="82"/>
    </row>
    <row r="92" spans="1:45" ht="99">
      <c r="A92" s="69" t="s">
        <v>354</v>
      </c>
      <c r="B92" s="70" t="s">
        <v>355</v>
      </c>
      <c r="C92" s="71" t="s">
        <v>230</v>
      </c>
      <c r="D92" s="71" t="s">
        <v>350</v>
      </c>
      <c r="E92" s="71"/>
      <c r="F92" s="72">
        <v>341103</v>
      </c>
      <c r="G92" s="72"/>
      <c r="H92" s="72">
        <v>341103</v>
      </c>
      <c r="I92" s="72"/>
      <c r="J92" s="72">
        <f>H92</f>
        <v>341103</v>
      </c>
      <c r="K92" s="62" t="s">
        <v>232</v>
      </c>
      <c r="L92" s="72">
        <v>0</v>
      </c>
      <c r="M92" s="72"/>
      <c r="N92" s="73">
        <f t="shared" si="33"/>
        <v>341103</v>
      </c>
      <c r="O92" s="74">
        <v>411488.88999999996</v>
      </c>
      <c r="P92" s="90">
        <v>341103.3</v>
      </c>
      <c r="Q92" s="85">
        <f t="shared" si="38"/>
        <v>1.0000008794997406</v>
      </c>
      <c r="R92" s="86">
        <v>1.0000008794997406</v>
      </c>
      <c r="S92" s="85">
        <f t="shared" si="24"/>
        <v>0</v>
      </c>
      <c r="T92" s="85">
        <f t="shared" si="35"/>
        <v>1.0000008794997406</v>
      </c>
      <c r="U92" s="89">
        <v>341103.3</v>
      </c>
      <c r="V92" s="85">
        <f t="shared" si="39"/>
        <v>1.0000008794997406</v>
      </c>
      <c r="W92" s="86">
        <v>1.0000008794997406</v>
      </c>
      <c r="X92" s="85">
        <f t="shared" si="25"/>
        <v>0</v>
      </c>
      <c r="Y92" s="85">
        <f t="shared" si="36"/>
        <v>1.0000008794997406</v>
      </c>
      <c r="Z92" s="89">
        <v>315151.14</v>
      </c>
      <c r="AA92" s="89">
        <v>0</v>
      </c>
      <c r="AB92" s="89">
        <v>26366.92</v>
      </c>
      <c r="AC92" s="89">
        <v>25952.159999999902</v>
      </c>
      <c r="AD92" s="89">
        <v>414.77</v>
      </c>
      <c r="AE92" s="77">
        <f t="shared" si="26"/>
        <v>341103.29</v>
      </c>
      <c r="AF92" s="79">
        <f t="shared" si="27"/>
        <v>341103.29999999993</v>
      </c>
      <c r="AG92" s="237">
        <f>SUM(Z92:AB92)</f>
        <v>341518.06</v>
      </c>
      <c r="AH92" s="75">
        <f>AG92/J92</f>
        <v>1.0012168172077056</v>
      </c>
      <c r="AI92" s="75">
        <v>1.0012168172077056</v>
      </c>
      <c r="AJ92" s="75">
        <f t="shared" si="29"/>
        <v>0</v>
      </c>
      <c r="AK92" s="80">
        <f t="shared" si="37"/>
        <v>1.0012168172077056</v>
      </c>
      <c r="AL92" s="72"/>
      <c r="AM92" s="81"/>
      <c r="AN92" s="81"/>
      <c r="AO92" s="81"/>
      <c r="AP92" s="72"/>
      <c r="AQ92" s="81"/>
      <c r="AR92" s="81"/>
      <c r="AS92" s="82"/>
    </row>
    <row r="93" spans="1:45" ht="115.5">
      <c r="A93" s="69" t="s">
        <v>41</v>
      </c>
      <c r="B93" s="70" t="s">
        <v>356</v>
      </c>
      <c r="C93" s="71" t="s">
        <v>230</v>
      </c>
      <c r="D93" s="71" t="s">
        <v>350</v>
      </c>
      <c r="E93" s="71"/>
      <c r="F93" s="83">
        <v>453506.06792399997</v>
      </c>
      <c r="G93" s="72"/>
      <c r="H93" s="83">
        <v>453506.06792399997</v>
      </c>
      <c r="I93" s="72"/>
      <c r="J93" s="83">
        <f>H93</f>
        <v>453506.06792399997</v>
      </c>
      <c r="K93" s="62" t="s">
        <v>232</v>
      </c>
      <c r="L93" s="72">
        <v>0</v>
      </c>
      <c r="M93" s="72"/>
      <c r="N93" s="73">
        <f t="shared" si="33"/>
        <v>453506.06792399997</v>
      </c>
      <c r="O93" s="74">
        <v>517769.93999999994</v>
      </c>
      <c r="P93" s="108">
        <v>453352.77</v>
      </c>
      <c r="Q93" s="85">
        <f t="shared" si="38"/>
        <v>0.9996619716144004</v>
      </c>
      <c r="R93" s="86">
        <v>0.99692620860665104</v>
      </c>
      <c r="S93" s="85">
        <f t="shared" si="24"/>
        <v>2.7357630077493589E-3</v>
      </c>
      <c r="T93" s="85">
        <f t="shared" si="35"/>
        <v>0.9996619716144004</v>
      </c>
      <c r="U93" s="90">
        <v>418591.14</v>
      </c>
      <c r="V93" s="85">
        <f t="shared" si="39"/>
        <v>0.92301111188251816</v>
      </c>
      <c r="W93" s="86">
        <v>0.86629598772488259</v>
      </c>
      <c r="X93" s="85">
        <f t="shared" si="25"/>
        <v>5.6715124157635577E-2</v>
      </c>
      <c r="Y93" s="85">
        <f t="shared" si="36"/>
        <v>0.92301111188251816</v>
      </c>
      <c r="Z93" s="87">
        <v>365997.35</v>
      </c>
      <c r="AA93" s="89">
        <v>0</v>
      </c>
      <c r="AB93" s="89">
        <v>31444.74</v>
      </c>
      <c r="AC93" s="89">
        <v>29451.99</v>
      </c>
      <c r="AD93" s="89">
        <v>3512.77</v>
      </c>
      <c r="AE93" s="77">
        <f t="shared" si="26"/>
        <v>393929.31999999995</v>
      </c>
      <c r="AF93" s="79">
        <f t="shared" si="27"/>
        <v>395449.33999999997</v>
      </c>
      <c r="AG93" s="237">
        <f>SUM(Z93:AB93)</f>
        <v>397442.08999999997</v>
      </c>
      <c r="AH93" s="75">
        <f t="shared" si="40"/>
        <v>0.876376564969368</v>
      </c>
      <c r="AI93" s="75">
        <v>0.87368343650528457</v>
      </c>
      <c r="AJ93" s="75">
        <f t="shared" si="29"/>
        <v>2.6931284640834274E-3</v>
      </c>
      <c r="AK93" s="80">
        <f t="shared" si="37"/>
        <v>0.876376564969368</v>
      </c>
      <c r="AL93" s="72"/>
      <c r="AM93" s="81"/>
      <c r="AN93" s="81"/>
      <c r="AO93" s="81"/>
      <c r="AP93" s="72"/>
      <c r="AQ93" s="81"/>
      <c r="AR93" s="81"/>
      <c r="AS93" s="82"/>
    </row>
    <row r="94" spans="1:45" s="18" customFormat="1" ht="66">
      <c r="A94" s="59" t="s">
        <v>357</v>
      </c>
      <c r="B94" s="60" t="s">
        <v>358</v>
      </c>
      <c r="C94" s="61" t="s">
        <v>230</v>
      </c>
      <c r="D94" s="61" t="s">
        <v>350</v>
      </c>
      <c r="E94" s="61"/>
      <c r="F94" s="62">
        <f>F95+F96</f>
        <v>5761702.2930199997</v>
      </c>
      <c r="G94" s="62"/>
      <c r="H94" s="62">
        <f>H95+H96</f>
        <v>5761702.2930199997</v>
      </c>
      <c r="I94" s="62"/>
      <c r="J94" s="62">
        <f>J95+J96</f>
        <v>5761702.2930199997</v>
      </c>
      <c r="K94" s="62" t="s">
        <v>232</v>
      </c>
      <c r="L94" s="62">
        <f>L95+L96</f>
        <v>0</v>
      </c>
      <c r="M94" s="62">
        <f>M95+M96</f>
        <v>0</v>
      </c>
      <c r="N94" s="41">
        <f t="shared" si="33"/>
        <v>5761702.2930199997</v>
      </c>
      <c r="O94" s="63">
        <f>O95+O96</f>
        <v>4290282.95</v>
      </c>
      <c r="P94" s="92">
        <f>P95+P96</f>
        <v>5495892.8299999991</v>
      </c>
      <c r="Q94" s="93">
        <f t="shared" si="38"/>
        <v>0.95386615803770092</v>
      </c>
      <c r="R94" s="93">
        <v>0.96645725671971028</v>
      </c>
      <c r="S94" s="93">
        <f t="shared" si="24"/>
        <v>-1.2591098682009361E-2</v>
      </c>
      <c r="T94" s="93">
        <f t="shared" si="35"/>
        <v>0.95386615803770092</v>
      </c>
      <c r="U94" s="92">
        <f>U95+U96</f>
        <v>5495892.8299999991</v>
      </c>
      <c r="V94" s="93">
        <f t="shared" si="39"/>
        <v>0.95386615803770092</v>
      </c>
      <c r="W94" s="93">
        <v>0.96308340854040175</v>
      </c>
      <c r="X94" s="93">
        <f t="shared" si="25"/>
        <v>-9.2172505027008356E-3</v>
      </c>
      <c r="Y94" s="93">
        <f t="shared" si="36"/>
        <v>0.95386615803770092</v>
      </c>
      <c r="Z94" s="92">
        <f>Z95+Z96</f>
        <v>2850683.04</v>
      </c>
      <c r="AA94" s="92">
        <f>AA95+AA96</f>
        <v>0</v>
      </c>
      <c r="AB94" s="92">
        <f>AB95+AB96</f>
        <v>1027462.29</v>
      </c>
      <c r="AC94" s="92">
        <f>AC95+AC96</f>
        <v>439976.68999999994</v>
      </c>
      <c r="AD94" s="92">
        <f>AD95+AD96</f>
        <v>49216.959999999992</v>
      </c>
      <c r="AE94" s="64">
        <f t="shared" si="26"/>
        <v>3828928.37</v>
      </c>
      <c r="AF94" s="64">
        <f t="shared" si="27"/>
        <v>3290659.73</v>
      </c>
      <c r="AG94" s="234">
        <f>AG95+AG96</f>
        <v>3878145.33</v>
      </c>
      <c r="AH94" s="65">
        <f t="shared" si="40"/>
        <v>0.67309019674587667</v>
      </c>
      <c r="AI94" s="65">
        <v>0.63598763843219941</v>
      </c>
      <c r="AJ94" s="65">
        <f t="shared" si="29"/>
        <v>3.7102558313677259E-2</v>
      </c>
      <c r="AK94" s="44">
        <f t="shared" si="37"/>
        <v>0.67309019674587667</v>
      </c>
      <c r="AL94" s="62"/>
      <c r="AM94" s="67"/>
      <c r="AN94" s="67"/>
      <c r="AO94" s="67"/>
      <c r="AP94" s="62"/>
      <c r="AQ94" s="67"/>
      <c r="AR94" s="67"/>
      <c r="AS94" s="68"/>
    </row>
    <row r="95" spans="1:45" ht="132">
      <c r="A95" s="69" t="s">
        <v>42</v>
      </c>
      <c r="B95" s="70" t="s">
        <v>359</v>
      </c>
      <c r="C95" s="71" t="s">
        <v>230</v>
      </c>
      <c r="D95" s="71" t="s">
        <v>350</v>
      </c>
      <c r="E95" s="71"/>
      <c r="F95" s="72">
        <v>55106</v>
      </c>
      <c r="G95" s="72"/>
      <c r="H95" s="72">
        <v>55106</v>
      </c>
      <c r="I95" s="72"/>
      <c r="J95" s="72">
        <f>H95</f>
        <v>55106</v>
      </c>
      <c r="K95" s="62" t="s">
        <v>232</v>
      </c>
      <c r="L95" s="72">
        <v>0</v>
      </c>
      <c r="M95" s="72"/>
      <c r="N95" s="73">
        <f t="shared" si="33"/>
        <v>55106</v>
      </c>
      <c r="O95" s="74">
        <v>71563.47</v>
      </c>
      <c r="P95" s="90">
        <v>51187.06</v>
      </c>
      <c r="Q95" s="85">
        <f t="shared" si="38"/>
        <v>0.92888360614089205</v>
      </c>
      <c r="R95" s="86">
        <v>0.92888360614089205</v>
      </c>
      <c r="S95" s="85">
        <f t="shared" si="24"/>
        <v>0</v>
      </c>
      <c r="T95" s="85">
        <f t="shared" si="35"/>
        <v>0.92888360614089205</v>
      </c>
      <c r="U95" s="89">
        <v>51187.06</v>
      </c>
      <c r="V95" s="85">
        <f t="shared" si="39"/>
        <v>0.92888360614089205</v>
      </c>
      <c r="W95" s="86">
        <v>0.92888360614089205</v>
      </c>
      <c r="X95" s="85">
        <f t="shared" si="25"/>
        <v>0</v>
      </c>
      <c r="Y95" s="85">
        <f t="shared" si="36"/>
        <v>0.92888360614089205</v>
      </c>
      <c r="Z95" s="89">
        <f>60434.93-5329.06</f>
        <v>55105.87</v>
      </c>
      <c r="AA95" s="89">
        <v>0</v>
      </c>
      <c r="AB95" s="89">
        <v>0</v>
      </c>
      <c r="AC95" s="89">
        <v>0</v>
      </c>
      <c r="AD95" s="89">
        <v>3918.81</v>
      </c>
      <c r="AE95" s="77">
        <f t="shared" si="26"/>
        <v>51187.060000000005</v>
      </c>
      <c r="AF95" s="79">
        <f t="shared" si="27"/>
        <v>55105.87</v>
      </c>
      <c r="AG95" s="237">
        <f>SUM(Z95:AB95)</f>
        <v>55105.87</v>
      </c>
      <c r="AH95" s="75">
        <f t="shared" si="40"/>
        <v>0.99999764091024579</v>
      </c>
      <c r="AI95" s="75">
        <v>0.99999764091024579</v>
      </c>
      <c r="AJ95" s="75">
        <f t="shared" si="29"/>
        <v>0</v>
      </c>
      <c r="AK95" s="80">
        <f t="shared" si="37"/>
        <v>0.99999764091024579</v>
      </c>
      <c r="AL95" s="72"/>
      <c r="AM95" s="81"/>
      <c r="AN95" s="81"/>
      <c r="AO95" s="81"/>
      <c r="AP95" s="72"/>
      <c r="AQ95" s="81"/>
      <c r="AR95" s="81"/>
      <c r="AS95" s="82"/>
    </row>
    <row r="96" spans="1:45" s="18" customFormat="1" ht="115.5">
      <c r="A96" s="94" t="s">
        <v>360</v>
      </c>
      <c r="B96" s="95" t="s">
        <v>361</v>
      </c>
      <c r="C96" s="96" t="s">
        <v>230</v>
      </c>
      <c r="D96" s="96" t="s">
        <v>350</v>
      </c>
      <c r="E96" s="96"/>
      <c r="F96" s="72">
        <f>SUM(F97:F99)</f>
        <v>5706596.2930199997</v>
      </c>
      <c r="G96" s="72"/>
      <c r="H96" s="72">
        <f>SUM(H97:H99)</f>
        <v>5706596.2930199997</v>
      </c>
      <c r="I96" s="72"/>
      <c r="J96" s="72">
        <f>SUM(J97:J99)</f>
        <v>5706596.2930199997</v>
      </c>
      <c r="K96" s="62" t="s">
        <v>232</v>
      </c>
      <c r="L96" s="72">
        <f>SUM(L97:L99)</f>
        <v>0</v>
      </c>
      <c r="M96" s="72">
        <f>SUM(M97:M99)</f>
        <v>0</v>
      </c>
      <c r="N96" s="73">
        <f t="shared" si="33"/>
        <v>5706596.2930199997</v>
      </c>
      <c r="O96" s="112">
        <f>O97+O98+O99</f>
        <v>4218719.4800000004</v>
      </c>
      <c r="P96" s="102">
        <f>SUM(P97:P99)</f>
        <v>5444705.7699999996</v>
      </c>
      <c r="Q96" s="85">
        <f t="shared" si="38"/>
        <v>0.95410740315723219</v>
      </c>
      <c r="R96" s="85">
        <v>0.96682263950158887</v>
      </c>
      <c r="S96" s="85">
        <f t="shared" si="24"/>
        <v>-1.2715236344356673E-2</v>
      </c>
      <c r="T96" s="85">
        <f t="shared" si="35"/>
        <v>0.95410740315723219</v>
      </c>
      <c r="U96" s="102">
        <f>SUM(U97:U99)</f>
        <v>5444705.7699999996</v>
      </c>
      <c r="V96" s="85">
        <f t="shared" si="39"/>
        <v>0.95410740315723219</v>
      </c>
      <c r="W96" s="85">
        <v>0.96341598253169425</v>
      </c>
      <c r="X96" s="85">
        <f t="shared" si="25"/>
        <v>-9.308579374462056E-3</v>
      </c>
      <c r="Y96" s="85">
        <f t="shared" si="36"/>
        <v>0.95410740315723219</v>
      </c>
      <c r="Z96" s="99">
        <f>SUM(Z97:Z99)</f>
        <v>2795577.17</v>
      </c>
      <c r="AA96" s="99">
        <f>SUM(AA97:AA99)</f>
        <v>0</v>
      </c>
      <c r="AB96" s="99">
        <f>SUM(AB97:AB99)</f>
        <v>1027462.29</v>
      </c>
      <c r="AC96" s="99">
        <f>SUM(AC97:AC99)</f>
        <v>439976.68999999994</v>
      </c>
      <c r="AD96" s="99">
        <f>SUM(AD97:AD99)</f>
        <v>45298.149999999994</v>
      </c>
      <c r="AE96" s="100">
        <f t="shared" si="26"/>
        <v>3777741.31</v>
      </c>
      <c r="AF96" s="101">
        <f t="shared" si="27"/>
        <v>3235553.86</v>
      </c>
      <c r="AG96" s="242">
        <f>SUM(AG97:AG99)</f>
        <v>3823039.46</v>
      </c>
      <c r="AH96" s="75">
        <f t="shared" si="40"/>
        <v>0.66993340052390515</v>
      </c>
      <c r="AI96" s="75">
        <v>0.63244784431349854</v>
      </c>
      <c r="AJ96" s="75">
        <f t="shared" si="29"/>
        <v>3.7485556210406612E-2</v>
      </c>
      <c r="AK96" s="80">
        <f t="shared" si="37"/>
        <v>0.66993340052390515</v>
      </c>
      <c r="AL96" s="72"/>
      <c r="AM96" s="81"/>
      <c r="AN96" s="81"/>
      <c r="AO96" s="81"/>
      <c r="AP96" s="72"/>
      <c r="AQ96" s="81"/>
      <c r="AR96" s="81"/>
      <c r="AS96" s="82"/>
    </row>
    <row r="97" spans="1:45" ht="82.5">
      <c r="A97" s="69" t="s">
        <v>43</v>
      </c>
      <c r="B97" s="70" t="s">
        <v>362</v>
      </c>
      <c r="C97" s="71" t="s">
        <v>230</v>
      </c>
      <c r="D97" s="71" t="s">
        <v>350</v>
      </c>
      <c r="E97" s="71"/>
      <c r="F97" s="83">
        <v>1901912.020308</v>
      </c>
      <c r="G97" s="72"/>
      <c r="H97" s="83">
        <v>1901912.020308</v>
      </c>
      <c r="I97" s="72"/>
      <c r="J97" s="83">
        <f>H97</f>
        <v>1901912.020308</v>
      </c>
      <c r="K97" s="62" t="s">
        <v>232</v>
      </c>
      <c r="L97" s="72">
        <v>0</v>
      </c>
      <c r="M97" s="72"/>
      <c r="N97" s="73">
        <f t="shared" si="33"/>
        <v>1901912.020308</v>
      </c>
      <c r="O97" s="74">
        <v>1414598.29</v>
      </c>
      <c r="P97" s="90">
        <v>1901911.42</v>
      </c>
      <c r="Q97" s="85">
        <f t="shared" si="38"/>
        <v>0.9999996843660518</v>
      </c>
      <c r="R97" s="86">
        <v>0.99704044376784151</v>
      </c>
      <c r="S97" s="85">
        <f t="shared" si="24"/>
        <v>2.9592405982102887E-3</v>
      </c>
      <c r="T97" s="85">
        <f t="shared" si="35"/>
        <v>0.9999996843660518</v>
      </c>
      <c r="U97" s="89">
        <v>1901911.42</v>
      </c>
      <c r="V97" s="85">
        <f t="shared" si="39"/>
        <v>0.9999996843660518</v>
      </c>
      <c r="W97" s="86">
        <v>0.99704044376784151</v>
      </c>
      <c r="X97" s="85">
        <f t="shared" si="25"/>
        <v>2.9592405982102887E-3</v>
      </c>
      <c r="Y97" s="85">
        <f t="shared" si="36"/>
        <v>0.9999996843660518</v>
      </c>
      <c r="Z97" s="87">
        <v>949076.85</v>
      </c>
      <c r="AA97" s="89">
        <v>0</v>
      </c>
      <c r="AB97" s="89">
        <v>279309.62</v>
      </c>
      <c r="AC97" s="89">
        <v>74153.960000000006</v>
      </c>
      <c r="AD97" s="89">
        <v>0</v>
      </c>
      <c r="AE97" s="77">
        <f t="shared" si="26"/>
        <v>1228386.47</v>
      </c>
      <c r="AF97" s="79">
        <f t="shared" si="27"/>
        <v>1023230.8099999999</v>
      </c>
      <c r="AG97" s="237">
        <f>SUM(Z97:AB97)</f>
        <v>1228386.47</v>
      </c>
      <c r="AH97" s="75">
        <f t="shared" si="40"/>
        <v>0.645869239419956</v>
      </c>
      <c r="AI97" s="75">
        <v>0.61453386484432226</v>
      </c>
      <c r="AJ97" s="75">
        <f t="shared" si="29"/>
        <v>3.1335374575633734E-2</v>
      </c>
      <c r="AK97" s="80">
        <f t="shared" si="37"/>
        <v>0.645869239419956</v>
      </c>
      <c r="AL97" s="72"/>
      <c r="AM97" s="81"/>
      <c r="AN97" s="81"/>
      <c r="AO97" s="81"/>
      <c r="AP97" s="72"/>
      <c r="AQ97" s="81"/>
      <c r="AR97" s="81"/>
      <c r="AS97" s="82"/>
    </row>
    <row r="98" spans="1:45" ht="82.5">
      <c r="A98" s="69" t="s">
        <v>363</v>
      </c>
      <c r="B98" s="70" t="s">
        <v>364</v>
      </c>
      <c r="C98" s="71" t="s">
        <v>230</v>
      </c>
      <c r="D98" s="71" t="s">
        <v>350</v>
      </c>
      <c r="E98" s="71"/>
      <c r="F98" s="83">
        <v>2259767.1666359999</v>
      </c>
      <c r="G98" s="72"/>
      <c r="H98" s="83">
        <v>2259767.1666359999</v>
      </c>
      <c r="I98" s="72"/>
      <c r="J98" s="83">
        <f>H98</f>
        <v>2259767.1666359999</v>
      </c>
      <c r="K98" s="62" t="s">
        <v>232</v>
      </c>
      <c r="L98" s="72">
        <v>0</v>
      </c>
      <c r="M98" s="72"/>
      <c r="N98" s="73">
        <f t="shared" si="33"/>
        <v>2259767.1666359999</v>
      </c>
      <c r="O98" s="74">
        <v>1379847.58</v>
      </c>
      <c r="P98" s="87">
        <v>2035143.98</v>
      </c>
      <c r="Q98" s="85">
        <f t="shared" si="38"/>
        <v>0.90059896879978785</v>
      </c>
      <c r="R98" s="86">
        <v>0.97535189172591708</v>
      </c>
      <c r="S98" s="85">
        <f t="shared" si="24"/>
        <v>-7.4752922926129228E-2</v>
      </c>
      <c r="T98" s="85">
        <f t="shared" si="35"/>
        <v>0.90059896879978785</v>
      </c>
      <c r="U98" s="108">
        <v>2035143.98</v>
      </c>
      <c r="V98" s="85">
        <f t="shared" si="39"/>
        <v>0.90059896879978785</v>
      </c>
      <c r="W98" s="86">
        <v>0.97535189172591708</v>
      </c>
      <c r="X98" s="85">
        <f t="shared" si="25"/>
        <v>-7.4752922926129228E-2</v>
      </c>
      <c r="Y98" s="85">
        <f t="shared" si="36"/>
        <v>0.90059896879978785</v>
      </c>
      <c r="Z98" s="87">
        <v>1011434.71</v>
      </c>
      <c r="AA98" s="89">
        <v>0</v>
      </c>
      <c r="AB98" s="87">
        <v>439236.96</v>
      </c>
      <c r="AC98" s="87">
        <v>196902.65</v>
      </c>
      <c r="AD98" s="89">
        <v>17587.559999999998</v>
      </c>
      <c r="AE98" s="77">
        <f t="shared" si="26"/>
        <v>1433084.1099999999</v>
      </c>
      <c r="AF98" s="79">
        <f t="shared" si="27"/>
        <v>1208337.3599999999</v>
      </c>
      <c r="AG98" s="237">
        <f>SUM(Z98:AB98)</f>
        <v>1450671.67</v>
      </c>
      <c r="AH98" s="75">
        <f t="shared" si="40"/>
        <v>0.64195625612152818</v>
      </c>
      <c r="AI98" s="75">
        <v>0.64253693488078012</v>
      </c>
      <c r="AJ98" s="75">
        <f t="shared" si="29"/>
        <v>-5.8067875925194024E-4</v>
      </c>
      <c r="AK98" s="80">
        <f t="shared" si="37"/>
        <v>0.64195625612152818</v>
      </c>
      <c r="AL98" s="72"/>
      <c r="AM98" s="81"/>
      <c r="AN98" s="81"/>
      <c r="AO98" s="81"/>
      <c r="AP98" s="72"/>
      <c r="AQ98" s="81"/>
      <c r="AR98" s="81"/>
      <c r="AS98" s="82"/>
    </row>
    <row r="99" spans="1:45" ht="165">
      <c r="A99" s="69" t="s">
        <v>365</v>
      </c>
      <c r="B99" s="70" t="s">
        <v>366</v>
      </c>
      <c r="C99" s="71" t="s">
        <v>230</v>
      </c>
      <c r="D99" s="71" t="s">
        <v>350</v>
      </c>
      <c r="E99" s="71"/>
      <c r="F99" s="83">
        <v>1544917.106076</v>
      </c>
      <c r="G99" s="72"/>
      <c r="H99" s="83">
        <v>1544917.106076</v>
      </c>
      <c r="I99" s="72"/>
      <c r="J99" s="83">
        <f>H99</f>
        <v>1544917.106076</v>
      </c>
      <c r="K99" s="62" t="s">
        <v>232</v>
      </c>
      <c r="L99" s="72">
        <v>0</v>
      </c>
      <c r="M99" s="72"/>
      <c r="N99" s="73">
        <f t="shared" si="33"/>
        <v>1544917.106076</v>
      </c>
      <c r="O99" s="74">
        <v>1424273.6099999999</v>
      </c>
      <c r="P99" s="87">
        <v>1507650.37</v>
      </c>
      <c r="Q99" s="85">
        <f t="shared" si="38"/>
        <v>0.97587784099908426</v>
      </c>
      <c r="R99" s="86">
        <v>0.9215831122070689</v>
      </c>
      <c r="S99" s="85">
        <f t="shared" si="24"/>
        <v>5.4294728792015357E-2</v>
      </c>
      <c r="T99" s="85">
        <f t="shared" si="35"/>
        <v>0.97587784099908426</v>
      </c>
      <c r="U99" s="108">
        <v>1507650.37</v>
      </c>
      <c r="V99" s="85">
        <f t="shared" si="39"/>
        <v>0.97587784099908426</v>
      </c>
      <c r="W99" s="86">
        <v>0.91001201184641378</v>
      </c>
      <c r="X99" s="85">
        <f t="shared" si="25"/>
        <v>6.5865829152670474E-2</v>
      </c>
      <c r="Y99" s="85">
        <f t="shared" si="36"/>
        <v>0.97587784099908426</v>
      </c>
      <c r="Z99" s="87">
        <v>835065.61</v>
      </c>
      <c r="AA99" s="89">
        <v>0</v>
      </c>
      <c r="AB99" s="89">
        <v>308915.71000000002</v>
      </c>
      <c r="AC99" s="87">
        <v>168920.08</v>
      </c>
      <c r="AD99" s="87">
        <v>27710.59</v>
      </c>
      <c r="AE99" s="77">
        <f t="shared" si="26"/>
        <v>1116270.73</v>
      </c>
      <c r="AF99" s="79">
        <f t="shared" si="27"/>
        <v>1003985.69</v>
      </c>
      <c r="AG99" s="237">
        <f>SUM(Z99:AB99)</f>
        <v>1143981.32</v>
      </c>
      <c r="AH99" s="75">
        <f t="shared" si="40"/>
        <v>0.74048071284914851</v>
      </c>
      <c r="AI99" s="75">
        <v>0.6402862583637875</v>
      </c>
      <c r="AJ99" s="75">
        <f t="shared" si="29"/>
        <v>0.10019445448536102</v>
      </c>
      <c r="AK99" s="80">
        <f t="shared" si="37"/>
        <v>0.74048071284914851</v>
      </c>
      <c r="AL99" s="72"/>
      <c r="AM99" s="81"/>
      <c r="AN99" s="81"/>
      <c r="AO99" s="81"/>
      <c r="AP99" s="72"/>
      <c r="AQ99" s="81"/>
      <c r="AR99" s="81"/>
      <c r="AS99" s="82"/>
    </row>
    <row r="100" spans="1:45" s="18" customFormat="1" ht="165">
      <c r="A100" s="59" t="s">
        <v>367</v>
      </c>
      <c r="B100" s="60" t="s">
        <v>368</v>
      </c>
      <c r="C100" s="61" t="s">
        <v>230</v>
      </c>
      <c r="D100" s="61" t="s">
        <v>369</v>
      </c>
      <c r="E100" s="61"/>
      <c r="F100" s="62">
        <f>SUM(F101:F102)</f>
        <v>5026716</v>
      </c>
      <c r="G100" s="62"/>
      <c r="H100" s="62">
        <f>SUM(H101:H102)</f>
        <v>5026716</v>
      </c>
      <c r="I100" s="62"/>
      <c r="J100" s="62">
        <f>SUM(J101:J102)</f>
        <v>5026716</v>
      </c>
      <c r="K100" s="62" t="s">
        <v>232</v>
      </c>
      <c r="L100" s="62">
        <f>SUM(L101:L102)</f>
        <v>0</v>
      </c>
      <c r="M100" s="62">
        <f>SUM(M101:M102)</f>
        <v>0</v>
      </c>
      <c r="N100" s="41">
        <f t="shared" si="33"/>
        <v>5026716</v>
      </c>
      <c r="O100" s="113">
        <f>SUM(O101:O102)</f>
        <v>4524426</v>
      </c>
      <c r="P100" s="92">
        <f>SUM(P101:P102)</f>
        <v>4884158.43</v>
      </c>
      <c r="Q100" s="114">
        <f t="shared" si="38"/>
        <v>0.9716400190502108</v>
      </c>
      <c r="R100" s="93">
        <v>0.97368552748951798</v>
      </c>
      <c r="S100" s="93">
        <f t="shared" si="24"/>
        <v>-2.0455084393071754E-3</v>
      </c>
      <c r="T100" s="93">
        <f t="shared" si="35"/>
        <v>0.9716400190502108</v>
      </c>
      <c r="U100" s="92">
        <f>SUM(U101:U102)</f>
        <v>4884158.43</v>
      </c>
      <c r="V100" s="93">
        <f t="shared" si="39"/>
        <v>0.9716400190502108</v>
      </c>
      <c r="W100" s="93">
        <v>0.97368552748951798</v>
      </c>
      <c r="X100" s="93">
        <f t="shared" si="25"/>
        <v>-2.0455084393071754E-3</v>
      </c>
      <c r="Y100" s="93">
        <f t="shared" si="36"/>
        <v>0.9716400190502108</v>
      </c>
      <c r="Z100" s="92">
        <f>SUM(Z101:Z102)</f>
        <v>1842537.71</v>
      </c>
      <c r="AA100" s="92">
        <f>SUM(AA101:AA102)</f>
        <v>0</v>
      </c>
      <c r="AB100" s="92">
        <f>SUM(AB101:AB102)</f>
        <v>2266167.27</v>
      </c>
      <c r="AC100" s="92">
        <f>SUM(AC101:AC102)</f>
        <v>1456932.560000001</v>
      </c>
      <c r="AD100" s="92">
        <f>SUM(AD101:AD102)</f>
        <v>28492.28</v>
      </c>
      <c r="AE100" s="64">
        <f t="shared" si="26"/>
        <v>4080212.7</v>
      </c>
      <c r="AF100" s="64">
        <f t="shared" si="27"/>
        <v>3299470.2700000009</v>
      </c>
      <c r="AG100" s="234">
        <f>SUM(AG101:AG102)</f>
        <v>4108704.98</v>
      </c>
      <c r="AH100" s="65">
        <f t="shared" si="40"/>
        <v>0.81737360535188386</v>
      </c>
      <c r="AI100" s="65">
        <v>0.79929526354781133</v>
      </c>
      <c r="AJ100" s="65">
        <f t="shared" si="29"/>
        <v>1.8078341804072529E-2</v>
      </c>
      <c r="AK100" s="44">
        <f t="shared" si="37"/>
        <v>0.81737360535188386</v>
      </c>
      <c r="AL100" s="62"/>
      <c r="AM100" s="67"/>
      <c r="AN100" s="67"/>
      <c r="AO100" s="67"/>
      <c r="AP100" s="62"/>
      <c r="AQ100" s="67"/>
      <c r="AR100" s="67"/>
      <c r="AS100" s="68"/>
    </row>
    <row r="101" spans="1:45" ht="99">
      <c r="A101" s="69" t="s">
        <v>370</v>
      </c>
      <c r="B101" s="70" t="s">
        <v>371</v>
      </c>
      <c r="C101" s="71" t="s">
        <v>230</v>
      </c>
      <c r="D101" s="71" t="s">
        <v>369</v>
      </c>
      <c r="E101" s="71"/>
      <c r="F101" s="72">
        <v>2543142</v>
      </c>
      <c r="G101" s="72"/>
      <c r="H101" s="72">
        <v>2543142</v>
      </c>
      <c r="I101" s="72"/>
      <c r="J101" s="72">
        <f>H101</f>
        <v>2543142</v>
      </c>
      <c r="K101" s="62" t="s">
        <v>232</v>
      </c>
      <c r="L101" s="72">
        <v>0</v>
      </c>
      <c r="M101" s="72"/>
      <c r="N101" s="73">
        <f t="shared" si="33"/>
        <v>2543142</v>
      </c>
      <c r="O101" s="115">
        <v>2384900</v>
      </c>
      <c r="P101" s="87">
        <v>2498253.77</v>
      </c>
      <c r="Q101" s="116">
        <f t="shared" si="38"/>
        <v>0.98234930255565756</v>
      </c>
      <c r="R101" s="86">
        <v>0.98328004098866684</v>
      </c>
      <c r="S101" s="85">
        <f t="shared" si="24"/>
        <v>-9.3073843300928161E-4</v>
      </c>
      <c r="T101" s="85">
        <f t="shared" si="35"/>
        <v>0.98234930255565756</v>
      </c>
      <c r="U101" s="87">
        <v>2498253.77</v>
      </c>
      <c r="V101" s="85">
        <f t="shared" si="39"/>
        <v>0.98234930255565756</v>
      </c>
      <c r="W101" s="86">
        <v>0.98328004098866684</v>
      </c>
      <c r="X101" s="85">
        <f t="shared" si="25"/>
        <v>-9.3073843300928161E-4</v>
      </c>
      <c r="Y101" s="85">
        <f t="shared" si="36"/>
        <v>0.98234930255565756</v>
      </c>
      <c r="Z101" s="87">
        <v>1156170.8600000001</v>
      </c>
      <c r="AA101" s="89">
        <v>0</v>
      </c>
      <c r="AB101" s="89">
        <v>1142664.77</v>
      </c>
      <c r="AC101" s="87">
        <v>918431.92000000097</v>
      </c>
      <c r="AD101" s="89">
        <v>15092.64</v>
      </c>
      <c r="AE101" s="100">
        <f t="shared" si="26"/>
        <v>2283742.9899999998</v>
      </c>
      <c r="AF101" s="101">
        <f t="shared" si="27"/>
        <v>2074602.7800000012</v>
      </c>
      <c r="AG101" s="239">
        <f>SUM(Z101:AB101)</f>
        <v>2298835.63</v>
      </c>
      <c r="AH101" s="75">
        <f t="shared" si="40"/>
        <v>0.90393522264977733</v>
      </c>
      <c r="AI101" s="75">
        <v>0.89201026918669912</v>
      </c>
      <c r="AJ101" s="75">
        <f t="shared" si="29"/>
        <v>1.1924953463078203E-2</v>
      </c>
      <c r="AK101" s="80">
        <f t="shared" si="37"/>
        <v>0.90393522264977733</v>
      </c>
      <c r="AL101" s="72"/>
      <c r="AM101" s="81"/>
      <c r="AN101" s="81"/>
      <c r="AO101" s="81"/>
      <c r="AP101" s="72"/>
      <c r="AQ101" s="81"/>
      <c r="AR101" s="81"/>
      <c r="AS101" s="82"/>
    </row>
    <row r="102" spans="1:45" ht="115.5">
      <c r="A102" s="69" t="s">
        <v>372</v>
      </c>
      <c r="B102" s="70" t="s">
        <v>373</v>
      </c>
      <c r="C102" s="71" t="s">
        <v>230</v>
      </c>
      <c r="D102" s="71" t="s">
        <v>369</v>
      </c>
      <c r="E102" s="71"/>
      <c r="F102" s="72">
        <v>2483574</v>
      </c>
      <c r="G102" s="72"/>
      <c r="H102" s="72">
        <v>2483574</v>
      </c>
      <c r="I102" s="72"/>
      <c r="J102" s="72">
        <f>H102</f>
        <v>2483574</v>
      </c>
      <c r="K102" s="62" t="s">
        <v>232</v>
      </c>
      <c r="L102" s="72">
        <v>0</v>
      </c>
      <c r="M102" s="72"/>
      <c r="N102" s="73">
        <f t="shared" si="33"/>
        <v>2483574</v>
      </c>
      <c r="O102" s="115">
        <v>2139526</v>
      </c>
      <c r="P102" s="87">
        <v>2385904.66</v>
      </c>
      <c r="Q102" s="116">
        <f t="shared" si="38"/>
        <v>0.96067387563245554</v>
      </c>
      <c r="R102" s="86">
        <v>0.96386089160218302</v>
      </c>
      <c r="S102" s="85">
        <f t="shared" si="24"/>
        <v>-3.1870159697274802E-3</v>
      </c>
      <c r="T102" s="85">
        <f t="shared" si="35"/>
        <v>0.96067387563245554</v>
      </c>
      <c r="U102" s="87">
        <v>2385904.66</v>
      </c>
      <c r="V102" s="85">
        <f t="shared" si="39"/>
        <v>0.96067387563245554</v>
      </c>
      <c r="W102" s="86">
        <v>0.96386089160218302</v>
      </c>
      <c r="X102" s="85">
        <f t="shared" si="25"/>
        <v>-3.1870159697274802E-3</v>
      </c>
      <c r="Y102" s="85">
        <f t="shared" si="36"/>
        <v>0.96067387563245554</v>
      </c>
      <c r="Z102" s="89">
        <v>686366.85</v>
      </c>
      <c r="AA102" s="89">
        <v>0</v>
      </c>
      <c r="AB102" s="89">
        <v>1123502.5</v>
      </c>
      <c r="AC102" s="87">
        <v>538500.64</v>
      </c>
      <c r="AD102" s="89">
        <v>13399.64</v>
      </c>
      <c r="AE102" s="100">
        <f t="shared" si="26"/>
        <v>1796469.7100000002</v>
      </c>
      <c r="AF102" s="101">
        <f t="shared" si="27"/>
        <v>1224867.49</v>
      </c>
      <c r="AG102" s="239">
        <f>SUM(Z102:AB102)</f>
        <v>1809869.35</v>
      </c>
      <c r="AH102" s="75">
        <f t="shared" si="40"/>
        <v>0.72873582587029828</v>
      </c>
      <c r="AI102" s="75">
        <v>0.70435650800016425</v>
      </c>
      <c r="AJ102" s="75">
        <f t="shared" si="29"/>
        <v>2.4379317870134032E-2</v>
      </c>
      <c r="AK102" s="80">
        <f t="shared" si="37"/>
        <v>0.72873582587029828</v>
      </c>
      <c r="AL102" s="72"/>
      <c r="AM102" s="81"/>
      <c r="AN102" s="81"/>
      <c r="AO102" s="81"/>
      <c r="AP102" s="72"/>
      <c r="AQ102" s="81"/>
      <c r="AR102" s="81"/>
      <c r="AS102" s="82"/>
    </row>
    <row r="103" spans="1:45" s="18" customFormat="1" ht="49.5">
      <c r="A103" s="59" t="s">
        <v>374</v>
      </c>
      <c r="B103" s="60" t="s">
        <v>375</v>
      </c>
      <c r="C103" s="61" t="s">
        <v>230</v>
      </c>
      <c r="D103" s="61" t="s">
        <v>348</v>
      </c>
      <c r="E103" s="61"/>
      <c r="F103" s="62">
        <f>F104</f>
        <v>12847761</v>
      </c>
      <c r="G103" s="62"/>
      <c r="H103" s="62">
        <f>H104</f>
        <v>12847761</v>
      </c>
      <c r="I103" s="62"/>
      <c r="J103" s="62">
        <f>J104</f>
        <v>12847761</v>
      </c>
      <c r="K103" s="62" t="s">
        <v>232</v>
      </c>
      <c r="L103" s="62">
        <f>L104</f>
        <v>0</v>
      </c>
      <c r="M103" s="62">
        <f>M104</f>
        <v>0</v>
      </c>
      <c r="N103" s="41">
        <f t="shared" si="33"/>
        <v>12847761</v>
      </c>
      <c r="O103" s="63">
        <f>O104</f>
        <v>7167747.3103999998</v>
      </c>
      <c r="P103" s="117">
        <f>P104</f>
        <v>12629926.57</v>
      </c>
      <c r="Q103" s="65">
        <f t="shared" si="38"/>
        <v>0.98304495001113423</v>
      </c>
      <c r="R103" s="65">
        <v>0.98304507999487223</v>
      </c>
      <c r="S103" s="65">
        <f t="shared" si="24"/>
        <v>-1.2998373799533169E-7</v>
      </c>
      <c r="T103" s="65">
        <f t="shared" si="35"/>
        <v>0.98304495001113423</v>
      </c>
      <c r="U103" s="64">
        <f>U104</f>
        <v>12629926.57</v>
      </c>
      <c r="V103" s="65">
        <f t="shared" si="39"/>
        <v>0.98304495001113423</v>
      </c>
      <c r="W103" s="65">
        <v>0.98304507999487223</v>
      </c>
      <c r="X103" s="65">
        <f t="shared" si="25"/>
        <v>-1.2998373799533169E-7</v>
      </c>
      <c r="Y103" s="65">
        <f t="shared" si="36"/>
        <v>0.98304495001113423</v>
      </c>
      <c r="Z103" s="64">
        <f t="shared" ref="Z103:AD104" si="41">Z104</f>
        <v>8205179.8300000001</v>
      </c>
      <c r="AA103" s="64">
        <f t="shared" si="41"/>
        <v>0</v>
      </c>
      <c r="AB103" s="64">
        <f t="shared" si="41"/>
        <v>0</v>
      </c>
      <c r="AC103" s="64">
        <f t="shared" si="41"/>
        <v>0</v>
      </c>
      <c r="AD103" s="64">
        <f t="shared" si="41"/>
        <v>0</v>
      </c>
      <c r="AE103" s="64">
        <f t="shared" si="26"/>
        <v>8205179.8300000001</v>
      </c>
      <c r="AF103" s="64">
        <f t="shared" si="27"/>
        <v>8205179.8300000001</v>
      </c>
      <c r="AG103" s="234">
        <f>AG104</f>
        <v>8205179.8300000001</v>
      </c>
      <c r="AH103" s="65">
        <f t="shared" si="40"/>
        <v>0.63864667392240559</v>
      </c>
      <c r="AI103" s="65">
        <v>0.62856977025024041</v>
      </c>
      <c r="AJ103" s="65">
        <f t="shared" si="29"/>
        <v>1.0076903672165183E-2</v>
      </c>
      <c r="AK103" s="44">
        <f t="shared" si="37"/>
        <v>0.63864667392240559</v>
      </c>
      <c r="AL103" s="62"/>
      <c r="AM103" s="67"/>
      <c r="AN103" s="67"/>
      <c r="AO103" s="67"/>
      <c r="AP103" s="62"/>
      <c r="AQ103" s="67"/>
      <c r="AR103" s="67"/>
      <c r="AS103" s="68"/>
    </row>
    <row r="104" spans="1:45" s="18" customFormat="1" ht="132">
      <c r="A104" s="59" t="s">
        <v>376</v>
      </c>
      <c r="B104" s="60" t="s">
        <v>377</v>
      </c>
      <c r="C104" s="61" t="s">
        <v>230</v>
      </c>
      <c r="D104" s="61" t="s">
        <v>348</v>
      </c>
      <c r="E104" s="61"/>
      <c r="F104" s="62">
        <f>F105</f>
        <v>12847761</v>
      </c>
      <c r="G104" s="62"/>
      <c r="H104" s="62">
        <f>H105</f>
        <v>12847761</v>
      </c>
      <c r="I104" s="62"/>
      <c r="J104" s="62">
        <f>J105</f>
        <v>12847761</v>
      </c>
      <c r="K104" s="62" t="s">
        <v>232</v>
      </c>
      <c r="L104" s="62">
        <f>L105</f>
        <v>0</v>
      </c>
      <c r="M104" s="62">
        <f>M105</f>
        <v>0</v>
      </c>
      <c r="N104" s="41">
        <f t="shared" si="33"/>
        <v>12847761</v>
      </c>
      <c r="O104" s="63">
        <f>O105</f>
        <v>7167747.3103999998</v>
      </c>
      <c r="P104" s="64">
        <f>P105</f>
        <v>12629926.57</v>
      </c>
      <c r="Q104" s="65">
        <f t="shared" si="38"/>
        <v>0.98304495001113423</v>
      </c>
      <c r="R104" s="65">
        <v>0.98304507999487223</v>
      </c>
      <c r="S104" s="65">
        <f t="shared" si="24"/>
        <v>-1.2998373799533169E-7</v>
      </c>
      <c r="T104" s="65">
        <f t="shared" si="35"/>
        <v>0.98304495001113423</v>
      </c>
      <c r="U104" s="64">
        <f>U105</f>
        <v>12629926.57</v>
      </c>
      <c r="V104" s="65">
        <f t="shared" si="39"/>
        <v>0.98304495001113423</v>
      </c>
      <c r="W104" s="65">
        <v>0.98304507999487223</v>
      </c>
      <c r="X104" s="65">
        <f t="shared" si="25"/>
        <v>-1.2998373799533169E-7</v>
      </c>
      <c r="Y104" s="65">
        <f t="shared" si="36"/>
        <v>0.98304495001113423</v>
      </c>
      <c r="Z104" s="64">
        <f t="shared" si="41"/>
        <v>8205179.8300000001</v>
      </c>
      <c r="AA104" s="64">
        <f t="shared" si="41"/>
        <v>0</v>
      </c>
      <c r="AB104" s="64">
        <f t="shared" si="41"/>
        <v>0</v>
      </c>
      <c r="AC104" s="64">
        <f t="shared" si="41"/>
        <v>0</v>
      </c>
      <c r="AD104" s="64">
        <f t="shared" si="41"/>
        <v>0</v>
      </c>
      <c r="AE104" s="64">
        <f t="shared" si="26"/>
        <v>8205179.8300000001</v>
      </c>
      <c r="AF104" s="64">
        <f t="shared" si="27"/>
        <v>8205179.8300000001</v>
      </c>
      <c r="AG104" s="234">
        <f>AG105</f>
        <v>8205179.8300000001</v>
      </c>
      <c r="AH104" s="65">
        <f t="shared" si="40"/>
        <v>0.63864667392240559</v>
      </c>
      <c r="AI104" s="65">
        <v>0.62856977025024041</v>
      </c>
      <c r="AJ104" s="65">
        <f t="shared" si="29"/>
        <v>1.0076903672165183E-2</v>
      </c>
      <c r="AK104" s="44">
        <f t="shared" si="37"/>
        <v>0.63864667392240559</v>
      </c>
      <c r="AL104" s="62"/>
      <c r="AM104" s="67"/>
      <c r="AN104" s="67"/>
      <c r="AO104" s="67"/>
      <c r="AP104" s="62"/>
      <c r="AQ104" s="67"/>
      <c r="AR104" s="67"/>
      <c r="AS104" s="68"/>
    </row>
    <row r="105" spans="1:45" ht="82.5">
      <c r="A105" s="69" t="s">
        <v>72</v>
      </c>
      <c r="B105" s="70" t="s">
        <v>378</v>
      </c>
      <c r="C105" s="71" t="s">
        <v>230</v>
      </c>
      <c r="D105" s="71" t="s">
        <v>348</v>
      </c>
      <c r="E105" s="71"/>
      <c r="F105" s="72">
        <v>12847761</v>
      </c>
      <c r="G105" s="72"/>
      <c r="H105" s="72">
        <v>12847761</v>
      </c>
      <c r="I105" s="72"/>
      <c r="J105" s="72">
        <v>12847761</v>
      </c>
      <c r="K105" s="62" t="s">
        <v>232</v>
      </c>
      <c r="L105" s="72">
        <v>0</v>
      </c>
      <c r="M105" s="72"/>
      <c r="N105" s="73">
        <f t="shared" si="33"/>
        <v>12847761</v>
      </c>
      <c r="O105" s="74">
        <f>0.16*44798420.69</f>
        <v>7167747.3103999998</v>
      </c>
      <c r="P105" s="72">
        <v>12629926.57</v>
      </c>
      <c r="Q105" s="75">
        <f t="shared" si="38"/>
        <v>0.98304495001113423</v>
      </c>
      <c r="R105" s="76">
        <v>0.98304507999487223</v>
      </c>
      <c r="S105" s="75">
        <f t="shared" si="24"/>
        <v>-1.2998373799533169E-7</v>
      </c>
      <c r="T105" s="75">
        <f t="shared" si="35"/>
        <v>0.98304495001113423</v>
      </c>
      <c r="U105" s="72">
        <v>12629926.57</v>
      </c>
      <c r="V105" s="75">
        <f t="shared" si="39"/>
        <v>0.98304495001113423</v>
      </c>
      <c r="W105" s="76">
        <v>0.98304507999487223</v>
      </c>
      <c r="X105" s="75">
        <f t="shared" si="25"/>
        <v>-1.2998373799533169E-7</v>
      </c>
      <c r="Y105" s="75">
        <f t="shared" si="36"/>
        <v>0.98304495001113423</v>
      </c>
      <c r="Z105" s="72">
        <v>8205179.8300000001</v>
      </c>
      <c r="AA105" s="118">
        <v>0</v>
      </c>
      <c r="AB105" s="118">
        <v>0</v>
      </c>
      <c r="AC105" s="118">
        <v>0</v>
      </c>
      <c r="AD105" s="118">
        <v>0</v>
      </c>
      <c r="AE105" s="119">
        <f t="shared" si="26"/>
        <v>8205179.8300000001</v>
      </c>
      <c r="AF105" s="72">
        <f t="shared" si="27"/>
        <v>8205179.8300000001</v>
      </c>
      <c r="AG105" s="242">
        <f>SUM(Z105:AB105)</f>
        <v>8205179.8300000001</v>
      </c>
      <c r="AH105" s="75">
        <f t="shared" si="40"/>
        <v>0.63864667392240559</v>
      </c>
      <c r="AI105" s="75">
        <v>0.62856977025024041</v>
      </c>
      <c r="AJ105" s="75">
        <f t="shared" si="29"/>
        <v>1.0076903672165183E-2</v>
      </c>
      <c r="AK105" s="80">
        <f t="shared" si="37"/>
        <v>0.63864667392240559</v>
      </c>
      <c r="AL105" s="120"/>
      <c r="AM105" s="121"/>
      <c r="AN105" s="81"/>
      <c r="AO105" s="81"/>
      <c r="AP105" s="72"/>
      <c r="AQ105" s="81"/>
      <c r="AR105" s="81"/>
      <c r="AS105" s="82"/>
    </row>
    <row r="106" spans="1:45" s="18" customFormat="1" ht="92.25">
      <c r="A106" s="46">
        <v>2</v>
      </c>
      <c r="B106" s="47" t="s">
        <v>379</v>
      </c>
      <c r="C106" s="48" t="s">
        <v>380</v>
      </c>
      <c r="D106" s="48" t="s">
        <v>231</v>
      </c>
      <c r="E106" s="48"/>
      <c r="F106" s="49">
        <f>F107+F127+F137+F148</f>
        <v>517777458.1358</v>
      </c>
      <c r="G106" s="49">
        <f>H106/G5</f>
        <v>736730950.4320749</v>
      </c>
      <c r="H106" s="49">
        <f>H107+H127+H137+H148</f>
        <v>517777458.88746399</v>
      </c>
      <c r="I106" s="49"/>
      <c r="J106" s="49">
        <f>J107+J127+J137+J148</f>
        <v>517777458.71760005</v>
      </c>
      <c r="K106" s="122" t="s">
        <v>381</v>
      </c>
      <c r="L106" s="51">
        <f>L107+L127+L137+L148</f>
        <v>41070677.789999999</v>
      </c>
      <c r="M106" s="51">
        <f>M107+M127+M137+M148</f>
        <v>36962177.789999999</v>
      </c>
      <c r="N106" s="51">
        <f t="shared" si="33"/>
        <v>554739636.50760007</v>
      </c>
      <c r="O106" s="50">
        <f>O107+O127+O137+O148</f>
        <v>343566082.9149</v>
      </c>
      <c r="P106" s="51">
        <f>P107+P127+P137+P148</f>
        <v>479598594.38</v>
      </c>
      <c r="Q106" s="52">
        <f t="shared" si="38"/>
        <v>0.92626395047756782</v>
      </c>
      <c r="R106" s="54">
        <v>0.92777741146852888</v>
      </c>
      <c r="S106" s="52">
        <f t="shared" si="24"/>
        <v>-1.5134609909610575E-3</v>
      </c>
      <c r="T106" s="52">
        <f t="shared" si="35"/>
        <v>0.86454719082152587</v>
      </c>
      <c r="U106" s="51">
        <f>U107+U127+U137+U148</f>
        <v>476010855.37</v>
      </c>
      <c r="V106" s="52">
        <f t="shared" si="39"/>
        <v>0.91933483653180836</v>
      </c>
      <c r="W106" s="54">
        <v>0.91570235447977588</v>
      </c>
      <c r="X106" s="52">
        <f t="shared" si="25"/>
        <v>3.6324820520324819E-3</v>
      </c>
      <c r="Y106" s="52">
        <f t="shared" si="36"/>
        <v>0.85807976218673987</v>
      </c>
      <c r="Z106" s="51">
        <f>Z107+Z127+Z137+Z148</f>
        <v>228595195.98000002</v>
      </c>
      <c r="AA106" s="51">
        <f>AA107+AA127+AA137+AA148</f>
        <v>27216414.289999999</v>
      </c>
      <c r="AB106" s="51">
        <f>AB107+AB127+AB137+AB148</f>
        <v>32147032.68</v>
      </c>
      <c r="AC106" s="51">
        <f>AC107+AC127+AC137+AC148</f>
        <v>11125437.57</v>
      </c>
      <c r="AD106" s="51">
        <f>AD107+AD127+AD137+AD148</f>
        <v>39812330.170000002</v>
      </c>
      <c r="AE106" s="51">
        <f t="shared" si="26"/>
        <v>248146312.77999997</v>
      </c>
      <c r="AF106" s="51">
        <f t="shared" si="27"/>
        <v>266937047.84</v>
      </c>
      <c r="AG106" s="236">
        <f>AG107+AG127+AG137+AG148</f>
        <v>287958642.94999999</v>
      </c>
      <c r="AH106" s="52">
        <f t="shared" si="40"/>
        <v>0.55614364453639709</v>
      </c>
      <c r="AI106" s="55">
        <v>0.54028105358289003</v>
      </c>
      <c r="AJ106" s="52">
        <f t="shared" si="29"/>
        <v>1.5862590953507061E-2</v>
      </c>
      <c r="AK106" s="52">
        <f t="shared" si="37"/>
        <v>0.51908791800575604</v>
      </c>
      <c r="AL106" s="123">
        <v>165856216.49573633</v>
      </c>
      <c r="AM106" s="57">
        <f>AL106/J106</f>
        <v>0.32032336229259378</v>
      </c>
      <c r="AN106" s="57">
        <v>0.32032336195273187</v>
      </c>
      <c r="AO106" s="57">
        <f>AM106-AN106</f>
        <v>3.3986191638746277E-10</v>
      </c>
      <c r="AP106" s="123">
        <v>212669306.5</v>
      </c>
      <c r="AQ106" s="57">
        <f>AP106/J106</f>
        <v>0.41073496522372083</v>
      </c>
      <c r="AR106" s="57">
        <v>0.39917582196320295</v>
      </c>
      <c r="AS106" s="58">
        <f>AQ106-AR106</f>
        <v>1.1559143260517879E-2</v>
      </c>
    </row>
    <row r="107" spans="1:45" s="18" customFormat="1" ht="60">
      <c r="A107" s="59" t="s">
        <v>156</v>
      </c>
      <c r="B107" s="60" t="s">
        <v>382</v>
      </c>
      <c r="C107" s="61"/>
      <c r="D107" s="61"/>
      <c r="E107" s="61"/>
      <c r="F107" s="62">
        <v>327536181</v>
      </c>
      <c r="G107" s="62"/>
      <c r="H107" s="62">
        <f>H108+H114</f>
        <v>318005285.239824</v>
      </c>
      <c r="I107" s="62"/>
      <c r="J107" s="62">
        <f>J108+J114</f>
        <v>318005285.06418002</v>
      </c>
      <c r="K107" s="124" t="s">
        <v>383</v>
      </c>
      <c r="L107" s="64">
        <f>L108+L114</f>
        <v>35070677.789999999</v>
      </c>
      <c r="M107" s="64">
        <f>M108+M114</f>
        <v>33962177.789999999</v>
      </c>
      <c r="N107" s="41">
        <f t="shared" si="33"/>
        <v>351967462.85418004</v>
      </c>
      <c r="O107" s="63">
        <f>O108+O114</f>
        <v>140468251.81</v>
      </c>
      <c r="P107" s="92">
        <f>P108+P114</f>
        <v>298750367.78999996</v>
      </c>
      <c r="Q107" s="93">
        <f t="shared" si="38"/>
        <v>0.93945095198561235</v>
      </c>
      <c r="R107" s="93">
        <v>0.94229905060617336</v>
      </c>
      <c r="S107" s="93">
        <f t="shared" si="24"/>
        <v>-2.8480986205610126E-3</v>
      </c>
      <c r="T107" s="93">
        <f t="shared" si="35"/>
        <v>0.84880109475850074</v>
      </c>
      <c r="U107" s="92">
        <f>U108+U114</f>
        <v>295614795.16999996</v>
      </c>
      <c r="V107" s="93">
        <f t="shared" si="39"/>
        <v>0.92959082460009679</v>
      </c>
      <c r="W107" s="93">
        <v>0.9233694208772355</v>
      </c>
      <c r="X107" s="93">
        <f t="shared" si="25"/>
        <v>6.2214037228612851E-3</v>
      </c>
      <c r="Y107" s="93">
        <f t="shared" si="36"/>
        <v>0.83989239452077713</v>
      </c>
      <c r="Z107" s="92">
        <f>Z108+Z114</f>
        <v>73058507.00999999</v>
      </c>
      <c r="AA107" s="92">
        <f>AA108+AA114</f>
        <v>26968766.829999998</v>
      </c>
      <c r="AB107" s="92">
        <f>AB108+AB114</f>
        <v>31968926.940000001</v>
      </c>
      <c r="AC107" s="92">
        <f>AC108+AC114</f>
        <v>10945558.07</v>
      </c>
      <c r="AD107" s="92">
        <f>AD108+AD114</f>
        <v>6282437.3600000003</v>
      </c>
      <c r="AE107" s="92">
        <f t="shared" si="26"/>
        <v>125713763.42</v>
      </c>
      <c r="AF107" s="92">
        <f t="shared" si="27"/>
        <v>110972831.91</v>
      </c>
      <c r="AG107" s="234">
        <f>AG108+AG114</f>
        <v>131996200.78</v>
      </c>
      <c r="AH107" s="65">
        <f t="shared" si="40"/>
        <v>0.4150754939602983</v>
      </c>
      <c r="AI107" s="65">
        <v>0.39155911749275141</v>
      </c>
      <c r="AJ107" s="65">
        <f t="shared" si="29"/>
        <v>2.3516376467546896E-2</v>
      </c>
      <c r="AK107" s="30">
        <f t="shared" si="37"/>
        <v>0.37502387212049193</v>
      </c>
      <c r="AL107" s="62"/>
      <c r="AM107" s="67"/>
      <c r="AN107" s="67"/>
      <c r="AO107" s="67"/>
      <c r="AP107" s="62"/>
      <c r="AQ107" s="67"/>
      <c r="AR107" s="67"/>
      <c r="AS107" s="68"/>
    </row>
    <row r="108" spans="1:45" s="18" customFormat="1" ht="126">
      <c r="A108" s="59" t="s">
        <v>384</v>
      </c>
      <c r="B108" s="60" t="s">
        <v>385</v>
      </c>
      <c r="C108" s="61" t="s">
        <v>380</v>
      </c>
      <c r="D108" s="61" t="s">
        <v>238</v>
      </c>
      <c r="E108" s="61"/>
      <c r="F108" s="62">
        <f>F109+F110+F111</f>
        <v>167317954</v>
      </c>
      <c r="G108" s="62"/>
      <c r="H108" s="62">
        <f>H109+H110+H111</f>
        <v>153973230.30987599</v>
      </c>
      <c r="I108" s="62"/>
      <c r="J108" s="62">
        <f>J109+J110+J111</f>
        <v>153973230.30987599</v>
      </c>
      <c r="K108" s="125" t="s">
        <v>386</v>
      </c>
      <c r="L108" s="64">
        <f>L109+L110+L111</f>
        <v>15000000</v>
      </c>
      <c r="M108" s="64">
        <f>M109+M110+M111</f>
        <v>13891500</v>
      </c>
      <c r="N108" s="41">
        <f t="shared" si="33"/>
        <v>167864730.30987599</v>
      </c>
      <c r="O108" s="63">
        <f>SUM(O109,O110,O111)</f>
        <v>58160289.439999998</v>
      </c>
      <c r="P108" s="92">
        <f>SUM(P109,P110,P111)</f>
        <v>136852397.78</v>
      </c>
      <c r="Q108" s="93">
        <f t="shared" si="38"/>
        <v>0.88880643410922944</v>
      </c>
      <c r="R108" s="93">
        <v>0.88882403457130033</v>
      </c>
      <c r="S108" s="93">
        <f t="shared" si="24"/>
        <v>-1.7600462070888057E-5</v>
      </c>
      <c r="T108" s="93">
        <f t="shared" si="35"/>
        <v>0.81525402940434444</v>
      </c>
      <c r="U108" s="92">
        <f>SUM(U109,U110,U111)</f>
        <v>135051660.78</v>
      </c>
      <c r="V108" s="93">
        <f t="shared" si="39"/>
        <v>0.87711130375198509</v>
      </c>
      <c r="W108" s="93">
        <v>0.87712890421405598</v>
      </c>
      <c r="X108" s="93">
        <f t="shared" si="25"/>
        <v>-1.7600462070888057E-5</v>
      </c>
      <c r="Y108" s="93">
        <f t="shared" si="36"/>
        <v>0.8045267194049428</v>
      </c>
      <c r="Z108" s="92">
        <f>SUM(Z109,Z110,Z111)</f>
        <v>26445633.350000001</v>
      </c>
      <c r="AA108" s="92">
        <f>SUM(AA109,AA110,AA111)</f>
        <v>0</v>
      </c>
      <c r="AB108" s="92">
        <f>SUM(AB109,AB110,AB111)</f>
        <v>31706975.210000001</v>
      </c>
      <c r="AC108" s="92">
        <f>SUM(AC109,AC110,AC111)</f>
        <v>763409.44999999902</v>
      </c>
      <c r="AD108" s="92">
        <f>SUM(AD109,AD110,AD111)</f>
        <v>62567</v>
      </c>
      <c r="AE108" s="92">
        <f t="shared" si="26"/>
        <v>58090041.560000002</v>
      </c>
      <c r="AF108" s="92">
        <f t="shared" si="27"/>
        <v>27209042.800000001</v>
      </c>
      <c r="AG108" s="234">
        <f>SUM(AG109,AG110,AG111)</f>
        <v>58152608.560000002</v>
      </c>
      <c r="AH108" s="65">
        <f t="shared" si="40"/>
        <v>0.37767999309338407</v>
      </c>
      <c r="AI108" s="65">
        <v>0.33579799901544094</v>
      </c>
      <c r="AJ108" s="65">
        <f t="shared" si="29"/>
        <v>4.188199407794313E-2</v>
      </c>
      <c r="AK108" s="30">
        <f t="shared" si="37"/>
        <v>0.34642541320413811</v>
      </c>
      <c r="AL108" s="62"/>
      <c r="AM108" s="67"/>
      <c r="AN108" s="67"/>
      <c r="AO108" s="67"/>
      <c r="AP108" s="62"/>
      <c r="AQ108" s="67"/>
      <c r="AR108" s="67"/>
      <c r="AS108" s="68"/>
    </row>
    <row r="109" spans="1:45" ht="49.5">
      <c r="A109" s="69" t="s">
        <v>387</v>
      </c>
      <c r="B109" s="70" t="s">
        <v>388</v>
      </c>
      <c r="C109" s="71" t="s">
        <v>380</v>
      </c>
      <c r="D109" s="71" t="s">
        <v>238</v>
      </c>
      <c r="E109" s="71"/>
      <c r="F109" s="72">
        <v>35843004</v>
      </c>
      <c r="G109" s="72">
        <v>51786945</v>
      </c>
      <c r="H109" s="126">
        <f>G109*G5</f>
        <v>36396072.093779996</v>
      </c>
      <c r="I109" s="126"/>
      <c r="J109" s="79">
        <v>36396072</v>
      </c>
      <c r="K109" s="127" t="s">
        <v>389</v>
      </c>
      <c r="L109" s="79">
        <v>15000000</v>
      </c>
      <c r="M109" s="79">
        <f>L109*0.9261</f>
        <v>13891500</v>
      </c>
      <c r="N109" s="73">
        <f t="shared" si="33"/>
        <v>50287572</v>
      </c>
      <c r="O109" s="128">
        <v>25173896.189999998</v>
      </c>
      <c r="P109" s="90">
        <v>33571088.399999999</v>
      </c>
      <c r="Q109" s="85">
        <f t="shared" si="38"/>
        <v>0.92238218453903487</v>
      </c>
      <c r="R109" s="86">
        <v>0.92243938851423302</v>
      </c>
      <c r="S109" s="85">
        <f t="shared" si="24"/>
        <v>-5.7203975198150125E-5</v>
      </c>
      <c r="T109" s="85">
        <f t="shared" si="35"/>
        <v>0.6675822089799841</v>
      </c>
      <c r="U109" s="89">
        <v>33571088.399999999</v>
      </c>
      <c r="V109" s="85">
        <f t="shared" si="39"/>
        <v>0.92238218453903487</v>
      </c>
      <c r="W109" s="86">
        <v>0.92243938851423302</v>
      </c>
      <c r="X109" s="85">
        <f t="shared" si="25"/>
        <v>-5.7203975198150125E-5</v>
      </c>
      <c r="Y109" s="85">
        <f t="shared" si="36"/>
        <v>0.6675822089799841</v>
      </c>
      <c r="Z109" s="89">
        <v>14822082.649999999</v>
      </c>
      <c r="AA109" s="89">
        <v>0</v>
      </c>
      <c r="AB109" s="89">
        <v>10968186.779999999</v>
      </c>
      <c r="AC109" s="89">
        <v>595921.64999999898</v>
      </c>
      <c r="AD109" s="89">
        <v>62567</v>
      </c>
      <c r="AE109" s="89">
        <f t="shared" si="26"/>
        <v>25727702.43</v>
      </c>
      <c r="AF109" s="129">
        <f t="shared" si="27"/>
        <v>15418004.299999997</v>
      </c>
      <c r="AG109" s="237">
        <f>SUM(Z109:AB109)</f>
        <v>25790269.43</v>
      </c>
      <c r="AH109" s="75">
        <f t="shared" si="40"/>
        <v>0.70860035198303817</v>
      </c>
      <c r="AI109" s="75">
        <v>0.66649635076004909</v>
      </c>
      <c r="AJ109" s="75">
        <f t="shared" si="29"/>
        <v>4.2104001222989074E-2</v>
      </c>
      <c r="AK109" s="130">
        <f t="shared" si="37"/>
        <v>0.51285572964230608</v>
      </c>
      <c r="AL109" s="72"/>
      <c r="AM109" s="81"/>
      <c r="AN109" s="81"/>
      <c r="AO109" s="81"/>
      <c r="AP109" s="72"/>
      <c r="AQ109" s="81"/>
      <c r="AR109" s="81"/>
      <c r="AS109" s="82"/>
    </row>
    <row r="110" spans="1:45" ht="132">
      <c r="A110" s="69" t="s">
        <v>390</v>
      </c>
      <c r="B110" s="70" t="s">
        <v>391</v>
      </c>
      <c r="C110" s="71" t="s">
        <v>380</v>
      </c>
      <c r="D110" s="71" t="s">
        <v>238</v>
      </c>
      <c r="E110" s="71"/>
      <c r="F110" s="72">
        <v>4919628</v>
      </c>
      <c r="G110" s="72">
        <v>6213055</v>
      </c>
      <c r="H110" s="77">
        <f>G110*G5</f>
        <v>4366559.9062200002</v>
      </c>
      <c r="I110" s="77"/>
      <c r="J110" s="77">
        <v>4366560</v>
      </c>
      <c r="K110" s="127" t="s">
        <v>392</v>
      </c>
      <c r="L110" s="77">
        <v>0</v>
      </c>
      <c r="M110" s="77"/>
      <c r="N110" s="73">
        <f t="shared" si="33"/>
        <v>4366560</v>
      </c>
      <c r="O110" s="131">
        <v>2918741.62</v>
      </c>
      <c r="P110" s="90">
        <v>4139715.38</v>
      </c>
      <c r="Q110" s="85">
        <f t="shared" si="38"/>
        <v>0.94804958136381956</v>
      </c>
      <c r="R110" s="86">
        <v>0.94819340167088051</v>
      </c>
      <c r="S110" s="85">
        <f t="shared" si="24"/>
        <v>-1.4382030706094895E-4</v>
      </c>
      <c r="T110" s="85">
        <f t="shared" si="35"/>
        <v>0.94804958136381956</v>
      </c>
      <c r="U110" s="89">
        <v>4139715.38</v>
      </c>
      <c r="V110" s="85">
        <f t="shared" si="39"/>
        <v>0.94804958136381956</v>
      </c>
      <c r="W110" s="86">
        <v>0.94819340167088051</v>
      </c>
      <c r="X110" s="85">
        <f t="shared" si="25"/>
        <v>-1.4382030706094895E-4</v>
      </c>
      <c r="Y110" s="85">
        <f t="shared" si="36"/>
        <v>0.94804958136381956</v>
      </c>
      <c r="Z110" s="89">
        <v>1874460.3499999999</v>
      </c>
      <c r="AA110" s="89">
        <v>0</v>
      </c>
      <c r="AB110" s="89">
        <v>1046472.99</v>
      </c>
      <c r="AC110" s="89">
        <v>167487.79999999999</v>
      </c>
      <c r="AD110" s="89">
        <v>0</v>
      </c>
      <c r="AE110" s="89">
        <f t="shared" si="26"/>
        <v>2920933.34</v>
      </c>
      <c r="AF110" s="129">
        <f t="shared" si="27"/>
        <v>2041948.15</v>
      </c>
      <c r="AG110" s="237">
        <f>SUM(Z110:AB110)</f>
        <v>2920933.34</v>
      </c>
      <c r="AH110" s="75">
        <f t="shared" si="40"/>
        <v>0.66893237239382941</v>
      </c>
      <c r="AI110" s="75">
        <v>0.63614846011505621</v>
      </c>
      <c r="AJ110" s="75">
        <f t="shared" si="29"/>
        <v>3.2783912278773197E-2</v>
      </c>
      <c r="AK110" s="130">
        <f t="shared" si="37"/>
        <v>0.66893237239382941</v>
      </c>
      <c r="AL110" s="72"/>
      <c r="AM110" s="81"/>
      <c r="AN110" s="81"/>
      <c r="AO110" s="81"/>
      <c r="AP110" s="72"/>
      <c r="AQ110" s="81"/>
      <c r="AR110" s="81"/>
      <c r="AS110" s="82"/>
    </row>
    <row r="111" spans="1:45" s="18" customFormat="1" ht="82.5">
      <c r="A111" s="94" t="s">
        <v>393</v>
      </c>
      <c r="B111" s="95" t="s">
        <v>394</v>
      </c>
      <c r="C111" s="96" t="s">
        <v>380</v>
      </c>
      <c r="D111" s="96" t="s">
        <v>238</v>
      </c>
      <c r="E111" s="96"/>
      <c r="F111" s="72">
        <f>F112+F113</f>
        <v>126555322</v>
      </c>
      <c r="G111" s="72">
        <f>G112+G113</f>
        <v>161084169</v>
      </c>
      <c r="H111" s="72">
        <f>H112+H113</f>
        <v>113210598.30987599</v>
      </c>
      <c r="I111" s="72"/>
      <c r="J111" s="72">
        <f>J112+J113</f>
        <v>113210598.30987599</v>
      </c>
      <c r="K111" s="127" t="s">
        <v>395</v>
      </c>
      <c r="L111" s="72">
        <f>L112+L113</f>
        <v>0</v>
      </c>
      <c r="M111" s="72">
        <f>M112+M113</f>
        <v>0</v>
      </c>
      <c r="N111" s="73">
        <f t="shared" si="33"/>
        <v>113210598.30987599</v>
      </c>
      <c r="O111" s="132">
        <f>SUM(O112,O113)</f>
        <v>30067651.630000003</v>
      </c>
      <c r="P111" s="90">
        <v>99141594</v>
      </c>
      <c r="Q111" s="85">
        <f t="shared" si="38"/>
        <v>0.87572714463210577</v>
      </c>
      <c r="R111" s="85">
        <v>0.87572714463210577</v>
      </c>
      <c r="S111" s="85">
        <f t="shared" si="24"/>
        <v>0</v>
      </c>
      <c r="T111" s="85">
        <f t="shared" si="35"/>
        <v>0.87572714463210577</v>
      </c>
      <c r="U111" s="90">
        <v>97340857</v>
      </c>
      <c r="V111" s="85">
        <f t="shared" si="39"/>
        <v>0.85982106316196738</v>
      </c>
      <c r="W111" s="85">
        <v>0.85982106316196738</v>
      </c>
      <c r="X111" s="85">
        <f t="shared" si="25"/>
        <v>0</v>
      </c>
      <c r="Y111" s="85">
        <f t="shared" si="36"/>
        <v>0.85982106316196738</v>
      </c>
      <c r="Z111" s="99">
        <f>SUM(Z112,Z113)</f>
        <v>9749090.3500000015</v>
      </c>
      <c r="AA111" s="99">
        <f>SUM(AA112,AA113)</f>
        <v>0</v>
      </c>
      <c r="AB111" s="99">
        <f>SUM(AB112,AB113)</f>
        <v>19692315.440000001</v>
      </c>
      <c r="AC111" s="99">
        <f>SUM(AC112,AC113)</f>
        <v>0</v>
      </c>
      <c r="AD111" s="99">
        <f>SUM(AD112,AD113)</f>
        <v>0</v>
      </c>
      <c r="AE111" s="99">
        <f t="shared" si="26"/>
        <v>29441405.790000003</v>
      </c>
      <c r="AF111" s="133">
        <f t="shared" si="27"/>
        <v>9749090.3500000015</v>
      </c>
      <c r="AG111" s="238">
        <f>SUM(AG112,AG113)</f>
        <v>29441405.790000003</v>
      </c>
      <c r="AH111" s="75">
        <f t="shared" si="40"/>
        <v>0.26005874211011626</v>
      </c>
      <c r="AI111" s="75">
        <v>0.21789720590009504</v>
      </c>
      <c r="AJ111" s="75">
        <f t="shared" si="29"/>
        <v>4.2161536210021222E-2</v>
      </c>
      <c r="AK111" s="130">
        <f t="shared" si="37"/>
        <v>0.26005874211011626</v>
      </c>
      <c r="AL111" s="72"/>
      <c r="AM111" s="81"/>
      <c r="AN111" s="81"/>
      <c r="AO111" s="81"/>
      <c r="AP111" s="72"/>
      <c r="AQ111" s="81"/>
      <c r="AR111" s="81"/>
      <c r="AS111" s="82"/>
    </row>
    <row r="112" spans="1:45" ht="66">
      <c r="A112" s="69" t="s">
        <v>396</v>
      </c>
      <c r="B112" s="70" t="s">
        <v>397</v>
      </c>
      <c r="C112" s="71" t="s">
        <v>398</v>
      </c>
      <c r="D112" s="71" t="s">
        <v>238</v>
      </c>
      <c r="E112" s="71"/>
      <c r="F112" s="77">
        <v>98443162</v>
      </c>
      <c r="G112" s="77">
        <v>146123578</v>
      </c>
      <c r="H112" s="77">
        <v>102696235.112712</v>
      </c>
      <c r="I112" s="77"/>
      <c r="J112" s="77">
        <v>102696235.112712</v>
      </c>
      <c r="K112" s="134" t="s">
        <v>399</v>
      </c>
      <c r="L112" s="77">
        <v>0</v>
      </c>
      <c r="M112" s="77">
        <f>L112*0.7812</f>
        <v>0</v>
      </c>
      <c r="N112" s="73">
        <f t="shared" si="33"/>
        <v>102696235.112712</v>
      </c>
      <c r="O112" s="131">
        <v>24567730.5</v>
      </c>
      <c r="P112" s="90">
        <v>88627231</v>
      </c>
      <c r="Q112" s="85">
        <f t="shared" si="38"/>
        <v>0.86300370118465519</v>
      </c>
      <c r="R112" s="86">
        <v>0.86300370118465519</v>
      </c>
      <c r="S112" s="85">
        <f t="shared" si="24"/>
        <v>0</v>
      </c>
      <c r="T112" s="85">
        <f t="shared" si="35"/>
        <v>0.86300370118465519</v>
      </c>
      <c r="U112" s="89">
        <v>86826494</v>
      </c>
      <c r="V112" s="85">
        <f t="shared" si="39"/>
        <v>0.84546910512060636</v>
      </c>
      <c r="W112" s="86">
        <v>0.84546910512060636</v>
      </c>
      <c r="X112" s="85">
        <f t="shared" si="25"/>
        <v>0</v>
      </c>
      <c r="Y112" s="85">
        <f t="shared" si="36"/>
        <v>0.84546910512060636</v>
      </c>
      <c r="Z112" s="89">
        <v>7580015.4400000004</v>
      </c>
      <c r="AA112" s="89">
        <v>0</v>
      </c>
      <c r="AB112" s="89">
        <v>19692315.440000001</v>
      </c>
      <c r="AC112" s="89">
        <v>0</v>
      </c>
      <c r="AD112" s="89">
        <v>0</v>
      </c>
      <c r="AE112" s="89">
        <f t="shared" si="26"/>
        <v>27272330.880000003</v>
      </c>
      <c r="AF112" s="129">
        <f t="shared" si="27"/>
        <v>7580015.4400000004</v>
      </c>
      <c r="AG112" s="237">
        <f>SUM(Z112:AB112)</f>
        <v>27272330.880000003</v>
      </c>
      <c r="AH112" s="75">
        <f t="shared" si="40"/>
        <v>0.26556310316602993</v>
      </c>
      <c r="AI112" s="75">
        <v>0.21908493641764473</v>
      </c>
      <c r="AJ112" s="75">
        <f t="shared" si="29"/>
        <v>4.6478166748385202E-2</v>
      </c>
      <c r="AK112" s="130">
        <f t="shared" si="37"/>
        <v>0.26556310316602993</v>
      </c>
      <c r="AL112" s="72"/>
      <c r="AM112" s="81"/>
      <c r="AN112" s="81"/>
      <c r="AO112" s="81"/>
      <c r="AP112" s="72"/>
      <c r="AQ112" s="81"/>
      <c r="AR112" s="81"/>
      <c r="AS112" s="82"/>
    </row>
    <row r="113" spans="1:45" ht="115.5">
      <c r="A113" s="69" t="s">
        <v>3</v>
      </c>
      <c r="B113" s="70" t="s">
        <v>400</v>
      </c>
      <c r="C113" s="71" t="s">
        <v>380</v>
      </c>
      <c r="D113" s="71" t="s">
        <v>238</v>
      </c>
      <c r="E113" s="71"/>
      <c r="F113" s="77">
        <v>28112160</v>
      </c>
      <c r="G113" s="77">
        <v>14960591</v>
      </c>
      <c r="H113" s="77">
        <v>10514363.197163999</v>
      </c>
      <c r="I113" s="77"/>
      <c r="J113" s="77">
        <v>10514363.197163999</v>
      </c>
      <c r="K113" s="127" t="s">
        <v>401</v>
      </c>
      <c r="L113" s="77">
        <v>0</v>
      </c>
      <c r="M113" s="77"/>
      <c r="N113" s="73">
        <f t="shared" si="33"/>
        <v>10514363.197163999</v>
      </c>
      <c r="O113" s="131">
        <v>5499921.1300000008</v>
      </c>
      <c r="P113" s="90">
        <v>10514363</v>
      </c>
      <c r="Q113" s="85">
        <f t="shared" si="38"/>
        <v>0.99999998124812739</v>
      </c>
      <c r="R113" s="86">
        <v>0.99999998124812739</v>
      </c>
      <c r="S113" s="85">
        <f t="shared" si="24"/>
        <v>0</v>
      </c>
      <c r="T113" s="85">
        <f t="shared" si="35"/>
        <v>0.99999998124812739</v>
      </c>
      <c r="U113" s="89">
        <v>10514363</v>
      </c>
      <c r="V113" s="85">
        <f t="shared" si="39"/>
        <v>0.99999998124812739</v>
      </c>
      <c r="W113" s="86">
        <v>0.99999998124812739</v>
      </c>
      <c r="X113" s="85">
        <f t="shared" si="25"/>
        <v>0</v>
      </c>
      <c r="Y113" s="85">
        <f t="shared" si="36"/>
        <v>0.99999998124812739</v>
      </c>
      <c r="Z113" s="89">
        <v>2169074.91</v>
      </c>
      <c r="AA113" s="89">
        <v>0</v>
      </c>
      <c r="AB113" s="89">
        <v>0</v>
      </c>
      <c r="AC113" s="89">
        <v>0</v>
      </c>
      <c r="AD113" s="89">
        <v>0</v>
      </c>
      <c r="AE113" s="89">
        <f t="shared" si="26"/>
        <v>2169074.91</v>
      </c>
      <c r="AF113" s="129">
        <f t="shared" si="27"/>
        <v>2169074.91</v>
      </c>
      <c r="AG113" s="237">
        <f>SUM(Z113:AB113)</f>
        <v>2169074.91</v>
      </c>
      <c r="AH113" s="75">
        <f t="shared" si="40"/>
        <v>0.20629636520308303</v>
      </c>
      <c r="AI113" s="75">
        <v>0.20629636520308303</v>
      </c>
      <c r="AJ113" s="75">
        <f t="shared" si="29"/>
        <v>0</v>
      </c>
      <c r="AK113" s="130">
        <f t="shared" si="37"/>
        <v>0.20629636520308303</v>
      </c>
      <c r="AL113" s="72"/>
      <c r="AM113" s="81"/>
      <c r="AN113" s="81"/>
      <c r="AO113" s="81"/>
      <c r="AP113" s="72"/>
      <c r="AQ113" s="81"/>
      <c r="AR113" s="81"/>
      <c r="AS113" s="82"/>
    </row>
    <row r="114" spans="1:45" s="18" customFormat="1" ht="220.5">
      <c r="A114" s="59" t="s">
        <v>402</v>
      </c>
      <c r="B114" s="60" t="s">
        <v>403</v>
      </c>
      <c r="C114" s="61" t="s">
        <v>380</v>
      </c>
      <c r="D114" s="61" t="s">
        <v>298</v>
      </c>
      <c r="E114" s="61"/>
      <c r="F114" s="62">
        <f>F115+F119+F124+F126</f>
        <v>160218227.47256398</v>
      </c>
      <c r="G114" s="62">
        <v>233396587</v>
      </c>
      <c r="H114" s="62">
        <f>G114*G5</f>
        <v>164032054.929948</v>
      </c>
      <c r="I114" s="62"/>
      <c r="J114" s="62">
        <f>J115+J119+J124+J126</f>
        <v>164032054.75430399</v>
      </c>
      <c r="K114" s="127" t="s">
        <v>404</v>
      </c>
      <c r="L114" s="64">
        <f>L115+L119+L124+L126</f>
        <v>20070677.789999999</v>
      </c>
      <c r="M114" s="64">
        <f>M115+M119+M124+M126</f>
        <v>20070677.789999999</v>
      </c>
      <c r="N114" s="41">
        <f t="shared" si="33"/>
        <v>184102732.54430398</v>
      </c>
      <c r="O114" s="63">
        <f>O115+O119+O124+O126</f>
        <v>82307962.370000005</v>
      </c>
      <c r="P114" s="92">
        <f>P115+P119+P124+P126</f>
        <v>161897970.00999999</v>
      </c>
      <c r="Q114" s="93">
        <f t="shared" si="38"/>
        <v>0.98698983105771276</v>
      </c>
      <c r="R114" s="93">
        <v>0.99249485528350212</v>
      </c>
      <c r="S114" s="93">
        <f t="shared" si="24"/>
        <v>-5.5050242257893567E-3</v>
      </c>
      <c r="T114" s="93">
        <f t="shared" si="35"/>
        <v>0.87938928321468313</v>
      </c>
      <c r="U114" s="92">
        <f>U115+U119+U124+U126</f>
        <v>160563134.38999999</v>
      </c>
      <c r="V114" s="93">
        <f t="shared" si="39"/>
        <v>0.97885218002359387</v>
      </c>
      <c r="W114" s="93">
        <v>0.96677436237533754</v>
      </c>
      <c r="X114" s="93">
        <f t="shared" si="25"/>
        <v>1.2077817648256328E-2</v>
      </c>
      <c r="Y114" s="93">
        <f t="shared" si="36"/>
        <v>0.87213878996261374</v>
      </c>
      <c r="Z114" s="92">
        <f>Z115+Z119+Z124+Z126</f>
        <v>46612873.659999996</v>
      </c>
      <c r="AA114" s="92">
        <f>AA115+AA119+AA124+AA126</f>
        <v>26968766.829999998</v>
      </c>
      <c r="AB114" s="92">
        <f>AB115+AB119+AB124+AB126</f>
        <v>261951.73</v>
      </c>
      <c r="AC114" s="92">
        <f>AC115+AC119+AC124+AC126</f>
        <v>10182148.620000001</v>
      </c>
      <c r="AD114" s="92">
        <f>AD115+AD119+AD124+AD126</f>
        <v>6219870.3600000003</v>
      </c>
      <c r="AE114" s="92">
        <f t="shared" si="26"/>
        <v>67623721.859999999</v>
      </c>
      <c r="AF114" s="92">
        <f t="shared" si="27"/>
        <v>83763789.109999999</v>
      </c>
      <c r="AG114" s="234">
        <f>AG115+AG119+AG124+AG126</f>
        <v>73843592.219999999</v>
      </c>
      <c r="AH114" s="65">
        <f t="shared" si="40"/>
        <v>0.45017781634575565</v>
      </c>
      <c r="AI114" s="65">
        <v>0.44390083553639142</v>
      </c>
      <c r="AJ114" s="65">
        <f t="shared" si="29"/>
        <v>6.2769808093642299E-3</v>
      </c>
      <c r="AK114" s="30">
        <f t="shared" si="37"/>
        <v>0.40109992502272979</v>
      </c>
      <c r="AL114" s="62"/>
      <c r="AM114" s="67"/>
      <c r="AN114" s="67"/>
      <c r="AO114" s="67"/>
      <c r="AP114" s="62"/>
      <c r="AQ114" s="67"/>
      <c r="AR114" s="67"/>
      <c r="AS114" s="68"/>
    </row>
    <row r="115" spans="1:45" s="18" customFormat="1" ht="82.5">
      <c r="A115" s="94" t="s">
        <v>405</v>
      </c>
      <c r="B115" s="95" t="s">
        <v>406</v>
      </c>
      <c r="C115" s="96" t="s">
        <v>380</v>
      </c>
      <c r="D115" s="96" t="s">
        <v>298</v>
      </c>
      <c r="E115" s="96"/>
      <c r="F115" s="72">
        <f>F116+F117+F118</f>
        <v>38443378.799999997</v>
      </c>
      <c r="G115" s="72">
        <v>55890644</v>
      </c>
      <c r="H115" s="72">
        <f>H116+H117+H118</f>
        <v>39280168.165775999</v>
      </c>
      <c r="I115" s="72"/>
      <c r="J115" s="72">
        <v>39280168</v>
      </c>
      <c r="K115" s="135" t="s">
        <v>407</v>
      </c>
      <c r="L115" s="100">
        <f>L116+L117+L118</f>
        <v>0</v>
      </c>
      <c r="M115" s="100">
        <f>M116+M117+M118</f>
        <v>0</v>
      </c>
      <c r="N115" s="73">
        <f t="shared" si="33"/>
        <v>39280168</v>
      </c>
      <c r="O115" s="132">
        <f>O116+O117+O118</f>
        <v>22374378.260000002</v>
      </c>
      <c r="P115" s="99">
        <f>P116+P117+P118</f>
        <v>39272491.490000002</v>
      </c>
      <c r="Q115" s="103">
        <f t="shared" si="38"/>
        <v>0.99980457033686831</v>
      </c>
      <c r="R115" s="85">
        <v>0.99980457033686831</v>
      </c>
      <c r="S115" s="85">
        <f t="shared" si="24"/>
        <v>0</v>
      </c>
      <c r="T115" s="85">
        <f t="shared" si="35"/>
        <v>0.99980457033686831</v>
      </c>
      <c r="U115" s="99">
        <f>U116+U117+U118</f>
        <v>39272491.490000002</v>
      </c>
      <c r="V115" s="85">
        <f t="shared" si="39"/>
        <v>0.99980457033686831</v>
      </c>
      <c r="W115" s="85">
        <v>0.99980457033686831</v>
      </c>
      <c r="X115" s="85">
        <f t="shared" si="25"/>
        <v>0</v>
      </c>
      <c r="Y115" s="85">
        <f t="shared" si="36"/>
        <v>0.99980457033686831</v>
      </c>
      <c r="Z115" s="99">
        <f>Z116+Z117+Z118</f>
        <v>1385245.24</v>
      </c>
      <c r="AA115" s="99">
        <f>AA116+AA117+AA118</f>
        <v>10893268.09</v>
      </c>
      <c r="AB115" s="99">
        <f>AB116+AB117+AB118</f>
        <v>261951.73</v>
      </c>
      <c r="AC115" s="99">
        <f>AC116+AC117+AC118</f>
        <v>1765782.3700000003</v>
      </c>
      <c r="AD115" s="99">
        <f>AD116+AD117+AD118</f>
        <v>0</v>
      </c>
      <c r="AE115" s="99">
        <f t="shared" si="26"/>
        <v>12540465.059999999</v>
      </c>
      <c r="AF115" s="133">
        <f t="shared" si="27"/>
        <v>14044295.700000001</v>
      </c>
      <c r="AG115" s="238">
        <f>AG116+AG117+AG118</f>
        <v>12540465.059999999</v>
      </c>
      <c r="AH115" s="107">
        <f t="shared" si="40"/>
        <v>0.31925691000099587</v>
      </c>
      <c r="AI115" s="107">
        <v>0.31820711993899825</v>
      </c>
      <c r="AJ115" s="107">
        <f t="shared" si="29"/>
        <v>1.0497900619976241E-3</v>
      </c>
      <c r="AK115" s="130">
        <f t="shared" si="37"/>
        <v>0.31925691000099587</v>
      </c>
      <c r="AL115" s="72"/>
      <c r="AM115" s="81"/>
      <c r="AN115" s="81"/>
      <c r="AO115" s="81"/>
      <c r="AP115" s="72"/>
      <c r="AQ115" s="81"/>
      <c r="AR115" s="81"/>
      <c r="AS115" s="82"/>
    </row>
    <row r="116" spans="1:45" ht="99">
      <c r="A116" s="69" t="s">
        <v>4</v>
      </c>
      <c r="B116" s="70" t="s">
        <v>408</v>
      </c>
      <c r="C116" s="71" t="s">
        <v>380</v>
      </c>
      <c r="D116" s="71" t="s">
        <v>298</v>
      </c>
      <c r="E116" s="71"/>
      <c r="F116" s="77">
        <v>36320910.719999999</v>
      </c>
      <c r="G116" s="77">
        <v>53178191</v>
      </c>
      <c r="H116" s="77">
        <f>G116*G5</f>
        <v>37373845.347563997</v>
      </c>
      <c r="I116" s="77"/>
      <c r="J116" s="77">
        <v>37373845</v>
      </c>
      <c r="K116" s="135" t="s">
        <v>409</v>
      </c>
      <c r="L116" s="77">
        <v>0</v>
      </c>
      <c r="M116" s="77"/>
      <c r="N116" s="73">
        <f t="shared" si="33"/>
        <v>37373845</v>
      </c>
      <c r="O116" s="131">
        <v>21102382.640000001</v>
      </c>
      <c r="P116" s="90">
        <v>37373552.460000001</v>
      </c>
      <c r="Q116" s="85">
        <f t="shared" si="38"/>
        <v>0.99999217260091922</v>
      </c>
      <c r="R116" s="86">
        <v>0.99999217260091922</v>
      </c>
      <c r="S116" s="85">
        <f t="shared" si="24"/>
        <v>0</v>
      </c>
      <c r="T116" s="85">
        <f t="shared" si="35"/>
        <v>0.99999217260091922</v>
      </c>
      <c r="U116" s="90">
        <v>37373552.460000001</v>
      </c>
      <c r="V116" s="85">
        <f t="shared" si="39"/>
        <v>0.99999217260091922</v>
      </c>
      <c r="W116" s="86">
        <v>0.99999217260091922</v>
      </c>
      <c r="X116" s="85">
        <f t="shared" si="25"/>
        <v>0</v>
      </c>
      <c r="Y116" s="85">
        <f t="shared" si="36"/>
        <v>0.99999217260091922</v>
      </c>
      <c r="Z116" s="89">
        <v>666625.04</v>
      </c>
      <c r="AA116" s="89">
        <v>10893268.09</v>
      </c>
      <c r="AB116" s="89">
        <v>0</v>
      </c>
      <c r="AC116" s="89">
        <v>1567302.5200000003</v>
      </c>
      <c r="AD116" s="89">
        <v>0</v>
      </c>
      <c r="AE116" s="89">
        <f t="shared" si="26"/>
        <v>11559893.129999999</v>
      </c>
      <c r="AF116" s="129">
        <f t="shared" si="27"/>
        <v>13127195.649999999</v>
      </c>
      <c r="AG116" s="239">
        <f>SUM(Z116:AB116)</f>
        <v>11559893.129999999</v>
      </c>
      <c r="AH116" s="75">
        <f t="shared" si="40"/>
        <v>0.30930435790055849</v>
      </c>
      <c r="AI116" s="75">
        <v>0.30912458003718912</v>
      </c>
      <c r="AJ116" s="75">
        <f t="shared" si="29"/>
        <v>1.7977786336936807E-4</v>
      </c>
      <c r="AK116" s="130">
        <f t="shared" si="37"/>
        <v>0.30930435790055849</v>
      </c>
      <c r="AL116" s="72"/>
      <c r="AM116" s="81"/>
      <c r="AN116" s="81"/>
      <c r="AO116" s="81"/>
      <c r="AP116" s="72"/>
      <c r="AQ116" s="81"/>
      <c r="AR116" s="81"/>
      <c r="AS116" s="82"/>
    </row>
    <row r="117" spans="1:45" ht="66">
      <c r="A117" s="69" t="s">
        <v>5</v>
      </c>
      <c r="B117" s="70" t="s">
        <v>410</v>
      </c>
      <c r="C117" s="71" t="s">
        <v>380</v>
      </c>
      <c r="D117" s="71" t="s">
        <v>298</v>
      </c>
      <c r="E117" s="71"/>
      <c r="F117" s="72">
        <v>2122468.08</v>
      </c>
      <c r="G117" s="72">
        <v>2712453</v>
      </c>
      <c r="H117" s="77">
        <f>G117*G5</f>
        <v>1906322.818212</v>
      </c>
      <c r="I117" s="77"/>
      <c r="J117" s="77">
        <v>1906323</v>
      </c>
      <c r="K117" s="135" t="s">
        <v>411</v>
      </c>
      <c r="L117" s="77">
        <v>0</v>
      </c>
      <c r="M117" s="77"/>
      <c r="N117" s="73">
        <f t="shared" si="33"/>
        <v>1906323</v>
      </c>
      <c r="O117" s="131">
        <v>1271995.6200000001</v>
      </c>
      <c r="P117" s="90">
        <v>1898939.03</v>
      </c>
      <c r="Q117" s="85">
        <f t="shared" si="38"/>
        <v>0.99612659029975514</v>
      </c>
      <c r="R117" s="86">
        <v>0.99612659029975514</v>
      </c>
      <c r="S117" s="85">
        <f t="shared" si="24"/>
        <v>0</v>
      </c>
      <c r="T117" s="85">
        <f t="shared" si="35"/>
        <v>0.99612659029975514</v>
      </c>
      <c r="U117" s="89">
        <v>1898939.03</v>
      </c>
      <c r="V117" s="85">
        <f t="shared" si="39"/>
        <v>0.99612659029975514</v>
      </c>
      <c r="W117" s="86">
        <v>0.99612659029975514</v>
      </c>
      <c r="X117" s="85">
        <f t="shared" si="25"/>
        <v>0</v>
      </c>
      <c r="Y117" s="85">
        <f t="shared" si="36"/>
        <v>0.99612659029975514</v>
      </c>
      <c r="Z117" s="89">
        <v>718620.2</v>
      </c>
      <c r="AA117" s="89">
        <v>0</v>
      </c>
      <c r="AB117" s="89">
        <v>261951.73</v>
      </c>
      <c r="AC117" s="89">
        <v>198479.85</v>
      </c>
      <c r="AD117" s="89">
        <v>0</v>
      </c>
      <c r="AE117" s="89">
        <f t="shared" si="26"/>
        <v>980571.92999999993</v>
      </c>
      <c r="AF117" s="129">
        <f t="shared" si="27"/>
        <v>917100.04999999993</v>
      </c>
      <c r="AG117" s="239">
        <f>SUM(Z117:AB117)</f>
        <v>980571.92999999993</v>
      </c>
      <c r="AH117" s="75">
        <f t="shared" si="40"/>
        <v>0.5143786913340499</v>
      </c>
      <c r="AI117" s="75">
        <v>0.49627213751289784</v>
      </c>
      <c r="AJ117" s="75">
        <f t="shared" si="29"/>
        <v>1.810655382115206E-2</v>
      </c>
      <c r="AK117" s="130">
        <f t="shared" si="37"/>
        <v>0.5143786913340499</v>
      </c>
      <c r="AL117" s="72"/>
      <c r="AM117" s="81"/>
      <c r="AN117" s="81"/>
      <c r="AO117" s="81"/>
      <c r="AP117" s="72"/>
      <c r="AQ117" s="81"/>
      <c r="AR117" s="81"/>
      <c r="AS117" s="82"/>
    </row>
    <row r="118" spans="1:45" ht="66">
      <c r="A118" s="69" t="s">
        <v>6</v>
      </c>
      <c r="B118" s="70" t="s">
        <v>412</v>
      </c>
      <c r="C118" s="71" t="s">
        <v>380</v>
      </c>
      <c r="D118" s="71" t="s">
        <v>298</v>
      </c>
      <c r="E118" s="71"/>
      <c r="F118" s="72">
        <v>0</v>
      </c>
      <c r="G118" s="72">
        <v>0</v>
      </c>
      <c r="H118" s="77">
        <v>0</v>
      </c>
      <c r="I118" s="77"/>
      <c r="J118" s="77">
        <v>0</v>
      </c>
      <c r="K118" s="136" t="s">
        <v>232</v>
      </c>
      <c r="L118" s="77">
        <v>0</v>
      </c>
      <c r="M118" s="77"/>
      <c r="N118" s="73">
        <f t="shared" si="33"/>
        <v>0</v>
      </c>
      <c r="O118" s="131">
        <v>0</v>
      </c>
      <c r="P118" s="90">
        <v>0</v>
      </c>
      <c r="Q118" s="85">
        <v>0</v>
      </c>
      <c r="R118" s="86">
        <v>0</v>
      </c>
      <c r="S118" s="85">
        <f t="shared" si="24"/>
        <v>0</v>
      </c>
      <c r="T118" s="85" t="e">
        <f t="shared" si="35"/>
        <v>#DIV/0!</v>
      </c>
      <c r="U118" s="89">
        <v>0</v>
      </c>
      <c r="V118" s="85"/>
      <c r="W118" s="86"/>
      <c r="X118" s="85">
        <f t="shared" si="25"/>
        <v>0</v>
      </c>
      <c r="Y118" s="85" t="e">
        <f t="shared" si="36"/>
        <v>#DIV/0!</v>
      </c>
      <c r="Z118" s="89">
        <v>0</v>
      </c>
      <c r="AA118" s="89">
        <v>0</v>
      </c>
      <c r="AB118" s="89">
        <v>0</v>
      </c>
      <c r="AC118" s="89">
        <v>0</v>
      </c>
      <c r="AD118" s="89">
        <v>0</v>
      </c>
      <c r="AE118" s="89">
        <f t="shared" si="26"/>
        <v>0</v>
      </c>
      <c r="AF118" s="129">
        <f t="shared" si="27"/>
        <v>0</v>
      </c>
      <c r="AG118" s="239">
        <f>SUM(Z118:AB118)</f>
        <v>0</v>
      </c>
      <c r="AH118" s="75">
        <v>0</v>
      </c>
      <c r="AI118" s="75">
        <v>0</v>
      </c>
      <c r="AJ118" s="75">
        <f t="shared" si="29"/>
        <v>0</v>
      </c>
      <c r="AK118" s="130" t="e">
        <f t="shared" si="37"/>
        <v>#DIV/0!</v>
      </c>
      <c r="AL118" s="72"/>
      <c r="AM118" s="81"/>
      <c r="AN118" s="81"/>
      <c r="AO118" s="81"/>
      <c r="AP118" s="72"/>
      <c r="AQ118" s="81"/>
      <c r="AR118" s="81"/>
      <c r="AS118" s="82"/>
    </row>
    <row r="119" spans="1:45" s="18" customFormat="1" ht="141.75">
      <c r="A119" s="94" t="s">
        <v>413</v>
      </c>
      <c r="B119" s="95" t="s">
        <v>414</v>
      </c>
      <c r="C119" s="96" t="s">
        <v>380</v>
      </c>
      <c r="D119" s="96" t="s">
        <v>298</v>
      </c>
      <c r="E119" s="96"/>
      <c r="F119" s="72">
        <f>F120+F121+F122</f>
        <v>87984032.672563985</v>
      </c>
      <c r="G119" s="72">
        <v>69392850</v>
      </c>
      <c r="H119" s="72">
        <f>H120+H121+H122+H123</f>
        <v>48769572.551399991</v>
      </c>
      <c r="I119" s="72"/>
      <c r="J119" s="72">
        <f>J120+J121+J122+J123</f>
        <v>48769572.541531995</v>
      </c>
      <c r="K119" s="137" t="s">
        <v>415</v>
      </c>
      <c r="L119" s="100">
        <f>L120+L121+L122</f>
        <v>0</v>
      </c>
      <c r="M119" s="100">
        <f>M120+M121+M122</f>
        <v>0</v>
      </c>
      <c r="N119" s="73">
        <f t="shared" si="33"/>
        <v>48769572.541531995</v>
      </c>
      <c r="O119" s="132">
        <f>O120+O121+O122</f>
        <v>18722222.459999997</v>
      </c>
      <c r="P119" s="99">
        <v>38140646.700000003</v>
      </c>
      <c r="Q119" s="85">
        <f>P119/J119</f>
        <v>0.7820582529715544</v>
      </c>
      <c r="R119" s="85">
        <v>0.80057390311862286</v>
      </c>
      <c r="S119" s="85">
        <f t="shared" si="24"/>
        <v>-1.8515650147068463E-2</v>
      </c>
      <c r="T119" s="85">
        <f t="shared" si="35"/>
        <v>0.7820582529715544</v>
      </c>
      <c r="U119" s="99">
        <v>38140646.700000003</v>
      </c>
      <c r="V119" s="85">
        <f>U119/J119</f>
        <v>0.7820582529715544</v>
      </c>
      <c r="W119" s="85">
        <v>0.80057390311862286</v>
      </c>
      <c r="X119" s="85">
        <f t="shared" si="25"/>
        <v>-1.8515650147068463E-2</v>
      </c>
      <c r="Y119" s="85">
        <f t="shared" si="36"/>
        <v>0.7820582529715544</v>
      </c>
      <c r="Z119" s="99">
        <f>Z120+Z121+Z122</f>
        <v>20229515.959999997</v>
      </c>
      <c r="AA119" s="99">
        <f>AA120+AA121+AA122</f>
        <v>1388006.4400000002</v>
      </c>
      <c r="AB119" s="99">
        <f>AB120+AB121+AB122</f>
        <v>0</v>
      </c>
      <c r="AC119" s="99">
        <f>AC120+AC121+AC122</f>
        <v>578239.23000000091</v>
      </c>
      <c r="AD119" s="99">
        <f>AD120+AD121+AD122</f>
        <v>118125</v>
      </c>
      <c r="AE119" s="99">
        <f t="shared" si="26"/>
        <v>21499397.399999995</v>
      </c>
      <c r="AF119" s="133">
        <f t="shared" si="27"/>
        <v>22195761.629999999</v>
      </c>
      <c r="AG119" s="238">
        <f>AG120+AG121+AG122</f>
        <v>21617522.399999995</v>
      </c>
      <c r="AH119" s="75">
        <f>AG119/J119</f>
        <v>0.44325839398306371</v>
      </c>
      <c r="AI119" s="75">
        <v>0.42554700278845464</v>
      </c>
      <c r="AJ119" s="75">
        <f t="shared" si="29"/>
        <v>1.7711391194609072E-2</v>
      </c>
      <c r="AK119" s="130">
        <f t="shared" si="37"/>
        <v>0.44325839398306371</v>
      </c>
      <c r="AL119" s="72"/>
      <c r="AM119" s="81"/>
      <c r="AN119" s="81"/>
      <c r="AO119" s="81"/>
      <c r="AP119" s="72"/>
      <c r="AQ119" s="81"/>
      <c r="AR119" s="81"/>
      <c r="AS119" s="82"/>
    </row>
    <row r="120" spans="1:45" ht="141.75">
      <c r="A120" s="69" t="s">
        <v>416</v>
      </c>
      <c r="B120" s="70" t="s">
        <v>417</v>
      </c>
      <c r="C120" s="71" t="s">
        <v>380</v>
      </c>
      <c r="D120" s="71" t="s">
        <v>298</v>
      </c>
      <c r="E120" s="71"/>
      <c r="F120" s="77">
        <v>43386001.799999997</v>
      </c>
      <c r="G120" s="77">
        <v>10380567</v>
      </c>
      <c r="H120" s="77">
        <f>G120*G5</f>
        <v>7295504.0098679997</v>
      </c>
      <c r="I120" s="77"/>
      <c r="J120" s="77">
        <v>7295504</v>
      </c>
      <c r="K120" s="138" t="s">
        <v>418</v>
      </c>
      <c r="L120" s="77">
        <v>0</v>
      </c>
      <c r="M120" s="77"/>
      <c r="N120" s="73">
        <f t="shared" si="33"/>
        <v>7295504</v>
      </c>
      <c r="O120" s="131">
        <v>5345657.0199999996</v>
      </c>
      <c r="P120" s="90">
        <v>5892305.8399999999</v>
      </c>
      <c r="Q120" s="85">
        <f>P120/J120</f>
        <v>0.80766261522164884</v>
      </c>
      <c r="R120" s="86">
        <v>0.80766261522164884</v>
      </c>
      <c r="S120" s="85">
        <f t="shared" si="24"/>
        <v>0</v>
      </c>
      <c r="T120" s="85">
        <f t="shared" si="35"/>
        <v>0.80766261522164884</v>
      </c>
      <c r="U120" s="89">
        <v>5892305.8399999999</v>
      </c>
      <c r="V120" s="85">
        <f>U120/J120</f>
        <v>0.80766261522164884</v>
      </c>
      <c r="W120" s="86">
        <v>0.80766261522164884</v>
      </c>
      <c r="X120" s="85">
        <f t="shared" si="25"/>
        <v>0</v>
      </c>
      <c r="Y120" s="85">
        <f t="shared" si="36"/>
        <v>0.80766261522164884</v>
      </c>
      <c r="Z120" s="89">
        <v>4836408.68</v>
      </c>
      <c r="AA120" s="89">
        <v>152923.82999999999</v>
      </c>
      <c r="AB120" s="89">
        <v>0</v>
      </c>
      <c r="AC120" s="89">
        <v>138923.83000000092</v>
      </c>
      <c r="AD120" s="89">
        <v>14000</v>
      </c>
      <c r="AE120" s="89">
        <f t="shared" si="26"/>
        <v>4975332.51</v>
      </c>
      <c r="AF120" s="129">
        <f t="shared" si="27"/>
        <v>5128256.3400000008</v>
      </c>
      <c r="AG120" s="239">
        <f>SUM(Z120:AB120)</f>
        <v>4989332.51</v>
      </c>
      <c r="AH120" s="75">
        <f>AG120/J120</f>
        <v>0.68389140901026169</v>
      </c>
      <c r="AI120" s="75">
        <v>0.68389140901026169</v>
      </c>
      <c r="AJ120" s="75">
        <f t="shared" si="29"/>
        <v>0</v>
      </c>
      <c r="AK120" s="130">
        <f t="shared" si="37"/>
        <v>0.68389140901026169</v>
      </c>
      <c r="AL120" s="72"/>
      <c r="AM120" s="81"/>
      <c r="AN120" s="81"/>
      <c r="AO120" s="81"/>
      <c r="AP120" s="72"/>
      <c r="AQ120" s="81"/>
      <c r="AR120" s="81"/>
      <c r="AS120" s="82"/>
    </row>
    <row r="121" spans="1:45" ht="141.75">
      <c r="A121" s="69" t="s">
        <v>419</v>
      </c>
      <c r="B121" s="70" t="s">
        <v>420</v>
      </c>
      <c r="C121" s="71" t="s">
        <v>380</v>
      </c>
      <c r="D121" s="71" t="s">
        <v>298</v>
      </c>
      <c r="E121" s="71"/>
      <c r="F121" s="77">
        <v>43748030.899999999</v>
      </c>
      <c r="G121" s="77">
        <v>55917872</v>
      </c>
      <c r="H121" s="77">
        <f>G121*G5</f>
        <v>39299304.113087997</v>
      </c>
      <c r="I121" s="77"/>
      <c r="J121" s="77">
        <v>39299304.113087997</v>
      </c>
      <c r="K121" s="138" t="s">
        <v>418</v>
      </c>
      <c r="L121" s="77">
        <v>0</v>
      </c>
      <c r="M121" s="77"/>
      <c r="N121" s="73">
        <f t="shared" si="33"/>
        <v>39299304.113087997</v>
      </c>
      <c r="O121" s="131">
        <v>13331726.74</v>
      </c>
      <c r="P121" s="90">
        <v>32176503.359999999</v>
      </c>
      <c r="Q121" s="85">
        <f>P121/J121</f>
        <v>0.81875504124471599</v>
      </c>
      <c r="R121" s="86">
        <v>0.84173254734511715</v>
      </c>
      <c r="S121" s="85">
        <f t="shared" si="24"/>
        <v>-2.2977506100401168E-2</v>
      </c>
      <c r="T121" s="85">
        <f t="shared" si="35"/>
        <v>0.81875504124471599</v>
      </c>
      <c r="U121" s="89">
        <v>32176503.359999999</v>
      </c>
      <c r="V121" s="85">
        <f>U121/J121</f>
        <v>0.81875504124471599</v>
      </c>
      <c r="W121" s="86">
        <v>0.84173254734511715</v>
      </c>
      <c r="X121" s="85">
        <f t="shared" si="25"/>
        <v>-2.2977506100401168E-2</v>
      </c>
      <c r="Y121" s="85">
        <f t="shared" si="36"/>
        <v>0.81875504124471599</v>
      </c>
      <c r="Z121" s="89">
        <v>15382469.579999998</v>
      </c>
      <c r="AA121" s="89">
        <v>1235082.6100000001</v>
      </c>
      <c r="AB121" s="89">
        <v>0</v>
      </c>
      <c r="AC121" s="89">
        <v>439315.4</v>
      </c>
      <c r="AD121" s="89">
        <v>104125</v>
      </c>
      <c r="AE121" s="89">
        <f t="shared" si="26"/>
        <v>16513427.189999998</v>
      </c>
      <c r="AF121" s="129">
        <f t="shared" si="27"/>
        <v>17056867.589999996</v>
      </c>
      <c r="AG121" s="239">
        <f>SUM(Z121:AB121)</f>
        <v>16617552.189999998</v>
      </c>
      <c r="AH121" s="75">
        <f>AG121/J121</f>
        <v>0.42284596547005499</v>
      </c>
      <c r="AI121" s="75">
        <v>0.40086651368346898</v>
      </c>
      <c r="AJ121" s="75">
        <f t="shared" si="29"/>
        <v>2.1979451786586002E-2</v>
      </c>
      <c r="AK121" s="130">
        <f t="shared" si="37"/>
        <v>0.42284596547005499</v>
      </c>
      <c r="AL121" s="72"/>
      <c r="AM121" s="81"/>
      <c r="AN121" s="81"/>
      <c r="AO121" s="81"/>
      <c r="AP121" s="72"/>
      <c r="AQ121" s="81"/>
      <c r="AR121" s="81"/>
      <c r="AS121" s="82"/>
    </row>
    <row r="122" spans="1:45" ht="141.75">
      <c r="A122" s="69" t="s">
        <v>9</v>
      </c>
      <c r="B122" s="70" t="s">
        <v>421</v>
      </c>
      <c r="C122" s="71" t="s">
        <v>380</v>
      </c>
      <c r="D122" s="71" t="s">
        <v>298</v>
      </c>
      <c r="E122" s="71"/>
      <c r="F122" s="72">
        <v>849999.97256399994</v>
      </c>
      <c r="G122" s="72">
        <v>248667</v>
      </c>
      <c r="H122" s="77">
        <f>G122*G5</f>
        <v>174764.16226799999</v>
      </c>
      <c r="I122" s="77"/>
      <c r="J122" s="77">
        <v>174764.16226799999</v>
      </c>
      <c r="K122" s="138" t="s">
        <v>418</v>
      </c>
      <c r="L122" s="77">
        <v>0</v>
      </c>
      <c r="M122" s="77"/>
      <c r="N122" s="73">
        <f t="shared" si="33"/>
        <v>174764.16226799999</v>
      </c>
      <c r="O122" s="131">
        <v>44838.7</v>
      </c>
      <c r="P122" s="90">
        <v>71837.5</v>
      </c>
      <c r="Q122" s="85">
        <f>P122/J122</f>
        <v>0.41105395447058274</v>
      </c>
      <c r="R122" s="86">
        <v>0.41105433613329978</v>
      </c>
      <c r="S122" s="85">
        <f t="shared" si="24"/>
        <v>-3.8166271704165311E-7</v>
      </c>
      <c r="T122" s="85">
        <f t="shared" si="35"/>
        <v>0.41105395447058274</v>
      </c>
      <c r="U122" s="89">
        <v>71837.5</v>
      </c>
      <c r="V122" s="85">
        <f>U122/J122</f>
        <v>0.41105395447058274</v>
      </c>
      <c r="W122" s="86">
        <v>0.41105433613329978</v>
      </c>
      <c r="X122" s="85">
        <f t="shared" si="25"/>
        <v>-3.8166271704165311E-7</v>
      </c>
      <c r="Y122" s="85">
        <f t="shared" si="36"/>
        <v>0.41105395447058274</v>
      </c>
      <c r="Z122" s="89">
        <v>10637.7</v>
      </c>
      <c r="AA122" s="89">
        <v>0</v>
      </c>
      <c r="AB122" s="89">
        <v>0</v>
      </c>
      <c r="AC122" s="89">
        <v>0</v>
      </c>
      <c r="AD122" s="89">
        <v>0</v>
      </c>
      <c r="AE122" s="89">
        <f t="shared" si="26"/>
        <v>10637.7</v>
      </c>
      <c r="AF122" s="129">
        <f t="shared" si="27"/>
        <v>10637.7</v>
      </c>
      <c r="AG122" s="239">
        <f>SUM(Z122:AB122)</f>
        <v>10637.7</v>
      </c>
      <c r="AH122" s="75">
        <f>AG122/J122</f>
        <v>6.0868886743994689E-2</v>
      </c>
      <c r="AI122" s="75">
        <v>6.0868943260625766E-2</v>
      </c>
      <c r="AJ122" s="75">
        <f t="shared" si="29"/>
        <v>-5.651663107647531E-8</v>
      </c>
      <c r="AK122" s="130">
        <f t="shared" si="37"/>
        <v>6.0868886743994689E-2</v>
      </c>
      <c r="AL122" s="72"/>
      <c r="AM122" s="81"/>
      <c r="AN122" s="81"/>
      <c r="AO122" s="81"/>
      <c r="AP122" s="72"/>
      <c r="AQ122" s="81"/>
      <c r="AR122" s="81"/>
      <c r="AS122" s="82"/>
    </row>
    <row r="123" spans="1:45" ht="82.5">
      <c r="A123" s="69" t="s">
        <v>143</v>
      </c>
      <c r="B123" s="70" t="s">
        <v>422</v>
      </c>
      <c r="C123" s="71" t="s">
        <v>380</v>
      </c>
      <c r="D123" s="71" t="s">
        <v>298</v>
      </c>
      <c r="E123" s="71"/>
      <c r="F123" s="72"/>
      <c r="G123" s="72">
        <v>2845744</v>
      </c>
      <c r="H123" s="77">
        <f>G123*G5</f>
        <v>2000000.266176</v>
      </c>
      <c r="I123" s="77"/>
      <c r="J123" s="77">
        <v>2000000.266176</v>
      </c>
      <c r="K123" s="127" t="s">
        <v>423</v>
      </c>
      <c r="L123" s="77">
        <v>0</v>
      </c>
      <c r="M123" s="77"/>
      <c r="N123" s="73">
        <f t="shared" si="33"/>
        <v>2000000.266176</v>
      </c>
      <c r="O123" s="131">
        <v>0</v>
      </c>
      <c r="P123" s="90">
        <v>0</v>
      </c>
      <c r="Q123" s="85">
        <f>P123/J123</f>
        <v>0</v>
      </c>
      <c r="R123" s="86">
        <v>0</v>
      </c>
      <c r="S123" s="85">
        <f t="shared" si="24"/>
        <v>0</v>
      </c>
      <c r="T123" s="85">
        <f t="shared" si="35"/>
        <v>0</v>
      </c>
      <c r="U123" s="89">
        <v>0</v>
      </c>
      <c r="V123" s="85">
        <f>U123/J123</f>
        <v>0</v>
      </c>
      <c r="W123" s="86">
        <v>0</v>
      </c>
      <c r="X123" s="85">
        <f t="shared" si="25"/>
        <v>0</v>
      </c>
      <c r="Y123" s="85">
        <f t="shared" si="36"/>
        <v>0</v>
      </c>
      <c r="Z123" s="89">
        <v>0</v>
      </c>
      <c r="AA123" s="89">
        <v>0</v>
      </c>
      <c r="AB123" s="89">
        <v>0</v>
      </c>
      <c r="AC123" s="89">
        <v>0</v>
      </c>
      <c r="AD123" s="89">
        <v>0</v>
      </c>
      <c r="AE123" s="89">
        <v>0</v>
      </c>
      <c r="AF123" s="129">
        <v>0</v>
      </c>
      <c r="AG123" s="239">
        <v>0</v>
      </c>
      <c r="AH123" s="75">
        <f>AG123/J123</f>
        <v>0</v>
      </c>
      <c r="AI123" s="75">
        <v>0</v>
      </c>
      <c r="AJ123" s="75">
        <f t="shared" si="29"/>
        <v>0</v>
      </c>
      <c r="AK123" s="130">
        <f t="shared" si="37"/>
        <v>0</v>
      </c>
      <c r="AL123" s="72"/>
      <c r="AM123" s="81"/>
      <c r="AN123" s="81"/>
      <c r="AO123" s="81"/>
      <c r="AP123" s="72"/>
      <c r="AQ123" s="81"/>
      <c r="AR123" s="81"/>
      <c r="AS123" s="82"/>
    </row>
    <row r="124" spans="1:45" s="18" customFormat="1" ht="94.5">
      <c r="A124" s="94" t="s">
        <v>424</v>
      </c>
      <c r="B124" s="95" t="s">
        <v>425</v>
      </c>
      <c r="C124" s="96" t="s">
        <v>398</v>
      </c>
      <c r="D124" s="96" t="s">
        <v>298</v>
      </c>
      <c r="E124" s="96"/>
      <c r="F124" s="72">
        <v>14056080</v>
      </c>
      <c r="G124" s="72">
        <v>0</v>
      </c>
      <c r="H124" s="72">
        <f>I125</f>
        <v>0</v>
      </c>
      <c r="I124" s="72"/>
      <c r="J124" s="72">
        <f>J125</f>
        <v>0</v>
      </c>
      <c r="K124" s="127" t="s">
        <v>426</v>
      </c>
      <c r="L124" s="72">
        <f>L125</f>
        <v>0</v>
      </c>
      <c r="M124" s="72"/>
      <c r="N124" s="73">
        <f t="shared" si="33"/>
        <v>0</v>
      </c>
      <c r="O124" s="74">
        <v>0</v>
      </c>
      <c r="P124" s="99">
        <f>P125</f>
        <v>0</v>
      </c>
      <c r="Q124" s="85">
        <v>0</v>
      </c>
      <c r="R124" s="85">
        <v>0</v>
      </c>
      <c r="S124" s="85">
        <f t="shared" si="24"/>
        <v>0</v>
      </c>
      <c r="T124" s="85" t="e">
        <f t="shared" si="35"/>
        <v>#DIV/0!</v>
      </c>
      <c r="U124" s="99">
        <f>U125</f>
        <v>0</v>
      </c>
      <c r="V124" s="85">
        <v>0</v>
      </c>
      <c r="W124" s="85">
        <v>0</v>
      </c>
      <c r="X124" s="85">
        <f t="shared" si="25"/>
        <v>0</v>
      </c>
      <c r="Y124" s="85" t="e">
        <f t="shared" si="36"/>
        <v>#DIV/0!</v>
      </c>
      <c r="Z124" s="99">
        <f>Z125</f>
        <v>0</v>
      </c>
      <c r="AA124" s="99">
        <f>AA125</f>
        <v>0</v>
      </c>
      <c r="AB124" s="99">
        <f>AB125</f>
        <v>0</v>
      </c>
      <c r="AC124" s="99">
        <f>AC125</f>
        <v>0</v>
      </c>
      <c r="AD124" s="99">
        <f>AD125</f>
        <v>0</v>
      </c>
      <c r="AE124" s="99">
        <f t="shared" ref="AE124:AE132" si="42">AG124-AD124</f>
        <v>0</v>
      </c>
      <c r="AF124" s="133">
        <f t="shared" ref="AF124:AF133" si="43">Z124+AA124+AC124</f>
        <v>0</v>
      </c>
      <c r="AG124" s="238">
        <f>AG125</f>
        <v>0</v>
      </c>
      <c r="AH124" s="75">
        <v>0</v>
      </c>
      <c r="AI124" s="75">
        <v>0</v>
      </c>
      <c r="AJ124" s="75">
        <f t="shared" si="29"/>
        <v>0</v>
      </c>
      <c r="AK124" s="130" t="e">
        <f t="shared" si="37"/>
        <v>#DIV/0!</v>
      </c>
      <c r="AL124" s="72"/>
      <c r="AM124" s="81"/>
      <c r="AN124" s="81"/>
      <c r="AO124" s="81"/>
      <c r="AP124" s="72"/>
      <c r="AQ124" s="81"/>
      <c r="AR124" s="81"/>
      <c r="AS124" s="82"/>
    </row>
    <row r="125" spans="1:45" ht="94.5">
      <c r="A125" s="69" t="s">
        <v>144</v>
      </c>
      <c r="B125" s="70" t="s">
        <v>427</v>
      </c>
      <c r="C125" s="71" t="s">
        <v>380</v>
      </c>
      <c r="D125" s="71" t="s">
        <v>298</v>
      </c>
      <c r="E125" s="71"/>
      <c r="F125" s="72">
        <v>14056080</v>
      </c>
      <c r="G125" s="72"/>
      <c r="H125" s="77">
        <v>0</v>
      </c>
      <c r="I125" s="77"/>
      <c r="J125" s="77">
        <v>0</v>
      </c>
      <c r="K125" s="127" t="s">
        <v>426</v>
      </c>
      <c r="L125" s="77">
        <v>0</v>
      </c>
      <c r="M125" s="77"/>
      <c r="N125" s="73">
        <f t="shared" si="33"/>
        <v>0</v>
      </c>
      <c r="O125" s="74">
        <v>0</v>
      </c>
      <c r="P125" s="90">
        <v>0</v>
      </c>
      <c r="Q125" s="85">
        <v>0</v>
      </c>
      <c r="R125" s="86">
        <v>0</v>
      </c>
      <c r="S125" s="85">
        <f t="shared" si="24"/>
        <v>0</v>
      </c>
      <c r="T125" s="85" t="e">
        <f t="shared" si="35"/>
        <v>#DIV/0!</v>
      </c>
      <c r="U125" s="89">
        <v>0</v>
      </c>
      <c r="V125" s="85">
        <v>0</v>
      </c>
      <c r="W125" s="86">
        <v>0</v>
      </c>
      <c r="X125" s="85">
        <f t="shared" si="25"/>
        <v>0</v>
      </c>
      <c r="Y125" s="85" t="e">
        <f t="shared" si="36"/>
        <v>#DIV/0!</v>
      </c>
      <c r="Z125" s="89">
        <v>0</v>
      </c>
      <c r="AA125" s="89">
        <v>0</v>
      </c>
      <c r="AB125" s="89">
        <v>0</v>
      </c>
      <c r="AC125" s="89">
        <v>0</v>
      </c>
      <c r="AD125" s="89">
        <v>0</v>
      </c>
      <c r="AE125" s="89">
        <f t="shared" si="42"/>
        <v>0</v>
      </c>
      <c r="AF125" s="129">
        <f t="shared" si="43"/>
        <v>0</v>
      </c>
      <c r="AG125" s="239">
        <f>SUM(Z125:AB125)</f>
        <v>0</v>
      </c>
      <c r="AH125" s="75">
        <v>0</v>
      </c>
      <c r="AI125" s="75">
        <v>0</v>
      </c>
      <c r="AJ125" s="75">
        <f t="shared" si="29"/>
        <v>0</v>
      </c>
      <c r="AK125" s="130" t="e">
        <f t="shared" si="37"/>
        <v>#DIV/0!</v>
      </c>
      <c r="AL125" s="72"/>
      <c r="AM125" s="81"/>
      <c r="AN125" s="81"/>
      <c r="AO125" s="81"/>
      <c r="AP125" s="72"/>
      <c r="AQ125" s="81"/>
      <c r="AR125" s="81"/>
      <c r="AS125" s="82"/>
    </row>
    <row r="126" spans="1:45" ht="148.5">
      <c r="A126" s="69" t="s">
        <v>428</v>
      </c>
      <c r="B126" s="70" t="s">
        <v>429</v>
      </c>
      <c r="C126" s="71" t="s">
        <v>380</v>
      </c>
      <c r="D126" s="71" t="s">
        <v>298</v>
      </c>
      <c r="E126" s="71"/>
      <c r="F126" s="77">
        <v>19734736</v>
      </c>
      <c r="G126" s="77">
        <v>108113093</v>
      </c>
      <c r="H126" s="77">
        <f>G126*G5</f>
        <v>75982314.212771997</v>
      </c>
      <c r="I126" s="77"/>
      <c r="J126" s="77">
        <f>H126</f>
        <v>75982314.212771997</v>
      </c>
      <c r="K126" s="134" t="s">
        <v>430</v>
      </c>
      <c r="L126" s="77">
        <v>20070677.789999999</v>
      </c>
      <c r="M126" s="77">
        <v>20070677.789999999</v>
      </c>
      <c r="N126" s="73">
        <f t="shared" si="33"/>
        <v>96052992.002772003</v>
      </c>
      <c r="O126" s="74">
        <v>41211361.649999999</v>
      </c>
      <c r="P126" s="90">
        <v>84484831.819999993</v>
      </c>
      <c r="Q126" s="85">
        <f>P126/J126</f>
        <v>1.1119012719646646</v>
      </c>
      <c r="R126" s="86">
        <v>1.1119012720962742</v>
      </c>
      <c r="S126" s="85">
        <f t="shared" ref="S126:S145" si="44">Q126-R126</f>
        <v>-1.3160961209734978E-10</v>
      </c>
      <c r="T126" s="85">
        <f t="shared" si="35"/>
        <v>0.87956481165690115</v>
      </c>
      <c r="U126" s="90">
        <v>83149996.200000003</v>
      </c>
      <c r="V126" s="85">
        <f>U126/J126</f>
        <v>1.0943335572427613</v>
      </c>
      <c r="W126" s="86">
        <v>1.0563753864515486</v>
      </c>
      <c r="X126" s="85">
        <f t="shared" ref="X126:X145" si="45">V126-W126</f>
        <v>3.7958170791212664E-2</v>
      </c>
      <c r="Y126" s="85">
        <f t="shared" si="36"/>
        <v>0.86566794501935318</v>
      </c>
      <c r="Z126" s="90">
        <v>24998112.460000001</v>
      </c>
      <c r="AA126" s="90">
        <v>14687492.300000001</v>
      </c>
      <c r="AB126" s="89">
        <v>0</v>
      </c>
      <c r="AC126" s="89">
        <v>7838127.0200000005</v>
      </c>
      <c r="AD126" s="89">
        <v>6101745.3600000003</v>
      </c>
      <c r="AE126" s="89">
        <f t="shared" si="42"/>
        <v>33583859.400000006</v>
      </c>
      <c r="AF126" s="129">
        <f t="shared" si="43"/>
        <v>47523731.780000009</v>
      </c>
      <c r="AG126" s="239">
        <f>SUM(Z126:AB126)</f>
        <v>39685604.760000005</v>
      </c>
      <c r="AH126" s="75">
        <f>AG126/J126</f>
        <v>0.52230055337442172</v>
      </c>
      <c r="AI126" s="75">
        <v>0.52066052488501502</v>
      </c>
      <c r="AJ126" s="75">
        <f t="shared" ref="AJ126:AJ128" si="46">AH126-AI126</f>
        <v>1.6400284894066974E-3</v>
      </c>
      <c r="AK126" s="130">
        <f t="shared" si="37"/>
        <v>0.41316364990332333</v>
      </c>
      <c r="AL126" s="72"/>
      <c r="AM126" s="81"/>
      <c r="AN126" s="81"/>
      <c r="AO126" s="81"/>
      <c r="AP126" s="72"/>
      <c r="AQ126" s="81"/>
      <c r="AR126" s="81"/>
      <c r="AS126" s="82"/>
    </row>
    <row r="127" spans="1:45" s="18" customFormat="1" ht="214.5">
      <c r="A127" s="59" t="s">
        <v>431</v>
      </c>
      <c r="B127" s="60" t="s">
        <v>432</v>
      </c>
      <c r="C127" s="61" t="s">
        <v>380</v>
      </c>
      <c r="D127" s="61" t="s">
        <v>298</v>
      </c>
      <c r="E127" s="61"/>
      <c r="F127" s="62">
        <v>118190549</v>
      </c>
      <c r="G127" s="62">
        <v>184285138</v>
      </c>
      <c r="H127" s="62">
        <f>G127*G5</f>
        <v>129516332.12695199</v>
      </c>
      <c r="I127" s="62"/>
      <c r="J127" s="62">
        <f>J128</f>
        <v>129516332.052816</v>
      </c>
      <c r="K127" s="139" t="s">
        <v>433</v>
      </c>
      <c r="L127" s="64">
        <f>L128</f>
        <v>0</v>
      </c>
      <c r="M127" s="64">
        <f>M128</f>
        <v>0</v>
      </c>
      <c r="N127" s="41">
        <f t="shared" si="33"/>
        <v>129516332.052816</v>
      </c>
      <c r="O127" s="63">
        <f>O128</f>
        <v>170300356</v>
      </c>
      <c r="P127" s="92">
        <f>P128</f>
        <v>129516330.67</v>
      </c>
      <c r="Q127" s="93">
        <f>P127/J127</f>
        <v>0.99999998932323064</v>
      </c>
      <c r="R127" s="93">
        <v>0.99999998932323064</v>
      </c>
      <c r="S127" s="93">
        <f t="shared" si="44"/>
        <v>0</v>
      </c>
      <c r="T127" s="93">
        <f t="shared" si="35"/>
        <v>0.99999998932323064</v>
      </c>
      <c r="U127" s="92">
        <f>U128</f>
        <v>129516330.67</v>
      </c>
      <c r="V127" s="93">
        <f>U127/J127</f>
        <v>0.99999998932323064</v>
      </c>
      <c r="W127" s="93">
        <v>0.99999998932323064</v>
      </c>
      <c r="X127" s="93">
        <f t="shared" si="45"/>
        <v>0</v>
      </c>
      <c r="Y127" s="93">
        <f t="shared" si="36"/>
        <v>0.99999998932323064</v>
      </c>
      <c r="Z127" s="92">
        <f>Z128</f>
        <v>129516330.67</v>
      </c>
      <c r="AA127" s="92">
        <f>AA128</f>
        <v>0</v>
      </c>
      <c r="AB127" s="92">
        <f>AB128</f>
        <v>0</v>
      </c>
      <c r="AC127" s="92">
        <f>AC128</f>
        <v>0</v>
      </c>
      <c r="AD127" s="92">
        <f>AD128</f>
        <v>33477881</v>
      </c>
      <c r="AE127" s="99">
        <f t="shared" si="42"/>
        <v>96038449.670000002</v>
      </c>
      <c r="AF127" s="133">
        <f t="shared" si="43"/>
        <v>129516330.67</v>
      </c>
      <c r="AG127" s="234">
        <f>AG128</f>
        <v>129516330.67</v>
      </c>
      <c r="AH127" s="65">
        <f>AG127/J127</f>
        <v>0.99999998932323064</v>
      </c>
      <c r="AI127" s="65">
        <v>0.99999998932323064</v>
      </c>
      <c r="AJ127" s="65">
        <f t="shared" si="46"/>
        <v>0</v>
      </c>
      <c r="AK127" s="30">
        <f t="shared" si="37"/>
        <v>0.99999998932323064</v>
      </c>
      <c r="AL127" s="62"/>
      <c r="AM127" s="67"/>
      <c r="AN127" s="67"/>
      <c r="AO127" s="67"/>
      <c r="AP127" s="62"/>
      <c r="AQ127" s="67"/>
      <c r="AR127" s="67"/>
      <c r="AS127" s="68"/>
    </row>
    <row r="128" spans="1:45" s="18" customFormat="1" ht="82.5">
      <c r="A128" s="59" t="s">
        <v>434</v>
      </c>
      <c r="B128" s="60" t="s">
        <v>435</v>
      </c>
      <c r="C128" s="61" t="s">
        <v>380</v>
      </c>
      <c r="D128" s="61" t="s">
        <v>298</v>
      </c>
      <c r="E128" s="61"/>
      <c r="F128" s="62">
        <f>F129+F130+F133+F134</f>
        <v>118190548.72945601</v>
      </c>
      <c r="G128" s="62">
        <f>G129+G130+G133+G134</f>
        <v>184285138</v>
      </c>
      <c r="H128" s="62">
        <f>H129+H130+H133+H134</f>
        <v>129516332.12695199</v>
      </c>
      <c r="I128" s="62"/>
      <c r="J128" s="62">
        <f>J129+J130+J133+J134</f>
        <v>129516332.052816</v>
      </c>
      <c r="K128" s="140" t="s">
        <v>436</v>
      </c>
      <c r="L128" s="64">
        <f>L129+L130+L133+L134</f>
        <v>0</v>
      </c>
      <c r="M128" s="64">
        <f>M129+M130+M133+M134</f>
        <v>0</v>
      </c>
      <c r="N128" s="41">
        <f t="shared" si="33"/>
        <v>129516332.052816</v>
      </c>
      <c r="O128" s="63">
        <f>O129+O130+O133+O134</f>
        <v>170300356</v>
      </c>
      <c r="P128" s="92">
        <f>P129+P130+P133+P134</f>
        <v>129516330.67</v>
      </c>
      <c r="Q128" s="93">
        <f>P128/J128</f>
        <v>0.99999998932323064</v>
      </c>
      <c r="R128" s="93">
        <v>0.99999998932323064</v>
      </c>
      <c r="S128" s="93">
        <f t="shared" si="44"/>
        <v>0</v>
      </c>
      <c r="T128" s="93">
        <f t="shared" si="35"/>
        <v>0.99999998932323064</v>
      </c>
      <c r="U128" s="92">
        <f>U129+U130+U133+U134</f>
        <v>129516330.67</v>
      </c>
      <c r="V128" s="93">
        <f>U128/J128</f>
        <v>0.99999998932323064</v>
      </c>
      <c r="W128" s="93">
        <v>0.99999998932323064</v>
      </c>
      <c r="X128" s="93">
        <f t="shared" si="45"/>
        <v>0</v>
      </c>
      <c r="Y128" s="93">
        <f t="shared" si="36"/>
        <v>0.99999998932323064</v>
      </c>
      <c r="Z128" s="92">
        <f>Z129+Z130+Z133+Z134</f>
        <v>129516330.67</v>
      </c>
      <c r="AA128" s="92">
        <f>AA129+AA130+AA133+AA134</f>
        <v>0</v>
      </c>
      <c r="AB128" s="92">
        <f>AB129+AB130+AB133+AB134</f>
        <v>0</v>
      </c>
      <c r="AC128" s="92">
        <f>AC129+AC130+AC133+AC134</f>
        <v>0</v>
      </c>
      <c r="AD128" s="92">
        <f>AD129+AD130+AD133+AD134</f>
        <v>33477881</v>
      </c>
      <c r="AE128" s="99">
        <f t="shared" si="42"/>
        <v>96038449.670000002</v>
      </c>
      <c r="AF128" s="133">
        <f t="shared" si="43"/>
        <v>129516330.67</v>
      </c>
      <c r="AG128" s="234">
        <f>AG129+AG130+AG133+AG134</f>
        <v>129516330.67</v>
      </c>
      <c r="AH128" s="65">
        <f>AG128/J128</f>
        <v>0.99999998932323064</v>
      </c>
      <c r="AI128" s="65">
        <v>0.99999998932323064</v>
      </c>
      <c r="AJ128" s="65">
        <f t="shared" si="46"/>
        <v>0</v>
      </c>
      <c r="AK128" s="30">
        <f t="shared" si="37"/>
        <v>0.99999998932323064</v>
      </c>
      <c r="AL128" s="62"/>
      <c r="AM128" s="67"/>
      <c r="AN128" s="67"/>
      <c r="AO128" s="67"/>
      <c r="AP128" s="62"/>
      <c r="AQ128" s="67"/>
      <c r="AR128" s="67"/>
      <c r="AS128" s="68"/>
    </row>
    <row r="129" spans="1:45" ht="148.5">
      <c r="A129" s="69" t="s">
        <v>11</v>
      </c>
      <c r="B129" s="70" t="s">
        <v>437</v>
      </c>
      <c r="C129" s="71" t="s">
        <v>380</v>
      </c>
      <c r="D129" s="71" t="s">
        <v>298</v>
      </c>
      <c r="E129" s="71"/>
      <c r="F129" s="77">
        <v>57875909.399999999</v>
      </c>
      <c r="G129" s="77">
        <v>83280404</v>
      </c>
      <c r="H129" s="77">
        <f>G129*G5</f>
        <v>58529801.052815996</v>
      </c>
      <c r="I129" s="77"/>
      <c r="J129" s="77">
        <v>58529801.052815996</v>
      </c>
      <c r="K129" s="134" t="s">
        <v>438</v>
      </c>
      <c r="L129" s="77">
        <v>0</v>
      </c>
      <c r="M129" s="77"/>
      <c r="N129" s="73">
        <f t="shared" si="33"/>
        <v>58529801.052815996</v>
      </c>
      <c r="O129" s="131">
        <v>64306566</v>
      </c>
      <c r="P129" s="90">
        <v>58529800.700000003</v>
      </c>
      <c r="Q129" s="85">
        <f>P129/J129</f>
        <v>0.9999999939720281</v>
      </c>
      <c r="R129" s="86">
        <v>0.9999999939720281</v>
      </c>
      <c r="S129" s="85">
        <f t="shared" si="44"/>
        <v>0</v>
      </c>
      <c r="T129" s="85">
        <f t="shared" si="35"/>
        <v>0.9999999939720281</v>
      </c>
      <c r="U129" s="89">
        <v>58529800.700000003</v>
      </c>
      <c r="V129" s="85">
        <f>U129/J129</f>
        <v>0.9999999939720281</v>
      </c>
      <c r="W129" s="86">
        <v>0.9999999939720281</v>
      </c>
      <c r="X129" s="85">
        <f t="shared" si="45"/>
        <v>0</v>
      </c>
      <c r="Y129" s="85">
        <f t="shared" si="36"/>
        <v>0.9999999939720281</v>
      </c>
      <c r="Z129" s="89">
        <v>58529800.700000003</v>
      </c>
      <c r="AA129" s="89">
        <v>0</v>
      </c>
      <c r="AB129" s="89">
        <v>0</v>
      </c>
      <c r="AC129" s="89">
        <v>0</v>
      </c>
      <c r="AD129" s="89">
        <v>0</v>
      </c>
      <c r="AE129" s="99">
        <f t="shared" si="42"/>
        <v>58529800.700000003</v>
      </c>
      <c r="AF129" s="133">
        <f t="shared" si="43"/>
        <v>58529800.700000003</v>
      </c>
      <c r="AG129" s="239">
        <f>Z129+AA129+AB129</f>
        <v>58529800.700000003</v>
      </c>
      <c r="AH129" s="75">
        <v>1</v>
      </c>
      <c r="AI129" s="75">
        <v>1</v>
      </c>
      <c r="AJ129" s="75">
        <v>0</v>
      </c>
      <c r="AK129" s="130">
        <f t="shared" si="37"/>
        <v>0.9999999939720281</v>
      </c>
      <c r="AL129" s="72"/>
      <c r="AM129" s="81"/>
      <c r="AN129" s="81"/>
      <c r="AO129" s="81"/>
      <c r="AP129" s="72"/>
      <c r="AQ129" s="81"/>
      <c r="AR129" s="81"/>
      <c r="AS129" s="82"/>
    </row>
    <row r="130" spans="1:45" s="18" customFormat="1" ht="49.5">
      <c r="A130" s="94" t="s">
        <v>439</v>
      </c>
      <c r="B130" s="95" t="s">
        <v>440</v>
      </c>
      <c r="C130" s="96" t="s">
        <v>380</v>
      </c>
      <c r="D130" s="96" t="s">
        <v>298</v>
      </c>
      <c r="E130" s="96"/>
      <c r="F130" s="72">
        <f>SUM(F131,F132)</f>
        <v>0</v>
      </c>
      <c r="G130" s="72"/>
      <c r="H130" s="72">
        <f>SUM(H131,H132)</f>
        <v>0</v>
      </c>
      <c r="I130" s="72"/>
      <c r="J130" s="72">
        <f>SUM(J131,J132)</f>
        <v>0</v>
      </c>
      <c r="K130" s="62" t="s">
        <v>232</v>
      </c>
      <c r="L130" s="72">
        <f>SUM(L131,L132)</f>
        <v>0</v>
      </c>
      <c r="M130" s="72">
        <f>SUM(M131,M132)</f>
        <v>0</v>
      </c>
      <c r="N130" s="73">
        <f t="shared" si="33"/>
        <v>0</v>
      </c>
      <c r="O130" s="132">
        <f>SUM(O131,O132)</f>
        <v>0</v>
      </c>
      <c r="P130" s="99">
        <f>SUM(P131,P132)</f>
        <v>0</v>
      </c>
      <c r="Q130" s="85">
        <v>0</v>
      </c>
      <c r="R130" s="85">
        <v>0</v>
      </c>
      <c r="S130" s="85">
        <f t="shared" si="44"/>
        <v>0</v>
      </c>
      <c r="T130" s="85" t="e">
        <f t="shared" si="35"/>
        <v>#DIV/0!</v>
      </c>
      <c r="U130" s="99">
        <f>SUM(U131,U132)</f>
        <v>0</v>
      </c>
      <c r="V130" s="85">
        <v>0</v>
      </c>
      <c r="W130" s="85">
        <v>0</v>
      </c>
      <c r="X130" s="85">
        <f t="shared" si="45"/>
        <v>0</v>
      </c>
      <c r="Y130" s="85" t="e">
        <f t="shared" si="36"/>
        <v>#DIV/0!</v>
      </c>
      <c r="Z130" s="99">
        <f>SUM(Z131,Z132)</f>
        <v>0</v>
      </c>
      <c r="AA130" s="99">
        <f>SUM(AA131,AA132)</f>
        <v>0</v>
      </c>
      <c r="AB130" s="99">
        <f>SUM(AB131,AB132)</f>
        <v>0</v>
      </c>
      <c r="AC130" s="99">
        <f>SUM(AC131,AC132)</f>
        <v>0</v>
      </c>
      <c r="AD130" s="99">
        <f>SUM(AD131,AD132)</f>
        <v>0</v>
      </c>
      <c r="AE130" s="99">
        <f t="shared" si="42"/>
        <v>0</v>
      </c>
      <c r="AF130" s="133">
        <f t="shared" si="43"/>
        <v>0</v>
      </c>
      <c r="AG130" s="238">
        <f>SUM(AG131,AG132)</f>
        <v>0</v>
      </c>
      <c r="AH130" s="75">
        <v>0</v>
      </c>
      <c r="AI130" s="75">
        <v>0</v>
      </c>
      <c r="AJ130" s="75">
        <f t="shared" ref="AJ130:AJ145" si="47">AH130-AI130</f>
        <v>0</v>
      </c>
      <c r="AK130" s="130" t="e">
        <f t="shared" si="37"/>
        <v>#DIV/0!</v>
      </c>
      <c r="AL130" s="72"/>
      <c r="AM130" s="81"/>
      <c r="AN130" s="81"/>
      <c r="AO130" s="81"/>
      <c r="AP130" s="72"/>
      <c r="AQ130" s="81"/>
      <c r="AR130" s="81"/>
      <c r="AS130" s="82"/>
    </row>
    <row r="131" spans="1:45" ht="49.5">
      <c r="A131" s="69" t="s">
        <v>12</v>
      </c>
      <c r="B131" s="70" t="s">
        <v>441</v>
      </c>
      <c r="C131" s="71" t="s">
        <v>380</v>
      </c>
      <c r="D131" s="71" t="s">
        <v>298</v>
      </c>
      <c r="E131" s="71"/>
      <c r="F131" s="77">
        <v>0</v>
      </c>
      <c r="G131" s="77"/>
      <c r="H131" s="77">
        <v>0</v>
      </c>
      <c r="I131" s="77"/>
      <c r="J131" s="77">
        <v>0</v>
      </c>
      <c r="K131" s="62" t="s">
        <v>232</v>
      </c>
      <c r="L131" s="77">
        <v>0</v>
      </c>
      <c r="M131" s="77"/>
      <c r="N131" s="73">
        <f t="shared" si="33"/>
        <v>0</v>
      </c>
      <c r="O131" s="131">
        <v>0</v>
      </c>
      <c r="P131" s="90">
        <v>0</v>
      </c>
      <c r="Q131" s="85">
        <v>0</v>
      </c>
      <c r="R131" s="86">
        <v>0</v>
      </c>
      <c r="S131" s="85">
        <f t="shared" si="44"/>
        <v>0</v>
      </c>
      <c r="T131" s="85" t="e">
        <f t="shared" si="35"/>
        <v>#DIV/0!</v>
      </c>
      <c r="U131" s="89">
        <v>0</v>
      </c>
      <c r="V131" s="85">
        <v>0</v>
      </c>
      <c r="W131" s="86">
        <v>0</v>
      </c>
      <c r="X131" s="85">
        <f t="shared" si="45"/>
        <v>0</v>
      </c>
      <c r="Y131" s="85" t="e">
        <f t="shared" si="36"/>
        <v>#DIV/0!</v>
      </c>
      <c r="Z131" s="89">
        <v>0</v>
      </c>
      <c r="AA131" s="89">
        <v>0</v>
      </c>
      <c r="AB131" s="89">
        <v>0</v>
      </c>
      <c r="AC131" s="89">
        <v>0</v>
      </c>
      <c r="AD131" s="89">
        <v>0</v>
      </c>
      <c r="AE131" s="89">
        <f t="shared" si="42"/>
        <v>0</v>
      </c>
      <c r="AF131" s="129">
        <f t="shared" si="43"/>
        <v>0</v>
      </c>
      <c r="AG131" s="239">
        <f>SUM(Z131:AB131)</f>
        <v>0</v>
      </c>
      <c r="AH131" s="75">
        <v>0</v>
      </c>
      <c r="AI131" s="75">
        <v>0</v>
      </c>
      <c r="AJ131" s="75">
        <f t="shared" si="47"/>
        <v>0</v>
      </c>
      <c r="AK131" s="130" t="e">
        <f t="shared" si="37"/>
        <v>#DIV/0!</v>
      </c>
      <c r="AL131" s="72"/>
      <c r="AM131" s="81"/>
      <c r="AN131" s="81"/>
      <c r="AO131" s="81"/>
      <c r="AP131" s="72"/>
      <c r="AQ131" s="81"/>
      <c r="AR131" s="81"/>
      <c r="AS131" s="82"/>
    </row>
    <row r="132" spans="1:45" ht="49.5">
      <c r="A132" s="69" t="s">
        <v>13</v>
      </c>
      <c r="B132" s="70" t="s">
        <v>442</v>
      </c>
      <c r="C132" s="71" t="s">
        <v>380</v>
      </c>
      <c r="D132" s="71" t="s">
        <v>298</v>
      </c>
      <c r="E132" s="71"/>
      <c r="F132" s="77">
        <v>0</v>
      </c>
      <c r="G132" s="77"/>
      <c r="H132" s="77">
        <v>0</v>
      </c>
      <c r="I132" s="77"/>
      <c r="J132" s="77">
        <v>0</v>
      </c>
      <c r="K132" s="62" t="s">
        <v>232</v>
      </c>
      <c r="L132" s="77">
        <v>0</v>
      </c>
      <c r="M132" s="77"/>
      <c r="N132" s="73">
        <f t="shared" si="33"/>
        <v>0</v>
      </c>
      <c r="O132" s="131">
        <v>0</v>
      </c>
      <c r="P132" s="90">
        <v>0</v>
      </c>
      <c r="Q132" s="85">
        <v>0</v>
      </c>
      <c r="R132" s="86">
        <v>0</v>
      </c>
      <c r="S132" s="85">
        <f t="shared" si="44"/>
        <v>0</v>
      </c>
      <c r="T132" s="85" t="e">
        <f t="shared" si="35"/>
        <v>#DIV/0!</v>
      </c>
      <c r="U132" s="89">
        <v>0</v>
      </c>
      <c r="V132" s="85">
        <v>0</v>
      </c>
      <c r="W132" s="86">
        <v>0</v>
      </c>
      <c r="X132" s="85">
        <f t="shared" si="45"/>
        <v>0</v>
      </c>
      <c r="Y132" s="85" t="e">
        <f t="shared" si="36"/>
        <v>#DIV/0!</v>
      </c>
      <c r="Z132" s="89">
        <v>0</v>
      </c>
      <c r="AA132" s="89">
        <v>0</v>
      </c>
      <c r="AB132" s="89">
        <v>0</v>
      </c>
      <c r="AC132" s="89">
        <v>0</v>
      </c>
      <c r="AD132" s="89">
        <v>0</v>
      </c>
      <c r="AE132" s="89">
        <f t="shared" si="42"/>
        <v>0</v>
      </c>
      <c r="AF132" s="129">
        <f t="shared" si="43"/>
        <v>0</v>
      </c>
      <c r="AG132" s="239">
        <f>SUM(Z132:AB132)</f>
        <v>0</v>
      </c>
      <c r="AH132" s="75">
        <v>0</v>
      </c>
      <c r="AI132" s="75">
        <v>0</v>
      </c>
      <c r="AJ132" s="75">
        <f t="shared" si="47"/>
        <v>0</v>
      </c>
      <c r="AK132" s="130" t="e">
        <f t="shared" si="37"/>
        <v>#DIV/0!</v>
      </c>
      <c r="AL132" s="72"/>
      <c r="AM132" s="81"/>
      <c r="AN132" s="81"/>
      <c r="AO132" s="81"/>
      <c r="AP132" s="72"/>
      <c r="AQ132" s="81"/>
      <c r="AR132" s="81"/>
      <c r="AS132" s="82"/>
    </row>
    <row r="133" spans="1:45" ht="82.5">
      <c r="A133" s="69" t="s">
        <v>443</v>
      </c>
      <c r="B133" s="70" t="s">
        <v>444</v>
      </c>
      <c r="C133" s="71" t="s">
        <v>380</v>
      </c>
      <c r="D133" s="71" t="s">
        <v>298</v>
      </c>
      <c r="E133" s="71"/>
      <c r="F133" s="77">
        <v>19999999.899999999</v>
      </c>
      <c r="G133" s="77">
        <v>28457436</v>
      </c>
      <c r="H133" s="77">
        <f>G133*G5</f>
        <v>19999999.850543998</v>
      </c>
      <c r="I133" s="77"/>
      <c r="J133" s="77">
        <v>20000000</v>
      </c>
      <c r="K133" s="62" t="s">
        <v>232</v>
      </c>
      <c r="L133" s="77">
        <v>0</v>
      </c>
      <c r="M133" s="77"/>
      <c r="N133" s="73">
        <f t="shared" si="33"/>
        <v>20000000</v>
      </c>
      <c r="O133" s="131">
        <v>60544547</v>
      </c>
      <c r="P133" s="89">
        <v>20000000</v>
      </c>
      <c r="Q133" s="85">
        <f t="shared" ref="Q133:Q145" si="48">P133/J133</f>
        <v>1</v>
      </c>
      <c r="R133" s="86">
        <v>1</v>
      </c>
      <c r="S133" s="85">
        <f t="shared" si="44"/>
        <v>0</v>
      </c>
      <c r="T133" s="85">
        <f t="shared" si="35"/>
        <v>1</v>
      </c>
      <c r="U133" s="89">
        <v>20000000</v>
      </c>
      <c r="V133" s="85">
        <f t="shared" ref="V133:V145" si="49">U133/J133</f>
        <v>1</v>
      </c>
      <c r="W133" s="86">
        <v>1</v>
      </c>
      <c r="X133" s="85">
        <f t="shared" si="45"/>
        <v>0</v>
      </c>
      <c r="Y133" s="85">
        <f t="shared" si="36"/>
        <v>1</v>
      </c>
      <c r="Z133" s="89">
        <v>20000000</v>
      </c>
      <c r="AA133" s="89">
        <v>0</v>
      </c>
      <c r="AB133" s="89">
        <v>0</v>
      </c>
      <c r="AC133" s="89">
        <v>0</v>
      </c>
      <c r="AD133" s="89">
        <v>33477881</v>
      </c>
      <c r="AE133" s="129">
        <f>X133+Z133+AB133</f>
        <v>20000000</v>
      </c>
      <c r="AF133" s="129">
        <f t="shared" si="43"/>
        <v>20000000</v>
      </c>
      <c r="AG133" s="239">
        <f>SUM(Z133:AB133)</f>
        <v>20000000</v>
      </c>
      <c r="AH133" s="75">
        <f t="shared" ref="AH133:AH145" si="50">AG133/J133</f>
        <v>1</v>
      </c>
      <c r="AI133" s="75">
        <v>1</v>
      </c>
      <c r="AJ133" s="75">
        <f t="shared" si="47"/>
        <v>0</v>
      </c>
      <c r="AK133" s="130">
        <f t="shared" si="37"/>
        <v>1</v>
      </c>
      <c r="AL133" s="72"/>
      <c r="AM133" s="81"/>
      <c r="AN133" s="81"/>
      <c r="AO133" s="81"/>
      <c r="AP133" s="72"/>
      <c r="AQ133" s="81"/>
      <c r="AR133" s="81"/>
      <c r="AS133" s="82"/>
    </row>
    <row r="134" spans="1:45" ht="115.5">
      <c r="A134" s="69" t="s">
        <v>445</v>
      </c>
      <c r="B134" s="70" t="s">
        <v>446</v>
      </c>
      <c r="C134" s="71" t="s">
        <v>380</v>
      </c>
      <c r="D134" s="71" t="s">
        <v>298</v>
      </c>
      <c r="E134" s="71"/>
      <c r="F134" s="77">
        <v>40314639.429456003</v>
      </c>
      <c r="G134" s="77">
        <v>72547298</v>
      </c>
      <c r="H134" s="77">
        <f>H135+H136</f>
        <v>50986531.223591998</v>
      </c>
      <c r="I134" s="77"/>
      <c r="J134" s="77">
        <v>50986531</v>
      </c>
      <c r="K134" s="134" t="s">
        <v>447</v>
      </c>
      <c r="L134" s="77">
        <v>0</v>
      </c>
      <c r="M134" s="77">
        <v>0</v>
      </c>
      <c r="N134" s="73">
        <f t="shared" si="33"/>
        <v>50986531</v>
      </c>
      <c r="O134" s="131">
        <f>O135+O136</f>
        <v>45449243</v>
      </c>
      <c r="P134" s="89">
        <v>50986529.969999999</v>
      </c>
      <c r="Q134" s="85">
        <f t="shared" si="48"/>
        <v>0.99999997979858635</v>
      </c>
      <c r="R134" s="86">
        <v>0.99999997979858635</v>
      </c>
      <c r="S134" s="85">
        <f t="shared" si="44"/>
        <v>0</v>
      </c>
      <c r="T134" s="85">
        <f t="shared" si="35"/>
        <v>0.99999997979858635</v>
      </c>
      <c r="U134" s="89">
        <v>50986529.969999999</v>
      </c>
      <c r="V134" s="85">
        <f t="shared" si="49"/>
        <v>0.99999997979858635</v>
      </c>
      <c r="W134" s="86">
        <v>0.99999997979858635</v>
      </c>
      <c r="X134" s="85">
        <f t="shared" si="45"/>
        <v>0</v>
      </c>
      <c r="Y134" s="85">
        <f t="shared" si="36"/>
        <v>0.99999997979858635</v>
      </c>
      <c r="Z134" s="89">
        <v>50986529.969999999</v>
      </c>
      <c r="AA134" s="89">
        <f>AA135+AA136</f>
        <v>0</v>
      </c>
      <c r="AB134" s="89">
        <f>AB135+AB136</f>
        <v>0</v>
      </c>
      <c r="AC134" s="89">
        <f>AC135+AC136</f>
        <v>0</v>
      </c>
      <c r="AD134" s="89">
        <f>AD135+AD136</f>
        <v>0</v>
      </c>
      <c r="AE134" s="99">
        <f t="shared" ref="AE134:AE145" si="51">AG134-AD134</f>
        <v>50986529.969999999</v>
      </c>
      <c r="AF134" s="129">
        <f>AF135+AF136</f>
        <v>50986529.969999999</v>
      </c>
      <c r="AG134" s="241">
        <f>AG135+AG136</f>
        <v>50986529.969999999</v>
      </c>
      <c r="AH134" s="75">
        <f t="shared" si="50"/>
        <v>0.99999997979858635</v>
      </c>
      <c r="AI134" s="75">
        <v>0.99999997979858635</v>
      </c>
      <c r="AJ134" s="75">
        <f t="shared" si="47"/>
        <v>0</v>
      </c>
      <c r="AK134" s="130">
        <f t="shared" si="37"/>
        <v>0.99999997979858635</v>
      </c>
      <c r="AL134" s="72"/>
      <c r="AM134" s="81"/>
      <c r="AN134" s="81"/>
      <c r="AO134" s="81"/>
      <c r="AP134" s="72"/>
      <c r="AQ134" s="81"/>
      <c r="AR134" s="81"/>
      <c r="AS134" s="82"/>
    </row>
    <row r="135" spans="1:45" ht="115.5">
      <c r="A135" s="69" t="s">
        <v>145</v>
      </c>
      <c r="B135" s="70" t="s">
        <v>448</v>
      </c>
      <c r="C135" s="71" t="s">
        <v>380</v>
      </c>
      <c r="D135" s="71" t="s">
        <v>298</v>
      </c>
      <c r="E135" s="71"/>
      <c r="F135" s="77"/>
      <c r="G135" s="77">
        <v>57362564</v>
      </c>
      <c r="H135" s="77">
        <f>G135*G5</f>
        <v>40314639.429455996</v>
      </c>
      <c r="I135" s="77"/>
      <c r="J135" s="77">
        <v>40314639.429455996</v>
      </c>
      <c r="K135" s="134" t="s">
        <v>447</v>
      </c>
      <c r="L135" s="77">
        <v>0</v>
      </c>
      <c r="M135" s="77"/>
      <c r="N135" s="73">
        <f t="shared" si="33"/>
        <v>40314639.429455996</v>
      </c>
      <c r="O135" s="131">
        <v>45449243</v>
      </c>
      <c r="P135" s="90">
        <v>40314638.969999999</v>
      </c>
      <c r="Q135" s="85">
        <f t="shared" si="48"/>
        <v>0.99999998860324679</v>
      </c>
      <c r="R135" s="86">
        <v>0.99999998860324679</v>
      </c>
      <c r="S135" s="85">
        <f t="shared" si="44"/>
        <v>0</v>
      </c>
      <c r="T135" s="85">
        <f t="shared" si="35"/>
        <v>0.99999998860324679</v>
      </c>
      <c r="U135" s="89">
        <v>40314638.969999999</v>
      </c>
      <c r="V135" s="85">
        <f t="shared" si="49"/>
        <v>0.99999998860324679</v>
      </c>
      <c r="W135" s="86">
        <v>0.99999998860324679</v>
      </c>
      <c r="X135" s="85">
        <f t="shared" si="45"/>
        <v>0</v>
      </c>
      <c r="Y135" s="85">
        <f t="shared" si="36"/>
        <v>0.99999998860324679</v>
      </c>
      <c r="Z135" s="89">
        <v>40314638.969999999</v>
      </c>
      <c r="AA135" s="89">
        <v>0</v>
      </c>
      <c r="AB135" s="89">
        <v>0</v>
      </c>
      <c r="AC135" s="89">
        <v>0</v>
      </c>
      <c r="AD135" s="89">
        <v>0</v>
      </c>
      <c r="AE135" s="89">
        <f t="shared" si="51"/>
        <v>40314638.969999999</v>
      </c>
      <c r="AF135" s="129">
        <f t="shared" ref="AF135:AF145" si="52">Z135+AA135+AC135</f>
        <v>40314638.969999999</v>
      </c>
      <c r="AG135" s="239">
        <f>SUM(Z135:AB135)</f>
        <v>40314638.969999999</v>
      </c>
      <c r="AH135" s="75">
        <f t="shared" si="50"/>
        <v>0.99999998860324679</v>
      </c>
      <c r="AI135" s="75">
        <v>0.99999998860324679</v>
      </c>
      <c r="AJ135" s="75">
        <f t="shared" si="47"/>
        <v>0</v>
      </c>
      <c r="AK135" s="130">
        <f t="shared" si="37"/>
        <v>0.99999998860324679</v>
      </c>
      <c r="AL135" s="72"/>
      <c r="AM135" s="81"/>
      <c r="AN135" s="81"/>
      <c r="AO135" s="81"/>
      <c r="AP135" s="72"/>
      <c r="AQ135" s="81"/>
      <c r="AR135" s="81"/>
      <c r="AS135" s="82"/>
    </row>
    <row r="136" spans="1:45" ht="141.75">
      <c r="A136" s="69" t="s">
        <v>146</v>
      </c>
      <c r="B136" s="70" t="s">
        <v>449</v>
      </c>
      <c r="C136" s="71" t="s">
        <v>380</v>
      </c>
      <c r="D136" s="71" t="s">
        <v>298</v>
      </c>
      <c r="E136" s="71"/>
      <c r="F136" s="77"/>
      <c r="G136" s="77">
        <v>15184734</v>
      </c>
      <c r="H136" s="77">
        <f>G136*G5</f>
        <v>10671891.794135999</v>
      </c>
      <c r="I136" s="77"/>
      <c r="J136" s="77">
        <v>10671891.794136001</v>
      </c>
      <c r="K136" s="137" t="s">
        <v>450</v>
      </c>
      <c r="L136" s="77">
        <v>0</v>
      </c>
      <c r="M136" s="77"/>
      <c r="N136" s="73">
        <f t="shared" si="33"/>
        <v>10671891.794136001</v>
      </c>
      <c r="O136" s="131">
        <v>0</v>
      </c>
      <c r="P136" s="90">
        <v>10671891</v>
      </c>
      <c r="Q136" s="85">
        <f t="shared" si="48"/>
        <v>0.99999992558620199</v>
      </c>
      <c r="R136" s="86">
        <v>1</v>
      </c>
      <c r="S136" s="85">
        <f t="shared" si="44"/>
        <v>-7.4413798012429311E-8</v>
      </c>
      <c r="T136" s="85">
        <f t="shared" si="35"/>
        <v>0.99999992558620199</v>
      </c>
      <c r="U136" s="90">
        <v>10671891</v>
      </c>
      <c r="V136" s="85">
        <f t="shared" si="49"/>
        <v>0.99999992558620199</v>
      </c>
      <c r="W136" s="86">
        <v>1</v>
      </c>
      <c r="X136" s="85">
        <f t="shared" si="45"/>
        <v>-7.4413798012429311E-8</v>
      </c>
      <c r="Y136" s="85">
        <f t="shared" si="36"/>
        <v>0.99999992558620199</v>
      </c>
      <c r="Z136" s="90">
        <v>10671891</v>
      </c>
      <c r="AA136" s="89">
        <v>0</v>
      </c>
      <c r="AB136" s="89">
        <v>0</v>
      </c>
      <c r="AC136" s="89">
        <v>0</v>
      </c>
      <c r="AD136" s="89">
        <v>0</v>
      </c>
      <c r="AE136" s="89">
        <f t="shared" si="51"/>
        <v>10671891</v>
      </c>
      <c r="AF136" s="129">
        <f t="shared" si="52"/>
        <v>10671891</v>
      </c>
      <c r="AG136" s="239">
        <f>SUM(Z136:AB136)</f>
        <v>10671891</v>
      </c>
      <c r="AH136" s="75">
        <f t="shared" si="50"/>
        <v>0.99999992558620199</v>
      </c>
      <c r="AI136" s="75">
        <v>1</v>
      </c>
      <c r="AJ136" s="75">
        <f t="shared" si="47"/>
        <v>-7.4413798012429311E-8</v>
      </c>
      <c r="AK136" s="130">
        <f t="shared" si="37"/>
        <v>0.99999992558620199</v>
      </c>
      <c r="AL136" s="72"/>
      <c r="AM136" s="81"/>
      <c r="AN136" s="81"/>
      <c r="AO136" s="81"/>
      <c r="AP136" s="72"/>
      <c r="AQ136" s="81"/>
      <c r="AR136" s="81"/>
      <c r="AS136" s="82"/>
    </row>
    <row r="137" spans="1:45" s="18" customFormat="1" ht="66">
      <c r="A137" s="59" t="s">
        <v>451</v>
      </c>
      <c r="B137" s="60" t="s">
        <v>452</v>
      </c>
      <c r="C137" s="61" t="s">
        <v>380</v>
      </c>
      <c r="D137" s="61" t="s">
        <v>298</v>
      </c>
      <c r="E137" s="61"/>
      <c r="F137" s="62">
        <f>F138+F143</f>
        <v>54101851.919999994</v>
      </c>
      <c r="G137" s="62">
        <v>76980000</v>
      </c>
      <c r="H137" s="62">
        <f>H138+H143</f>
        <v>54101852.223663993</v>
      </c>
      <c r="I137" s="62"/>
      <c r="J137" s="62">
        <f>J138+J143</f>
        <v>54101852.303579994</v>
      </c>
      <c r="K137" s="62" t="s">
        <v>232</v>
      </c>
      <c r="L137" s="64">
        <f>SUM(L138,L143)</f>
        <v>6000000</v>
      </c>
      <c r="M137" s="64">
        <f>SUM(M138,M143)</f>
        <v>3000000</v>
      </c>
      <c r="N137" s="41">
        <f t="shared" si="33"/>
        <v>57101852.303579994</v>
      </c>
      <c r="O137" s="63">
        <f>O138+O143</f>
        <v>23389806.759999998</v>
      </c>
      <c r="P137" s="92">
        <f>P138+P143</f>
        <v>36500620.189999998</v>
      </c>
      <c r="Q137" s="93">
        <f t="shared" si="48"/>
        <v>0.67466488920167156</v>
      </c>
      <c r="R137" s="93">
        <v>0.67240850907809901</v>
      </c>
      <c r="S137" s="93">
        <f t="shared" si="44"/>
        <v>2.2563801235725434E-3</v>
      </c>
      <c r="T137" s="93">
        <f t="shared" si="35"/>
        <v>0.63921954748412946</v>
      </c>
      <c r="U137" s="92">
        <f>U138+U143</f>
        <v>36048453.799999997</v>
      </c>
      <c r="V137" s="93">
        <f t="shared" si="49"/>
        <v>0.66630720141932409</v>
      </c>
      <c r="W137" s="141">
        <v>0.66811161315315482</v>
      </c>
      <c r="X137" s="93">
        <f t="shared" si="45"/>
        <v>-1.8044117338307242E-3</v>
      </c>
      <c r="Y137" s="93">
        <f t="shared" si="36"/>
        <v>0.63130095339726733</v>
      </c>
      <c r="Z137" s="92">
        <f>Z138+Z143</f>
        <v>17921874.969999999</v>
      </c>
      <c r="AA137" s="92">
        <f>AA138+AA143</f>
        <v>247647.46</v>
      </c>
      <c r="AB137" s="92">
        <f>AB138+AB143</f>
        <v>178105.74</v>
      </c>
      <c r="AC137" s="92">
        <f>AC138+AC143</f>
        <v>179879.50000000093</v>
      </c>
      <c r="AD137" s="92">
        <f>AD138+AD143</f>
        <v>52011.81</v>
      </c>
      <c r="AE137" s="99">
        <f t="shared" si="51"/>
        <v>18295616.360000003</v>
      </c>
      <c r="AF137" s="92">
        <f t="shared" si="52"/>
        <v>18349401.93</v>
      </c>
      <c r="AG137" s="234">
        <f>AG138+AG143</f>
        <v>18347628.170000002</v>
      </c>
      <c r="AH137" s="65">
        <f t="shared" si="50"/>
        <v>0.33913123837325465</v>
      </c>
      <c r="AI137" s="65">
        <v>0.33393938172795484</v>
      </c>
      <c r="AJ137" s="65">
        <f t="shared" si="47"/>
        <v>5.1918566452998083E-3</v>
      </c>
      <c r="AK137" s="30">
        <f t="shared" si="37"/>
        <v>0.32131406302645804</v>
      </c>
      <c r="AL137" s="62"/>
      <c r="AM137" s="67"/>
      <c r="AN137" s="67"/>
      <c r="AO137" s="67"/>
      <c r="AP137" s="62"/>
      <c r="AQ137" s="67"/>
      <c r="AR137" s="67"/>
      <c r="AS137" s="68"/>
    </row>
    <row r="138" spans="1:45" s="18" customFormat="1" ht="49.5">
      <c r="A138" s="59" t="s">
        <v>453</v>
      </c>
      <c r="B138" s="60" t="s">
        <v>454</v>
      </c>
      <c r="C138" s="61" t="s">
        <v>380</v>
      </c>
      <c r="D138" s="61" t="s">
        <v>298</v>
      </c>
      <c r="E138" s="61"/>
      <c r="F138" s="62">
        <f>F140+F141+F142</f>
        <v>6985871.7599999998</v>
      </c>
      <c r="G138" s="62">
        <v>27619658</v>
      </c>
      <c r="H138" s="77">
        <f>H139+H142</f>
        <v>19411206.424695998</v>
      </c>
      <c r="I138" s="62"/>
      <c r="J138" s="62">
        <f>J139+J142</f>
        <v>19411206.316335998</v>
      </c>
      <c r="K138" s="140" t="s">
        <v>455</v>
      </c>
      <c r="L138" s="64">
        <f>L139+L142</f>
        <v>0</v>
      </c>
      <c r="M138" s="64">
        <f>M139+M142</f>
        <v>0</v>
      </c>
      <c r="N138" s="41">
        <f t="shared" si="33"/>
        <v>19411206.316335998</v>
      </c>
      <c r="O138" s="63">
        <f>O139+O142</f>
        <v>6851728.6099999994</v>
      </c>
      <c r="P138" s="92">
        <f>P139+P142</f>
        <v>10184439.629999999</v>
      </c>
      <c r="Q138" s="93">
        <f t="shared" si="48"/>
        <v>0.52466804298654135</v>
      </c>
      <c r="R138" s="93">
        <v>0.5122476765434586</v>
      </c>
      <c r="S138" s="93">
        <f t="shared" si="44"/>
        <v>1.2420366443082753E-2</v>
      </c>
      <c r="T138" s="93">
        <f t="shared" si="35"/>
        <v>0.52466804298654135</v>
      </c>
      <c r="U138" s="92">
        <f>U139+U142</f>
        <v>9732273.2400000002</v>
      </c>
      <c r="V138" s="93">
        <f t="shared" si="49"/>
        <v>0.50137395282896746</v>
      </c>
      <c r="W138" s="141">
        <v>0.50027160341462584</v>
      </c>
      <c r="X138" s="93">
        <f t="shared" si="45"/>
        <v>1.102349414341619E-3</v>
      </c>
      <c r="Y138" s="93">
        <f t="shared" si="36"/>
        <v>0.50137395282896746</v>
      </c>
      <c r="Z138" s="92">
        <f>Z139+Z142</f>
        <v>5504813.9500000002</v>
      </c>
      <c r="AA138" s="92">
        <f>AA139+AA142</f>
        <v>0</v>
      </c>
      <c r="AB138" s="92">
        <f>AB139+AB142</f>
        <v>0</v>
      </c>
      <c r="AC138" s="92">
        <f>AC139+AC142</f>
        <v>0</v>
      </c>
      <c r="AD138" s="92">
        <f>AD139+AD142</f>
        <v>0</v>
      </c>
      <c r="AE138" s="99">
        <f t="shared" si="51"/>
        <v>5504813.9500000002</v>
      </c>
      <c r="AF138" s="133">
        <f t="shared" si="52"/>
        <v>5504813.9500000002</v>
      </c>
      <c r="AG138" s="234">
        <f>AG139+AG142</f>
        <v>5504813.9500000002</v>
      </c>
      <c r="AH138" s="65">
        <f t="shared" si="50"/>
        <v>0.28358948229648578</v>
      </c>
      <c r="AI138" s="65">
        <v>0.26911902450297037</v>
      </c>
      <c r="AJ138" s="65">
        <f t="shared" si="47"/>
        <v>1.4470457793515412E-2</v>
      </c>
      <c r="AK138" s="30">
        <f t="shared" si="37"/>
        <v>0.28358948229648578</v>
      </c>
      <c r="AL138" s="62"/>
      <c r="AM138" s="67"/>
      <c r="AN138" s="67"/>
      <c r="AO138" s="67"/>
      <c r="AP138" s="62"/>
      <c r="AQ138" s="67"/>
      <c r="AR138" s="67"/>
      <c r="AS138" s="68"/>
    </row>
    <row r="139" spans="1:45" s="18" customFormat="1" ht="49.5">
      <c r="A139" s="94" t="s">
        <v>456</v>
      </c>
      <c r="B139" s="95" t="s">
        <v>457</v>
      </c>
      <c r="C139" s="96" t="s">
        <v>380</v>
      </c>
      <c r="D139" s="96" t="s">
        <v>298</v>
      </c>
      <c r="E139" s="96"/>
      <c r="F139" s="72">
        <f>F140+F141</f>
        <v>5271030</v>
      </c>
      <c r="G139" s="72">
        <v>25180284</v>
      </c>
      <c r="H139" s="72">
        <f>H140+H141</f>
        <v>17696804.619999997</v>
      </c>
      <c r="I139" s="72"/>
      <c r="J139" s="72">
        <f>J140+J141</f>
        <v>17696804.316335998</v>
      </c>
      <c r="K139" s="140" t="s">
        <v>455</v>
      </c>
      <c r="L139" s="100">
        <f>L140+L141</f>
        <v>0</v>
      </c>
      <c r="M139" s="100">
        <f>M140+M141</f>
        <v>0</v>
      </c>
      <c r="N139" s="73">
        <f t="shared" si="33"/>
        <v>17696804.316335998</v>
      </c>
      <c r="O139" s="132">
        <f>O140+O141</f>
        <v>5762981.1799999997</v>
      </c>
      <c r="P139" s="99">
        <f>P140+P141</f>
        <v>8470038.1199999992</v>
      </c>
      <c r="Q139" s="85">
        <f t="shared" si="48"/>
        <v>0.47861964050657835</v>
      </c>
      <c r="R139" s="85">
        <v>0.46499603497345959</v>
      </c>
      <c r="S139" s="85">
        <f t="shared" si="44"/>
        <v>1.3623605533118754E-2</v>
      </c>
      <c r="T139" s="85">
        <f t="shared" si="35"/>
        <v>0.47861964050657835</v>
      </c>
      <c r="U139" s="99">
        <f>U140+U141</f>
        <v>8017871.7300000004</v>
      </c>
      <c r="V139" s="85">
        <f t="shared" si="49"/>
        <v>0.45306890366633412</v>
      </c>
      <c r="W139" s="85">
        <v>0.45185976348310958</v>
      </c>
      <c r="X139" s="85">
        <f t="shared" si="45"/>
        <v>1.2091401832245441E-3</v>
      </c>
      <c r="Y139" s="85">
        <f t="shared" si="36"/>
        <v>0.45306890366633412</v>
      </c>
      <c r="Z139" s="99">
        <f>Z140+Z141</f>
        <v>4867998.53</v>
      </c>
      <c r="AA139" s="99">
        <f>AA140+AA141</f>
        <v>0</v>
      </c>
      <c r="AB139" s="99">
        <f>AB140+AB141</f>
        <v>0</v>
      </c>
      <c r="AC139" s="99">
        <f>AC140+AC141</f>
        <v>0</v>
      </c>
      <c r="AD139" s="99">
        <f>AD140+AD141</f>
        <v>0</v>
      </c>
      <c r="AE139" s="99">
        <f t="shared" si="51"/>
        <v>4867998.53</v>
      </c>
      <c r="AF139" s="133">
        <f t="shared" si="52"/>
        <v>4867998.53</v>
      </c>
      <c r="AG139" s="238">
        <f>AG140+AG141</f>
        <v>4867998.53</v>
      </c>
      <c r="AH139" s="75">
        <f t="shared" si="50"/>
        <v>0.27507783004111819</v>
      </c>
      <c r="AI139" s="75">
        <v>0.25920552712752959</v>
      </c>
      <c r="AJ139" s="75">
        <f t="shared" si="47"/>
        <v>1.5872302913588598E-2</v>
      </c>
      <c r="AK139" s="130">
        <f t="shared" si="37"/>
        <v>0.27507783004111819</v>
      </c>
      <c r="AL139" s="72"/>
      <c r="AM139" s="81"/>
      <c r="AN139" s="81"/>
      <c r="AO139" s="81"/>
      <c r="AP139" s="72"/>
      <c r="AQ139" s="81"/>
      <c r="AR139" s="81"/>
      <c r="AS139" s="82"/>
    </row>
    <row r="140" spans="1:45" ht="141.75">
      <c r="A140" s="69" t="s">
        <v>458</v>
      </c>
      <c r="B140" s="70" t="s">
        <v>459</v>
      </c>
      <c r="C140" s="71" t="s">
        <v>380</v>
      </c>
      <c r="D140" s="71" t="s">
        <v>298</v>
      </c>
      <c r="E140" s="71"/>
      <c r="F140" s="77">
        <v>5271030</v>
      </c>
      <c r="G140" s="77">
        <v>20911669</v>
      </c>
      <c r="H140" s="77">
        <v>14696804.619999999</v>
      </c>
      <c r="I140" s="77"/>
      <c r="J140" s="77">
        <v>12196804.287156001</v>
      </c>
      <c r="K140" s="127" t="s">
        <v>460</v>
      </c>
      <c r="L140" s="77">
        <v>0</v>
      </c>
      <c r="M140" s="77"/>
      <c r="N140" s="73">
        <f t="shared" ref="N140:N203" si="53">J140+M140</f>
        <v>12196804.287156001</v>
      </c>
      <c r="O140" s="131">
        <v>3345820.24</v>
      </c>
      <c r="P140" s="90">
        <v>5470038.4299999997</v>
      </c>
      <c r="Q140" s="85">
        <f t="shared" si="48"/>
        <v>0.44848128257336167</v>
      </c>
      <c r="R140" s="86">
        <v>0.35578783451228874</v>
      </c>
      <c r="S140" s="85">
        <f t="shared" si="44"/>
        <v>9.2693448061072936E-2</v>
      </c>
      <c r="T140" s="85">
        <f t="shared" ref="T140:T189" si="54">P140/N140</f>
        <v>0.44848128257336167</v>
      </c>
      <c r="U140" s="89">
        <v>5017872.04</v>
      </c>
      <c r="V140" s="85">
        <f t="shared" si="49"/>
        <v>0.41140875280618661</v>
      </c>
      <c r="W140" s="85">
        <v>0.3399701084139472</v>
      </c>
      <c r="X140" s="85">
        <f t="shared" si="45"/>
        <v>7.1438644392239403E-2</v>
      </c>
      <c r="Y140" s="85">
        <f t="shared" ref="Y140:Y203" si="55">U140/N140</f>
        <v>0.41140875280618661</v>
      </c>
      <c r="Z140" s="89">
        <v>3731052.37</v>
      </c>
      <c r="AA140" s="89">
        <v>0</v>
      </c>
      <c r="AB140" s="89">
        <v>0</v>
      </c>
      <c r="AC140" s="89">
        <v>0</v>
      </c>
      <c r="AD140" s="89">
        <v>0</v>
      </c>
      <c r="AE140" s="89">
        <f t="shared" si="51"/>
        <v>3731052.37</v>
      </c>
      <c r="AF140" s="129">
        <f t="shared" si="52"/>
        <v>3731052.37</v>
      </c>
      <c r="AG140" s="239">
        <f>SUM(Z140:AB140)</f>
        <v>3731052.37</v>
      </c>
      <c r="AH140" s="75">
        <f t="shared" si="50"/>
        <v>0.30590409439700794</v>
      </c>
      <c r="AI140" s="75">
        <v>0.24031069414869857</v>
      </c>
      <c r="AJ140" s="75">
        <f t="shared" si="47"/>
        <v>6.5593400248309369E-2</v>
      </c>
      <c r="AK140" s="130">
        <f t="shared" ref="AK140:AK203" si="56">AG140/N140</f>
        <v>0.30590409439700794</v>
      </c>
      <c r="AL140" s="72"/>
      <c r="AM140" s="81"/>
      <c r="AN140" s="81"/>
      <c r="AO140" s="81"/>
      <c r="AP140" s="72"/>
      <c r="AQ140" s="81"/>
      <c r="AR140" s="81"/>
      <c r="AS140" s="82"/>
    </row>
    <row r="141" spans="1:45" ht="141.75">
      <c r="A141" s="69" t="s">
        <v>16</v>
      </c>
      <c r="B141" s="70" t="s">
        <v>461</v>
      </c>
      <c r="C141" s="71" t="s">
        <v>380</v>
      </c>
      <c r="D141" s="71" t="s">
        <v>298</v>
      </c>
      <c r="E141" s="71"/>
      <c r="F141" s="77">
        <v>0</v>
      </c>
      <c r="G141" s="77">
        <v>4268615</v>
      </c>
      <c r="H141" s="77">
        <v>3000000</v>
      </c>
      <c r="I141" s="77"/>
      <c r="J141" s="77">
        <v>5500000.0291799996</v>
      </c>
      <c r="K141" s="127" t="s">
        <v>460</v>
      </c>
      <c r="L141" s="77">
        <v>0</v>
      </c>
      <c r="M141" s="77"/>
      <c r="N141" s="73">
        <f t="shared" si="53"/>
        <v>5500000.0291799996</v>
      </c>
      <c r="O141" s="131">
        <v>2417160.94</v>
      </c>
      <c r="P141" s="90">
        <v>2999999.69</v>
      </c>
      <c r="Q141" s="85">
        <f t="shared" si="48"/>
        <v>0.54545448619702519</v>
      </c>
      <c r="R141" s="86">
        <v>0.99999989666666667</v>
      </c>
      <c r="S141" s="85">
        <f t="shared" si="44"/>
        <v>-0.45454541046964148</v>
      </c>
      <c r="T141" s="85">
        <f t="shared" si="54"/>
        <v>0.54545448619702519</v>
      </c>
      <c r="U141" s="89">
        <v>2999999.69</v>
      </c>
      <c r="V141" s="85">
        <f t="shared" si="49"/>
        <v>0.54545448619702519</v>
      </c>
      <c r="W141" s="85">
        <v>0.99999989666666667</v>
      </c>
      <c r="X141" s="85">
        <f t="shared" si="45"/>
        <v>-0.45454541046964148</v>
      </c>
      <c r="Y141" s="85">
        <f t="shared" si="55"/>
        <v>0.54545448619702519</v>
      </c>
      <c r="Z141" s="89">
        <v>1136946.1599999999</v>
      </c>
      <c r="AA141" s="89">
        <v>0</v>
      </c>
      <c r="AB141" s="89">
        <v>0</v>
      </c>
      <c r="AC141" s="89">
        <v>0</v>
      </c>
      <c r="AD141" s="89">
        <v>0</v>
      </c>
      <c r="AE141" s="89">
        <f t="shared" si="51"/>
        <v>1136946.1599999999</v>
      </c>
      <c r="AF141" s="129">
        <f t="shared" si="52"/>
        <v>1136946.1599999999</v>
      </c>
      <c r="AG141" s="239">
        <f>SUM(Z141:AB141)</f>
        <v>1136946.1599999999</v>
      </c>
      <c r="AH141" s="75">
        <f t="shared" si="50"/>
        <v>0.20671748253963343</v>
      </c>
      <c r="AI141" s="75">
        <v>0.35177008333333332</v>
      </c>
      <c r="AJ141" s="75">
        <f t="shared" si="47"/>
        <v>-0.14505260079369989</v>
      </c>
      <c r="AK141" s="130">
        <f t="shared" si="56"/>
        <v>0.20671748253963343</v>
      </c>
      <c r="AL141" s="72"/>
      <c r="AM141" s="81"/>
      <c r="AN141" s="81"/>
      <c r="AO141" s="81"/>
      <c r="AP141" s="72"/>
      <c r="AQ141" s="81"/>
      <c r="AR141" s="81"/>
      <c r="AS141" s="82"/>
    </row>
    <row r="142" spans="1:45" ht="99">
      <c r="A142" s="69" t="s">
        <v>17</v>
      </c>
      <c r="B142" s="70" t="s">
        <v>462</v>
      </c>
      <c r="C142" s="71" t="s">
        <v>380</v>
      </c>
      <c r="D142" s="71" t="s">
        <v>298</v>
      </c>
      <c r="E142" s="71"/>
      <c r="F142" s="77">
        <v>1714841.76</v>
      </c>
      <c r="G142" s="77">
        <v>2439374</v>
      </c>
      <c r="H142" s="77">
        <f>G142*G5</f>
        <v>1714401.8046959999</v>
      </c>
      <c r="I142" s="77"/>
      <c r="J142" s="77">
        <v>1714402</v>
      </c>
      <c r="K142" s="62" t="s">
        <v>232</v>
      </c>
      <c r="L142" s="77">
        <v>0</v>
      </c>
      <c r="M142" s="77"/>
      <c r="N142" s="73">
        <f t="shared" si="53"/>
        <v>1714402</v>
      </c>
      <c r="O142" s="131">
        <v>1088747.43</v>
      </c>
      <c r="P142" s="90">
        <v>1714401.51</v>
      </c>
      <c r="Q142" s="85">
        <f t="shared" si="48"/>
        <v>0.99999971418605438</v>
      </c>
      <c r="R142" s="86">
        <v>0.99999971418605438</v>
      </c>
      <c r="S142" s="85">
        <f t="shared" si="44"/>
        <v>0</v>
      </c>
      <c r="T142" s="85">
        <f t="shared" si="54"/>
        <v>0.99999971418605438</v>
      </c>
      <c r="U142" s="89">
        <v>1714401.51</v>
      </c>
      <c r="V142" s="85">
        <f t="shared" si="49"/>
        <v>0.99999971418605438</v>
      </c>
      <c r="W142" s="85">
        <v>0.99999971418605438</v>
      </c>
      <c r="X142" s="85">
        <f t="shared" si="45"/>
        <v>0</v>
      </c>
      <c r="Y142" s="85">
        <f t="shared" si="55"/>
        <v>0.99999971418605438</v>
      </c>
      <c r="Z142" s="89">
        <v>636815.42000000004</v>
      </c>
      <c r="AA142" s="89">
        <v>0</v>
      </c>
      <c r="AB142" s="89">
        <v>0</v>
      </c>
      <c r="AC142" s="89">
        <v>0</v>
      </c>
      <c r="AD142" s="89">
        <v>0</v>
      </c>
      <c r="AE142" s="89">
        <f t="shared" si="51"/>
        <v>636815.42000000004</v>
      </c>
      <c r="AF142" s="129">
        <f t="shared" si="52"/>
        <v>636815.42000000004</v>
      </c>
      <c r="AG142" s="239">
        <f>SUM(Z142:AB142)</f>
        <v>636815.42000000004</v>
      </c>
      <c r="AH142" s="75">
        <f t="shared" si="50"/>
        <v>0.37145046494346134</v>
      </c>
      <c r="AI142" s="75">
        <v>0.37145046494346134</v>
      </c>
      <c r="AJ142" s="75">
        <f t="shared" si="47"/>
        <v>0</v>
      </c>
      <c r="AK142" s="130">
        <f t="shared" si="56"/>
        <v>0.37145046494346134</v>
      </c>
      <c r="AL142" s="72"/>
      <c r="AM142" s="81"/>
      <c r="AN142" s="81"/>
      <c r="AO142" s="81"/>
      <c r="AP142" s="72"/>
      <c r="AQ142" s="81"/>
      <c r="AR142" s="81"/>
      <c r="AS142" s="82"/>
    </row>
    <row r="143" spans="1:45" s="18" customFormat="1" ht="82.5">
      <c r="A143" s="59" t="s">
        <v>463</v>
      </c>
      <c r="B143" s="60" t="s">
        <v>464</v>
      </c>
      <c r="C143" s="61" t="s">
        <v>380</v>
      </c>
      <c r="D143" s="61" t="s">
        <v>298</v>
      </c>
      <c r="E143" s="61"/>
      <c r="F143" s="62">
        <f>F144+F145+F147</f>
        <v>47115980.159999996</v>
      </c>
      <c r="G143" s="62">
        <v>49360342</v>
      </c>
      <c r="H143" s="62">
        <f>H144+H145+H147</f>
        <v>34690645.798967995</v>
      </c>
      <c r="I143" s="62"/>
      <c r="J143" s="62">
        <f>J144+J145+J147</f>
        <v>34690645.987243995</v>
      </c>
      <c r="K143" s="140" t="s">
        <v>455</v>
      </c>
      <c r="L143" s="62">
        <f>SUM(L144,L145)</f>
        <v>6000000</v>
      </c>
      <c r="M143" s="62">
        <f>SUM(M144,M145)</f>
        <v>3000000</v>
      </c>
      <c r="N143" s="41">
        <f t="shared" si="53"/>
        <v>37690645.987243995</v>
      </c>
      <c r="O143" s="63">
        <f>O144+O145+O147</f>
        <v>16538078.149999999</v>
      </c>
      <c r="P143" s="92">
        <f>P144+P145+P147</f>
        <v>26316180.559999999</v>
      </c>
      <c r="Q143" s="93">
        <f t="shared" si="48"/>
        <v>0.75859586384400712</v>
      </c>
      <c r="R143" s="93">
        <v>0.7620267598856596</v>
      </c>
      <c r="S143" s="93">
        <f t="shared" si="44"/>
        <v>-3.4308960416524759E-3</v>
      </c>
      <c r="T143" s="93">
        <f t="shared" si="54"/>
        <v>0.69821516375459403</v>
      </c>
      <c r="U143" s="92">
        <f>U144+U145+U147</f>
        <v>26316180.559999999</v>
      </c>
      <c r="V143" s="93">
        <f t="shared" si="49"/>
        <v>0.75859586384400712</v>
      </c>
      <c r="W143" s="141">
        <v>0.7620267598856596</v>
      </c>
      <c r="X143" s="93">
        <f t="shared" si="45"/>
        <v>-3.4308960416524759E-3</v>
      </c>
      <c r="Y143" s="93">
        <f t="shared" si="55"/>
        <v>0.69821516375459403</v>
      </c>
      <c r="Z143" s="92">
        <f>Z144+Z145+Z147</f>
        <v>12417061.02</v>
      </c>
      <c r="AA143" s="92">
        <f>AA144+AA145+AA147</f>
        <v>247647.46</v>
      </c>
      <c r="AB143" s="92">
        <f>AB144+AB145+AB147</f>
        <v>178105.74</v>
      </c>
      <c r="AC143" s="92">
        <f>AC144+AC145+AC147</f>
        <v>179879.50000000093</v>
      </c>
      <c r="AD143" s="92">
        <f>AD144+AD145+AD147</f>
        <v>52011.81</v>
      </c>
      <c r="AE143" s="99">
        <f t="shared" si="51"/>
        <v>12790802.41</v>
      </c>
      <c r="AF143" s="92">
        <f t="shared" si="52"/>
        <v>12844587.98</v>
      </c>
      <c r="AG143" s="234">
        <f>AG144+AG145+AG147</f>
        <v>12842814.220000001</v>
      </c>
      <c r="AH143" s="65">
        <f t="shared" si="50"/>
        <v>0.37020971661128471</v>
      </c>
      <c r="AI143" s="65">
        <v>0.37020971661128471</v>
      </c>
      <c r="AJ143" s="65">
        <f t="shared" si="47"/>
        <v>0</v>
      </c>
      <c r="AK143" s="30">
        <f t="shared" si="56"/>
        <v>0.3407427462067516</v>
      </c>
      <c r="AL143" s="62"/>
      <c r="AM143" s="67"/>
      <c r="AN143" s="67"/>
      <c r="AO143" s="67"/>
      <c r="AP143" s="62"/>
      <c r="AQ143" s="67"/>
      <c r="AR143" s="67"/>
      <c r="AS143" s="68"/>
    </row>
    <row r="144" spans="1:45" ht="49.5">
      <c r="A144" s="69" t="s">
        <v>18</v>
      </c>
      <c r="B144" s="70" t="s">
        <v>465</v>
      </c>
      <c r="C144" s="71" t="s">
        <v>380</v>
      </c>
      <c r="D144" s="71" t="s">
        <v>298</v>
      </c>
      <c r="E144" s="71"/>
      <c r="F144" s="77">
        <v>17179418.987243999</v>
      </c>
      <c r="G144" s="77">
        <v>24444111</v>
      </c>
      <c r="H144" s="77">
        <v>17179418.987243999</v>
      </c>
      <c r="I144" s="77"/>
      <c r="J144" s="77">
        <v>17179418.987243999</v>
      </c>
      <c r="K144" s="62" t="s">
        <v>232</v>
      </c>
      <c r="L144" s="77">
        <v>0</v>
      </c>
      <c r="M144" s="77"/>
      <c r="N144" s="73">
        <f t="shared" si="53"/>
        <v>17179418.987243999</v>
      </c>
      <c r="O144" s="131">
        <v>10799791.41</v>
      </c>
      <c r="P144" s="90">
        <v>17179418</v>
      </c>
      <c r="Q144" s="75">
        <f t="shared" si="48"/>
        <v>0.99999994253333013</v>
      </c>
      <c r="R144" s="76">
        <v>0.99999994253333013</v>
      </c>
      <c r="S144" s="75">
        <f t="shared" si="44"/>
        <v>0</v>
      </c>
      <c r="T144" s="75">
        <f t="shared" si="54"/>
        <v>0.99999994253333013</v>
      </c>
      <c r="U144" s="89">
        <v>17179418</v>
      </c>
      <c r="V144" s="75">
        <f t="shared" si="49"/>
        <v>0.99999994253333013</v>
      </c>
      <c r="W144" s="76">
        <v>0.99999994253333013</v>
      </c>
      <c r="X144" s="75">
        <f t="shared" si="45"/>
        <v>0</v>
      </c>
      <c r="Y144" s="75">
        <f t="shared" si="55"/>
        <v>0.99999994253333013</v>
      </c>
      <c r="Z144" s="77">
        <v>7349834.4400000004</v>
      </c>
      <c r="AA144" s="77">
        <v>0</v>
      </c>
      <c r="AB144" s="77">
        <v>0</v>
      </c>
      <c r="AC144" s="77">
        <v>0</v>
      </c>
      <c r="AD144" s="77">
        <v>0</v>
      </c>
      <c r="AE144" s="77">
        <f t="shared" si="51"/>
        <v>7349834.4400000004</v>
      </c>
      <c r="AF144" s="79">
        <f t="shared" si="52"/>
        <v>7349834.4400000004</v>
      </c>
      <c r="AG144" s="239">
        <f>SUM(Z144:AB144)</f>
        <v>7349834.4400000004</v>
      </c>
      <c r="AH144" s="75">
        <f t="shared" si="50"/>
        <v>0.42782788204056105</v>
      </c>
      <c r="AI144" s="75">
        <v>0.42782788204056105</v>
      </c>
      <c r="AJ144" s="75">
        <f t="shared" si="47"/>
        <v>0</v>
      </c>
      <c r="AK144" s="130">
        <f t="shared" si="56"/>
        <v>0.42782788204056105</v>
      </c>
      <c r="AL144" s="72"/>
      <c r="AM144" s="81"/>
      <c r="AN144" s="81"/>
      <c r="AO144" s="81"/>
      <c r="AP144" s="72"/>
      <c r="AQ144" s="81"/>
      <c r="AR144" s="81"/>
      <c r="AS144" s="82"/>
    </row>
    <row r="145" spans="1:45" ht="157.5">
      <c r="A145" s="69" t="s">
        <v>466</v>
      </c>
      <c r="B145" s="70" t="s">
        <v>467</v>
      </c>
      <c r="C145" s="71" t="s">
        <v>380</v>
      </c>
      <c r="D145" s="71" t="s">
        <v>298</v>
      </c>
      <c r="E145" s="71"/>
      <c r="F145" s="77">
        <v>25638289.919999998</v>
      </c>
      <c r="G145" s="77">
        <v>20068096</v>
      </c>
      <c r="H145" s="77">
        <f>G145*G5</f>
        <v>14103938.141184</v>
      </c>
      <c r="I145" s="77"/>
      <c r="J145" s="77">
        <v>14103938</v>
      </c>
      <c r="K145" s="127" t="s">
        <v>468</v>
      </c>
      <c r="L145" s="77">
        <f>L146</f>
        <v>6000000</v>
      </c>
      <c r="M145" s="77">
        <f>M146</f>
        <v>3000000</v>
      </c>
      <c r="N145" s="73">
        <f t="shared" si="53"/>
        <v>17103938</v>
      </c>
      <c r="O145" s="131">
        <v>5738286.7399999993</v>
      </c>
      <c r="P145" s="90">
        <v>5898929.25</v>
      </c>
      <c r="Q145" s="75">
        <f t="shared" si="48"/>
        <v>0.41824696407485623</v>
      </c>
      <c r="R145" s="75">
        <v>0.42668574195377207</v>
      </c>
      <c r="S145" s="75">
        <f t="shared" si="44"/>
        <v>-8.4387778789158374E-3</v>
      </c>
      <c r="T145" s="75">
        <f t="shared" si="54"/>
        <v>0.34488719790728894</v>
      </c>
      <c r="U145" s="89">
        <v>5898929.25</v>
      </c>
      <c r="V145" s="75">
        <f t="shared" si="49"/>
        <v>0.41824696407485623</v>
      </c>
      <c r="W145" s="75">
        <v>0.42668574195377207</v>
      </c>
      <c r="X145" s="75">
        <f t="shared" si="45"/>
        <v>-8.4387778789158374E-3</v>
      </c>
      <c r="Y145" s="75">
        <f t="shared" si="55"/>
        <v>0.34488719790728894</v>
      </c>
      <c r="Z145" s="77">
        <v>5067226.58</v>
      </c>
      <c r="AA145" s="77">
        <v>247647.46</v>
      </c>
      <c r="AB145" s="77">
        <v>0</v>
      </c>
      <c r="AC145" s="77">
        <v>179879.50000000093</v>
      </c>
      <c r="AD145" s="77">
        <v>52011.81</v>
      </c>
      <c r="AE145" s="77">
        <f t="shared" si="51"/>
        <v>5262862.2300000004</v>
      </c>
      <c r="AF145" s="79">
        <f t="shared" si="52"/>
        <v>5494753.540000001</v>
      </c>
      <c r="AG145" s="239">
        <f>SUM(Z145:AB145)</f>
        <v>5314874.04</v>
      </c>
      <c r="AH145" s="75">
        <f t="shared" si="50"/>
        <v>0.37683617440745981</v>
      </c>
      <c r="AI145" s="75">
        <v>0.37683617440745981</v>
      </c>
      <c r="AJ145" s="75">
        <f t="shared" si="47"/>
        <v>0</v>
      </c>
      <c r="AK145" s="130">
        <f t="shared" si="56"/>
        <v>0.31073978635797206</v>
      </c>
      <c r="AL145" s="72"/>
      <c r="AM145" s="81"/>
      <c r="AN145" s="81"/>
      <c r="AO145" s="81"/>
      <c r="AP145" s="72"/>
      <c r="AQ145" s="81"/>
      <c r="AR145" s="81"/>
      <c r="AS145" s="82"/>
    </row>
    <row r="146" spans="1:45" ht="99">
      <c r="A146" s="69" t="s">
        <v>469</v>
      </c>
      <c r="B146" s="70" t="s">
        <v>470</v>
      </c>
      <c r="C146" s="71" t="s">
        <v>380</v>
      </c>
      <c r="D146" s="71" t="s">
        <v>298</v>
      </c>
      <c r="E146" s="71"/>
      <c r="F146" s="77"/>
      <c r="G146" s="77"/>
      <c r="H146" s="77"/>
      <c r="I146" s="77"/>
      <c r="J146" s="77"/>
      <c r="K146" s="127" t="s">
        <v>471</v>
      </c>
      <c r="L146" s="77">
        <v>6000000</v>
      </c>
      <c r="M146" s="77">
        <f>L146*0.5</f>
        <v>3000000</v>
      </c>
      <c r="N146" s="73">
        <f t="shared" si="53"/>
        <v>3000000</v>
      </c>
      <c r="O146" s="131"/>
      <c r="P146" s="90">
        <v>0</v>
      </c>
      <c r="Q146" s="75"/>
      <c r="R146" s="76"/>
      <c r="S146" s="75"/>
      <c r="T146" s="75">
        <f t="shared" si="54"/>
        <v>0</v>
      </c>
      <c r="U146" s="89">
        <v>0</v>
      </c>
      <c r="V146" s="75"/>
      <c r="W146" s="76"/>
      <c r="X146" s="75"/>
      <c r="Y146" s="75">
        <f t="shared" si="55"/>
        <v>0</v>
      </c>
      <c r="Z146" s="77"/>
      <c r="AA146" s="77"/>
      <c r="AB146" s="77"/>
      <c r="AC146" s="77"/>
      <c r="AD146" s="77"/>
      <c r="AE146" s="77"/>
      <c r="AF146" s="79"/>
      <c r="AG146" s="239"/>
      <c r="AH146" s="75"/>
      <c r="AI146" s="75"/>
      <c r="AJ146" s="75"/>
      <c r="AK146" s="130">
        <f t="shared" si="56"/>
        <v>0</v>
      </c>
      <c r="AL146" s="72"/>
      <c r="AM146" s="81"/>
      <c r="AN146" s="81"/>
      <c r="AO146" s="81"/>
      <c r="AP146" s="72"/>
      <c r="AQ146" s="81"/>
      <c r="AR146" s="81"/>
      <c r="AS146" s="82"/>
    </row>
    <row r="147" spans="1:45" ht="173.25">
      <c r="A147" s="69" t="s">
        <v>142</v>
      </c>
      <c r="B147" s="70" t="s">
        <v>472</v>
      </c>
      <c r="C147" s="71" t="s">
        <v>380</v>
      </c>
      <c r="D147" s="71" t="s">
        <v>298</v>
      </c>
      <c r="E147" s="71"/>
      <c r="F147" s="77">
        <v>4298271.2527559996</v>
      </c>
      <c r="G147" s="77">
        <v>4848135</v>
      </c>
      <c r="H147" s="77">
        <f>G147*G5</f>
        <v>3407288.6705399998</v>
      </c>
      <c r="I147" s="77"/>
      <c r="J147" s="77">
        <v>3407289</v>
      </c>
      <c r="K147" s="127" t="s">
        <v>473</v>
      </c>
      <c r="L147" s="77">
        <v>0</v>
      </c>
      <c r="M147" s="77"/>
      <c r="N147" s="73">
        <f t="shared" si="53"/>
        <v>3407289</v>
      </c>
      <c r="O147" s="131">
        <v>0</v>
      </c>
      <c r="P147" s="90">
        <v>3237833.31</v>
      </c>
      <c r="Q147" s="85">
        <v>0</v>
      </c>
      <c r="R147" s="86">
        <v>0</v>
      </c>
      <c r="S147" s="85">
        <f t="shared" ref="S147:S171" si="57">Q147-R147</f>
        <v>0</v>
      </c>
      <c r="T147" s="85">
        <f t="shared" si="54"/>
        <v>0.9502667105725402</v>
      </c>
      <c r="U147" s="89">
        <v>3237833.31</v>
      </c>
      <c r="V147" s="85">
        <v>0</v>
      </c>
      <c r="W147" s="86">
        <v>0</v>
      </c>
      <c r="X147" s="85">
        <f t="shared" ref="X147:X171" si="58">V147-W147</f>
        <v>0</v>
      </c>
      <c r="Y147" s="85">
        <f t="shared" si="55"/>
        <v>0.9502667105725402</v>
      </c>
      <c r="Z147" s="89">
        <v>0</v>
      </c>
      <c r="AA147" s="89">
        <v>0</v>
      </c>
      <c r="AB147" s="89">
        <v>178105.74</v>
      </c>
      <c r="AC147" s="89">
        <v>0</v>
      </c>
      <c r="AD147" s="89">
        <v>0</v>
      </c>
      <c r="AE147" s="89">
        <f t="shared" ref="AE147:AE210" si="59">AG147-AD147</f>
        <v>178105.74</v>
      </c>
      <c r="AF147" s="142">
        <f t="shared" ref="AF147:AF210" si="60">Z147+AA147+AC147</f>
        <v>0</v>
      </c>
      <c r="AG147" s="239">
        <f>SUM(Z147:AB147)</f>
        <v>178105.74</v>
      </c>
      <c r="AH147" s="85">
        <v>0</v>
      </c>
      <c r="AI147" s="85">
        <v>0</v>
      </c>
      <c r="AJ147" s="85">
        <f>AH147-AI147</f>
        <v>0</v>
      </c>
      <c r="AK147" s="130">
        <f t="shared" si="56"/>
        <v>5.2271979277366841E-2</v>
      </c>
      <c r="AL147" s="72"/>
      <c r="AM147" s="81"/>
      <c r="AN147" s="81"/>
      <c r="AO147" s="81"/>
      <c r="AP147" s="72"/>
      <c r="AQ147" s="81"/>
      <c r="AR147" s="81"/>
      <c r="AS147" s="82"/>
    </row>
    <row r="148" spans="1:45" s="18" customFormat="1" ht="110.25">
      <c r="A148" s="59" t="s">
        <v>474</v>
      </c>
      <c r="B148" s="60" t="s">
        <v>475</v>
      </c>
      <c r="C148" s="61" t="s">
        <v>380</v>
      </c>
      <c r="D148" s="61" t="s">
        <v>476</v>
      </c>
      <c r="E148" s="61"/>
      <c r="F148" s="62">
        <f>F149</f>
        <v>17948876.215799998</v>
      </c>
      <c r="G148" s="62">
        <v>22985056</v>
      </c>
      <c r="H148" s="62">
        <f>H149</f>
        <v>16153989.297024</v>
      </c>
      <c r="I148" s="62">
        <f>J148/I5</f>
        <v>22985056</v>
      </c>
      <c r="J148" s="62">
        <f>J149</f>
        <v>16153989.297024</v>
      </c>
      <c r="K148" s="127" t="s">
        <v>477</v>
      </c>
      <c r="L148" s="64">
        <f>L149</f>
        <v>0</v>
      </c>
      <c r="M148" s="64">
        <f>M149</f>
        <v>0</v>
      </c>
      <c r="N148" s="41">
        <f t="shared" si="53"/>
        <v>16153989.297024</v>
      </c>
      <c r="O148" s="63">
        <f>O149</f>
        <v>9407668.344899999</v>
      </c>
      <c r="P148" s="64">
        <f>P149</f>
        <v>14831275.73</v>
      </c>
      <c r="Q148" s="65">
        <f t="shared" ref="Q148:Q159" si="61">P148/J148</f>
        <v>0.91811845713753948</v>
      </c>
      <c r="R148" s="65">
        <v>0.91811845713753948</v>
      </c>
      <c r="S148" s="65">
        <f t="shared" si="57"/>
        <v>0</v>
      </c>
      <c r="T148" s="65">
        <f t="shared" si="54"/>
        <v>0.91811845713753948</v>
      </c>
      <c r="U148" s="64">
        <f>U149</f>
        <v>14831275.73</v>
      </c>
      <c r="V148" s="65">
        <f t="shared" ref="V148:V159" si="62">U148/J148</f>
        <v>0.91811845713753948</v>
      </c>
      <c r="W148" s="143">
        <v>0.91811845713753948</v>
      </c>
      <c r="X148" s="65">
        <f t="shared" si="58"/>
        <v>0</v>
      </c>
      <c r="Y148" s="65">
        <f t="shared" si="55"/>
        <v>0.91811845713753948</v>
      </c>
      <c r="Z148" s="64">
        <f t="shared" ref="Z148:AD149" si="63">Z149</f>
        <v>8098483.3300000001</v>
      </c>
      <c r="AA148" s="64">
        <f t="shared" si="63"/>
        <v>0</v>
      </c>
      <c r="AB148" s="64">
        <f t="shared" si="63"/>
        <v>0</v>
      </c>
      <c r="AC148" s="64">
        <f t="shared" si="63"/>
        <v>0</v>
      </c>
      <c r="AD148" s="64">
        <f t="shared" si="63"/>
        <v>0</v>
      </c>
      <c r="AE148" s="100">
        <f t="shared" si="59"/>
        <v>8098483.3300000001</v>
      </c>
      <c r="AF148" s="64">
        <f t="shared" si="60"/>
        <v>8098483.3300000001</v>
      </c>
      <c r="AG148" s="234">
        <f>AG149</f>
        <v>8098483.3300000001</v>
      </c>
      <c r="AH148" s="65">
        <f t="shared" ref="AH148:AH159" si="64">AG148/J148</f>
        <v>0.50133023992358094</v>
      </c>
      <c r="AI148" s="65">
        <v>0.47322133371775271</v>
      </c>
      <c r="AJ148" s="65">
        <f t="shared" ref="AJ148:AJ199" si="65">AH148-AI148</f>
        <v>2.8108906205828232E-2</v>
      </c>
      <c r="AK148" s="44">
        <f t="shared" si="56"/>
        <v>0.50133023992358094</v>
      </c>
      <c r="AL148" s="62">
        <f>AL149</f>
        <v>3379215.38</v>
      </c>
      <c r="AM148" s="67">
        <f t="shared" ref="AM148:AM153" si="66">AL148/J148</f>
        <v>0.20918766986075335</v>
      </c>
      <c r="AN148" s="67">
        <v>0.20918766986075335</v>
      </c>
      <c r="AO148" s="67">
        <f t="shared" ref="AO148:AO150" si="67">AM148-AN148</f>
        <v>0</v>
      </c>
      <c r="AP148" s="62">
        <f>AP149</f>
        <v>0</v>
      </c>
      <c r="AQ148" s="67">
        <f t="shared" ref="AQ148:AQ153" si="68">AP148/J148</f>
        <v>0</v>
      </c>
      <c r="AR148" s="67">
        <v>0</v>
      </c>
      <c r="AS148" s="68">
        <f t="shared" ref="AS148:AS153" si="69">AQ148-AR148</f>
        <v>0</v>
      </c>
    </row>
    <row r="149" spans="1:45" s="18" customFormat="1" ht="132">
      <c r="A149" s="59" t="s">
        <v>478</v>
      </c>
      <c r="B149" s="60" t="s">
        <v>479</v>
      </c>
      <c r="C149" s="61" t="s">
        <v>380</v>
      </c>
      <c r="D149" s="61" t="s">
        <v>476</v>
      </c>
      <c r="E149" s="61"/>
      <c r="F149" s="62">
        <f>F150</f>
        <v>17948876.215799998</v>
      </c>
      <c r="G149" s="62">
        <v>22985056</v>
      </c>
      <c r="H149" s="62">
        <f>H150</f>
        <v>16153989.297024</v>
      </c>
      <c r="I149" s="62"/>
      <c r="J149" s="62">
        <f>J150</f>
        <v>16153989.297024</v>
      </c>
      <c r="K149" s="127" t="s">
        <v>477</v>
      </c>
      <c r="L149" s="62">
        <f>L150</f>
        <v>0</v>
      </c>
      <c r="M149" s="62">
        <f>M150</f>
        <v>0</v>
      </c>
      <c r="N149" s="41">
        <f t="shared" si="53"/>
        <v>16153989.297024</v>
      </c>
      <c r="O149" s="63">
        <f>O150</f>
        <v>9407668.344899999</v>
      </c>
      <c r="P149" s="64">
        <f>P150</f>
        <v>14831275.73</v>
      </c>
      <c r="Q149" s="65">
        <f t="shared" si="61"/>
        <v>0.91811845713753948</v>
      </c>
      <c r="R149" s="65">
        <v>0.91811845713753948</v>
      </c>
      <c r="S149" s="65">
        <f t="shared" si="57"/>
        <v>0</v>
      </c>
      <c r="T149" s="65">
        <f t="shared" si="54"/>
        <v>0.91811845713753948</v>
      </c>
      <c r="U149" s="64">
        <f>U150</f>
        <v>14831275.73</v>
      </c>
      <c r="V149" s="65">
        <f t="shared" si="62"/>
        <v>0.91811845713753948</v>
      </c>
      <c r="W149" s="76">
        <v>0.91811845713753948</v>
      </c>
      <c r="X149" s="65">
        <f t="shared" si="58"/>
        <v>0</v>
      </c>
      <c r="Y149" s="65">
        <f t="shared" si="55"/>
        <v>0.91811845713753948</v>
      </c>
      <c r="Z149" s="64">
        <f t="shared" si="63"/>
        <v>8098483.3300000001</v>
      </c>
      <c r="AA149" s="64">
        <f t="shared" si="63"/>
        <v>0</v>
      </c>
      <c r="AB149" s="64">
        <f t="shared" si="63"/>
        <v>0</v>
      </c>
      <c r="AC149" s="64">
        <f t="shared" si="63"/>
        <v>0</v>
      </c>
      <c r="AD149" s="64">
        <f t="shared" si="63"/>
        <v>0</v>
      </c>
      <c r="AE149" s="100">
        <f t="shared" si="59"/>
        <v>8098483.3300000001</v>
      </c>
      <c r="AF149" s="101">
        <f t="shared" si="60"/>
        <v>8098483.3300000001</v>
      </c>
      <c r="AG149" s="234">
        <f>AG150</f>
        <v>8098483.3300000001</v>
      </c>
      <c r="AH149" s="65">
        <f t="shared" si="64"/>
        <v>0.50133023992358094</v>
      </c>
      <c r="AI149" s="65">
        <v>0.47322133371775271</v>
      </c>
      <c r="AJ149" s="65">
        <f t="shared" si="65"/>
        <v>2.8108906205828232E-2</v>
      </c>
      <c r="AK149" s="44">
        <f t="shared" si="56"/>
        <v>0.50133023992358094</v>
      </c>
      <c r="AL149" s="62">
        <f>AL150</f>
        <v>3379215.38</v>
      </c>
      <c r="AM149" s="67">
        <f t="shared" si="66"/>
        <v>0.20918766986075335</v>
      </c>
      <c r="AN149" s="67">
        <v>0.20918766986075335</v>
      </c>
      <c r="AO149" s="67">
        <f t="shared" si="67"/>
        <v>0</v>
      </c>
      <c r="AP149" s="62">
        <f>AP150</f>
        <v>0</v>
      </c>
      <c r="AQ149" s="67">
        <f t="shared" si="68"/>
        <v>0</v>
      </c>
      <c r="AR149" s="67">
        <v>0</v>
      </c>
      <c r="AS149" s="68">
        <f t="shared" si="69"/>
        <v>0</v>
      </c>
    </row>
    <row r="150" spans="1:45" ht="157.5">
      <c r="A150" s="69" t="s">
        <v>20</v>
      </c>
      <c r="B150" s="70" t="s">
        <v>480</v>
      </c>
      <c r="C150" s="71" t="s">
        <v>380</v>
      </c>
      <c r="D150" s="71" t="s">
        <v>476</v>
      </c>
      <c r="E150" s="71"/>
      <c r="F150" s="77">
        <v>17948876.215799998</v>
      </c>
      <c r="G150" s="62">
        <v>22985056</v>
      </c>
      <c r="H150" s="77">
        <v>16153989.297024</v>
      </c>
      <c r="I150" s="77"/>
      <c r="J150" s="77">
        <v>16153989.297024</v>
      </c>
      <c r="K150" s="127" t="s">
        <v>481</v>
      </c>
      <c r="L150" s="77">
        <v>0</v>
      </c>
      <c r="M150" s="77"/>
      <c r="N150" s="73">
        <f t="shared" si="53"/>
        <v>16153989.297024</v>
      </c>
      <c r="O150" s="74">
        <f>0.21*44798420.69</f>
        <v>9407668.344899999</v>
      </c>
      <c r="P150" s="72">
        <v>14831275.73</v>
      </c>
      <c r="Q150" s="75">
        <f t="shared" si="61"/>
        <v>0.91811845713753948</v>
      </c>
      <c r="R150" s="76">
        <v>0.91811845713753948</v>
      </c>
      <c r="S150" s="75">
        <f t="shared" si="57"/>
        <v>0</v>
      </c>
      <c r="T150" s="75">
        <f t="shared" si="54"/>
        <v>0.91811845713753948</v>
      </c>
      <c r="U150" s="77">
        <v>14831275.73</v>
      </c>
      <c r="V150" s="75">
        <f t="shared" si="62"/>
        <v>0.91811845713753948</v>
      </c>
      <c r="W150" s="75">
        <v>0.91811845713753948</v>
      </c>
      <c r="X150" s="75">
        <f t="shared" si="58"/>
        <v>0</v>
      </c>
      <c r="Y150" s="75">
        <f t="shared" si="55"/>
        <v>0.91811845713753948</v>
      </c>
      <c r="Z150" s="77">
        <v>8098483.3300000001</v>
      </c>
      <c r="AA150" s="77">
        <v>0</v>
      </c>
      <c r="AB150" s="77">
        <v>0</v>
      </c>
      <c r="AC150" s="77">
        <v>0</v>
      </c>
      <c r="AD150" s="77">
        <v>0</v>
      </c>
      <c r="AE150" s="79">
        <f t="shared" si="59"/>
        <v>8098483.3300000001</v>
      </c>
      <c r="AF150" s="79">
        <f t="shared" si="60"/>
        <v>8098483.3300000001</v>
      </c>
      <c r="AG150" s="239">
        <f>SUM(Z150:AB150)</f>
        <v>8098483.3300000001</v>
      </c>
      <c r="AH150" s="75">
        <f t="shared" si="64"/>
        <v>0.50133023992358094</v>
      </c>
      <c r="AI150" s="75">
        <v>0.47322133371775271</v>
      </c>
      <c r="AJ150" s="75">
        <f t="shared" si="65"/>
        <v>2.8108906205828232E-2</v>
      </c>
      <c r="AK150" s="80">
        <f t="shared" si="56"/>
        <v>0.50133023992358094</v>
      </c>
      <c r="AL150" s="120">
        <v>3379215.38</v>
      </c>
      <c r="AM150" s="81">
        <f t="shared" si="66"/>
        <v>0.20918766986075335</v>
      </c>
      <c r="AN150" s="81">
        <v>0.20918766986075335</v>
      </c>
      <c r="AO150" s="81">
        <f t="shared" si="67"/>
        <v>0</v>
      </c>
      <c r="AP150" s="72">
        <v>0</v>
      </c>
      <c r="AQ150" s="81">
        <f t="shared" si="68"/>
        <v>0</v>
      </c>
      <c r="AR150" s="81">
        <v>0</v>
      </c>
      <c r="AS150" s="82">
        <f t="shared" si="69"/>
        <v>0</v>
      </c>
    </row>
    <row r="151" spans="1:45" s="18" customFormat="1" ht="109.5">
      <c r="A151" s="46" t="s">
        <v>482</v>
      </c>
      <c r="B151" s="47" t="s">
        <v>483</v>
      </c>
      <c r="C151" s="48" t="s">
        <v>484</v>
      </c>
      <c r="D151" s="48" t="s">
        <v>231</v>
      </c>
      <c r="E151" s="51"/>
      <c r="F151" s="49">
        <f>F154+F185+F203+F213+F234+F250+F257+F260</f>
        <v>2256431635.6594682</v>
      </c>
      <c r="G151" s="49"/>
      <c r="H151" s="49">
        <f>H154+H185+H203+H213+H234+H250+H257+H260</f>
        <v>2256431635.6594682</v>
      </c>
      <c r="I151" s="49"/>
      <c r="J151" s="49">
        <f>J154+J185+J203+J213+J234+J250+J257+J260</f>
        <v>2256431635.6594682</v>
      </c>
      <c r="K151" s="144" t="s">
        <v>232</v>
      </c>
      <c r="L151" s="49">
        <f>L154+L185+L203+L213+L234+L250+L257+L260</f>
        <v>216634579</v>
      </c>
      <c r="M151" s="49">
        <f>M154+M185+M203+M213+M234+M250+M257+M260</f>
        <v>204129836.30000001</v>
      </c>
      <c r="N151" s="51">
        <f t="shared" si="53"/>
        <v>2460561471.9594684</v>
      </c>
      <c r="O151" s="145">
        <f>O154+O185+O203+O213+O234+O250+O257+O260</f>
        <v>1436969023.3446999</v>
      </c>
      <c r="P151" s="49">
        <f>P154+P185+P203+P213+P234+P250+P257+P260</f>
        <v>2133285794.79</v>
      </c>
      <c r="Q151" s="52">
        <f t="shared" si="61"/>
        <v>0.94542451943886285</v>
      </c>
      <c r="R151" s="53">
        <v>0.93590045247827924</v>
      </c>
      <c r="S151" s="52">
        <f t="shared" si="57"/>
        <v>9.5240669605836104E-3</v>
      </c>
      <c r="T151" s="52">
        <f t="shared" si="54"/>
        <v>0.86699146479407307</v>
      </c>
      <c r="U151" s="51">
        <f>U154+U185+U203+U213+U234+U250+U257+U260</f>
        <v>2090047538.6899998</v>
      </c>
      <c r="V151" s="52">
        <f t="shared" si="62"/>
        <v>0.92626229204553734</v>
      </c>
      <c r="W151" s="52">
        <v>0.92279500385193192</v>
      </c>
      <c r="X151" s="52">
        <f t="shared" si="58"/>
        <v>3.4672881936054223E-3</v>
      </c>
      <c r="Y151" s="52">
        <f t="shared" si="55"/>
        <v>0.84941894868637047</v>
      </c>
      <c r="Z151" s="51">
        <f>Z154+Z185+Z203+Z213+Z234+Z250+Z257+Z260</f>
        <v>747809235.43999994</v>
      </c>
      <c r="AA151" s="51">
        <f>AA154+AA185+AA203+AA213+AA234+AA250+AA257+AA260</f>
        <v>9979082.9000000004</v>
      </c>
      <c r="AB151" s="51">
        <f>AB154+AB185+AB203+AB213+AB234+AB250+AB257+AB260</f>
        <v>422382958.25</v>
      </c>
      <c r="AC151" s="51">
        <f>AC154+AC185+AC203+AC213+AC234+AC250+AC257+AC260</f>
        <v>180987583.9900001</v>
      </c>
      <c r="AD151" s="51">
        <f>AD154+AD185+AD203+AD213+AD234+AD250+AD257+AD260</f>
        <v>37667191.109999999</v>
      </c>
      <c r="AE151" s="51">
        <f t="shared" si="59"/>
        <v>1144815835.5400002</v>
      </c>
      <c r="AF151" s="51">
        <f t="shared" si="60"/>
        <v>938775902.33000004</v>
      </c>
      <c r="AG151" s="236">
        <f>AG154+AG185+AG203+AG213+AG234+AG250+AG257+AG260</f>
        <v>1182483026.6500001</v>
      </c>
      <c r="AH151" s="52">
        <f t="shared" si="64"/>
        <v>0.52405001240128679</v>
      </c>
      <c r="AI151" s="55">
        <v>0.48986725965528671</v>
      </c>
      <c r="AJ151" s="52">
        <f t="shared" si="65"/>
        <v>3.4182752746000078E-2</v>
      </c>
      <c r="AK151" s="52">
        <f t="shared" si="56"/>
        <v>0.48057447055298708</v>
      </c>
      <c r="AL151" s="56">
        <f>AL152+AL153</f>
        <v>524599829.89473534</v>
      </c>
      <c r="AM151" s="57">
        <f t="shared" si="66"/>
        <v>0.23249090360382887</v>
      </c>
      <c r="AN151" s="57">
        <v>0.23249090360382887</v>
      </c>
      <c r="AO151" s="57">
        <f>AM151-AN151</f>
        <v>0</v>
      </c>
      <c r="AP151" s="146">
        <f>AP152+AP153</f>
        <v>740346303.97342801</v>
      </c>
      <c r="AQ151" s="57">
        <f t="shared" si="68"/>
        <v>0.32810491231969158</v>
      </c>
      <c r="AR151" s="57">
        <v>0.31345833336316925</v>
      </c>
      <c r="AS151" s="58">
        <f t="shared" si="69"/>
        <v>1.4646578956522327E-2</v>
      </c>
    </row>
    <row r="152" spans="1:45" s="18" customFormat="1">
      <c r="A152" s="147" t="s">
        <v>482</v>
      </c>
      <c r="B152" s="148" t="s">
        <v>485</v>
      </c>
      <c r="C152" s="149" t="s">
        <v>380</v>
      </c>
      <c r="D152" s="149" t="s">
        <v>231</v>
      </c>
      <c r="E152" s="150"/>
      <c r="F152" s="151">
        <f>F154+F185+F213+F250+F257</f>
        <v>1174270515.104856</v>
      </c>
      <c r="G152" s="151"/>
      <c r="H152" s="151">
        <f>H154+H185+H213+H250+H257</f>
        <v>1174270515.104856</v>
      </c>
      <c r="I152" s="151"/>
      <c r="J152" s="151">
        <f>J154+J185+J213+J250+J257</f>
        <v>1174270515.104856</v>
      </c>
      <c r="K152" s="152" t="s">
        <v>232</v>
      </c>
      <c r="L152" s="151">
        <f>L154+L185+L213+L250+L257</f>
        <v>169677622</v>
      </c>
      <c r="M152" s="151">
        <f>M154+M185+M213+M250+M257</f>
        <v>162442532</v>
      </c>
      <c r="N152" s="150">
        <f t="shared" si="53"/>
        <v>1336713047.104856</v>
      </c>
      <c r="O152" s="153">
        <f>O154+O185+O213+O250+O257</f>
        <v>783910087.24880004</v>
      </c>
      <c r="P152" s="150">
        <f>P154+P185+P213+P250+P257</f>
        <v>1086595455.9000001</v>
      </c>
      <c r="Q152" s="154">
        <f t="shared" si="61"/>
        <v>0.92533657442891082</v>
      </c>
      <c r="R152" s="155">
        <v>0.90678504776637281</v>
      </c>
      <c r="S152" s="154">
        <f t="shared" si="57"/>
        <v>1.8551526662538009E-2</v>
      </c>
      <c r="T152" s="154">
        <f t="shared" si="54"/>
        <v>0.81288610016444618</v>
      </c>
      <c r="U152" s="150">
        <f>U154+U185+U213+U250+U257</f>
        <v>1063270098.3499998</v>
      </c>
      <c r="V152" s="154">
        <f t="shared" si="62"/>
        <v>0.90547287415715749</v>
      </c>
      <c r="W152" s="156">
        <v>0.89866847318887955</v>
      </c>
      <c r="X152" s="154">
        <f t="shared" si="58"/>
        <v>6.804400968277946E-3</v>
      </c>
      <c r="Y152" s="154">
        <f t="shared" si="55"/>
        <v>0.795436313465259</v>
      </c>
      <c r="Z152" s="150">
        <f>Z154+Z185+Z213+Z250+Z257</f>
        <v>410469468.49000007</v>
      </c>
      <c r="AA152" s="150">
        <f>AA154+AA185+AA213+AA250+AA257</f>
        <v>37443.14</v>
      </c>
      <c r="AB152" s="150">
        <f>AB154+AB185+AB213+AB250+AB257</f>
        <v>235524479.92000002</v>
      </c>
      <c r="AC152" s="150">
        <f>AC154+AC185+AC213+AC250+AC257</f>
        <v>116640735.01999998</v>
      </c>
      <c r="AD152" s="150">
        <f>AD154+AD185+AD213+AD250+AD257</f>
        <v>12041607.51</v>
      </c>
      <c r="AE152" s="150">
        <f t="shared" si="59"/>
        <v>633989784.04000008</v>
      </c>
      <c r="AF152" s="150">
        <f t="shared" si="60"/>
        <v>527147646.65000004</v>
      </c>
      <c r="AG152" s="236">
        <f>AG154+AG185+AG213+AG250+AG257</f>
        <v>646031391.55000007</v>
      </c>
      <c r="AH152" s="154">
        <f t="shared" si="64"/>
        <v>0.5501555078152609</v>
      </c>
      <c r="AI152" s="157">
        <v>0.51350669087195455</v>
      </c>
      <c r="AJ152" s="154">
        <f t="shared" si="65"/>
        <v>3.664881694330635E-2</v>
      </c>
      <c r="AK152" s="154">
        <f t="shared" si="56"/>
        <v>0.48329848575146234</v>
      </c>
      <c r="AL152" s="56">
        <v>290443367.82257068</v>
      </c>
      <c r="AM152" s="57">
        <f t="shared" si="66"/>
        <v>0.24733940270708038</v>
      </c>
      <c r="AN152" s="57">
        <v>0.24733940270708038</v>
      </c>
      <c r="AO152" s="57">
        <f t="shared" ref="AO152:AO153" si="70">AM152-AN152</f>
        <v>0</v>
      </c>
      <c r="AP152" s="146">
        <v>381212167.34819913</v>
      </c>
      <c r="AQ152" s="57">
        <f t="shared" si="68"/>
        <v>0.32463743442809595</v>
      </c>
      <c r="AR152" s="57">
        <v>0.30618076711368575</v>
      </c>
      <c r="AS152" s="58">
        <f t="shared" si="69"/>
        <v>1.8456667314410202E-2</v>
      </c>
    </row>
    <row r="153" spans="1:45" s="18" customFormat="1">
      <c r="A153" s="147" t="s">
        <v>482</v>
      </c>
      <c r="B153" s="148" t="s">
        <v>486</v>
      </c>
      <c r="C153" s="149" t="s">
        <v>487</v>
      </c>
      <c r="D153" s="149" t="s">
        <v>231</v>
      </c>
      <c r="E153" s="150"/>
      <c r="F153" s="151">
        <f>F203+F234+F260</f>
        <v>1082161120.5546119</v>
      </c>
      <c r="G153" s="151"/>
      <c r="H153" s="151">
        <f>H203+H234+H260</f>
        <v>1082161120.5546119</v>
      </c>
      <c r="I153" s="151"/>
      <c r="J153" s="151">
        <f>J203+J234+J260</f>
        <v>1082161120.5546119</v>
      </c>
      <c r="K153" s="152" t="s">
        <v>232</v>
      </c>
      <c r="L153" s="151">
        <f>L203+L234+L260</f>
        <v>46956957</v>
      </c>
      <c r="M153" s="151">
        <f>M203+M234+M260</f>
        <v>41687304.299999997</v>
      </c>
      <c r="N153" s="150">
        <f t="shared" si="53"/>
        <v>1123848424.8546119</v>
      </c>
      <c r="O153" s="153">
        <f>O203+O234+O260</f>
        <v>653058936.09589994</v>
      </c>
      <c r="P153" s="150">
        <f>P203+P234+P260</f>
        <v>1046690338.89</v>
      </c>
      <c r="Q153" s="154">
        <f t="shared" si="61"/>
        <v>0.96722227310621456</v>
      </c>
      <c r="R153" s="155">
        <v>0.96749404851415877</v>
      </c>
      <c r="S153" s="154">
        <f t="shared" si="57"/>
        <v>-2.7177540794420807E-4</v>
      </c>
      <c r="T153" s="154">
        <f t="shared" si="54"/>
        <v>0.93134475765751634</v>
      </c>
      <c r="U153" s="150">
        <f>U203+U234+U260</f>
        <v>1026777440.3399999</v>
      </c>
      <c r="V153" s="154">
        <f t="shared" si="62"/>
        <v>0.94882122526613444</v>
      </c>
      <c r="W153" s="158">
        <v>0.94897509205809127</v>
      </c>
      <c r="X153" s="154">
        <f t="shared" si="58"/>
        <v>-1.5386679195683595E-4</v>
      </c>
      <c r="Y153" s="154">
        <f t="shared" si="55"/>
        <v>0.91362626634711019</v>
      </c>
      <c r="Z153" s="150">
        <f>Z203+Z234+Z260</f>
        <v>337339766.94999999</v>
      </c>
      <c r="AA153" s="150">
        <f>AA203+AA234+AA260</f>
        <v>9941639.7599999998</v>
      </c>
      <c r="AB153" s="150">
        <f>AB203+AB234+AB260</f>
        <v>186858478.32999998</v>
      </c>
      <c r="AC153" s="150">
        <f>AC203+AC234+AC260</f>
        <v>64346848.970000103</v>
      </c>
      <c r="AD153" s="150">
        <f>AD203+AD234+AD260</f>
        <v>25625583.600000001</v>
      </c>
      <c r="AE153" s="150">
        <f t="shared" si="59"/>
        <v>510826051.50000006</v>
      </c>
      <c r="AF153" s="150">
        <f t="shared" si="60"/>
        <v>411628255.68000007</v>
      </c>
      <c r="AG153" s="236">
        <f>AG203+AG234+AG260</f>
        <v>536451635.10000008</v>
      </c>
      <c r="AH153" s="154">
        <f t="shared" si="64"/>
        <v>0.49572251757212132</v>
      </c>
      <c r="AI153" s="157">
        <v>0.46421573092788665</v>
      </c>
      <c r="AJ153" s="154">
        <f t="shared" si="65"/>
        <v>3.1506786644234674E-2</v>
      </c>
      <c r="AK153" s="154">
        <f t="shared" si="56"/>
        <v>0.47733450813831846</v>
      </c>
      <c r="AL153" s="56">
        <v>234156462.07216462</v>
      </c>
      <c r="AM153" s="57">
        <f t="shared" si="66"/>
        <v>0.21637855733733855</v>
      </c>
      <c r="AN153" s="57">
        <v>0.21637855733733855</v>
      </c>
      <c r="AO153" s="57">
        <f t="shared" si="70"/>
        <v>0</v>
      </c>
      <c r="AP153" s="146">
        <v>359134136.62522894</v>
      </c>
      <c r="AQ153" s="57">
        <f t="shared" si="68"/>
        <v>0.33186752859978119</v>
      </c>
      <c r="AR153" s="57">
        <v>0.32135533807547206</v>
      </c>
      <c r="AS153" s="58">
        <f t="shared" si="69"/>
        <v>1.0512190524309128E-2</v>
      </c>
    </row>
    <row r="154" spans="1:45" s="159" customFormat="1" ht="99">
      <c r="A154" s="59" t="s">
        <v>488</v>
      </c>
      <c r="B154" s="60" t="s">
        <v>489</v>
      </c>
      <c r="C154" s="61" t="s">
        <v>380</v>
      </c>
      <c r="D154" s="61" t="s">
        <v>231</v>
      </c>
      <c r="E154" s="64"/>
      <c r="F154" s="62">
        <f>F155+F158+F161+F167+F177</f>
        <v>354651228.75374401</v>
      </c>
      <c r="G154" s="62"/>
      <c r="H154" s="62">
        <f>H155+H158+H161+H167+H177</f>
        <v>354651228.75374401</v>
      </c>
      <c r="I154" s="62"/>
      <c r="J154" s="62">
        <f>J155+J158+J161+J167+J177</f>
        <v>354651228.75374401</v>
      </c>
      <c r="K154" s="62" t="s">
        <v>232</v>
      </c>
      <c r="L154" s="62">
        <f>L155+L158+L161+L167+L177</f>
        <v>65330624</v>
      </c>
      <c r="M154" s="62">
        <f>M155+M158+M161+M167+M177</f>
        <v>58095534</v>
      </c>
      <c r="N154" s="41">
        <f t="shared" si="53"/>
        <v>412746762.75374401</v>
      </c>
      <c r="O154" s="63">
        <f>O155+O158+O161+O167+O177</f>
        <v>262464006.66999999</v>
      </c>
      <c r="P154" s="64">
        <f>P155+P158+P161+P167+P177</f>
        <v>321250637.26999998</v>
      </c>
      <c r="Q154" s="65">
        <f t="shared" si="61"/>
        <v>0.90582130054613152</v>
      </c>
      <c r="R154" s="65">
        <v>0.90613841051469202</v>
      </c>
      <c r="S154" s="65">
        <f t="shared" si="57"/>
        <v>-3.1710996856049167E-4</v>
      </c>
      <c r="T154" s="65">
        <f t="shared" si="54"/>
        <v>0.77832382046244386</v>
      </c>
      <c r="U154" s="64">
        <f>U155+U158+U161+U167+U177</f>
        <v>321250637.26999998</v>
      </c>
      <c r="V154" s="65">
        <f t="shared" si="62"/>
        <v>0.90582130054613152</v>
      </c>
      <c r="W154" s="157">
        <v>0.90613841051469202</v>
      </c>
      <c r="X154" s="65">
        <f t="shared" si="58"/>
        <v>-3.1710996856049167E-4</v>
      </c>
      <c r="Y154" s="65">
        <f t="shared" si="55"/>
        <v>0.77832382046244386</v>
      </c>
      <c r="Z154" s="64">
        <f>Z155+Z158+Z161+Z167+Z177</f>
        <v>141256561.24000001</v>
      </c>
      <c r="AA154" s="64">
        <f>AA155+AA158+AA161+AA167+AA177</f>
        <v>0</v>
      </c>
      <c r="AB154" s="64">
        <f>AB155+AB158+AB161+AB167+AB177</f>
        <v>79915818.299999997</v>
      </c>
      <c r="AC154" s="64">
        <f>AC155+AC158+AC161+AC167+AC177</f>
        <v>37050462.699999981</v>
      </c>
      <c r="AD154" s="64">
        <f>AD155+AD158+AD161+AD167+AD177</f>
        <v>2381503.5499999998</v>
      </c>
      <c r="AE154" s="100">
        <f t="shared" si="59"/>
        <v>218790875.99000001</v>
      </c>
      <c r="AF154" s="64">
        <f t="shared" si="60"/>
        <v>178307023.94</v>
      </c>
      <c r="AG154" s="234">
        <f>AG155+AG158+AG161+AG167+AG177</f>
        <v>221172379.54000002</v>
      </c>
      <c r="AH154" s="65">
        <f t="shared" si="64"/>
        <v>0.62363347877633746</v>
      </c>
      <c r="AI154" s="65">
        <v>0.58590075616030535</v>
      </c>
      <c r="AJ154" s="65">
        <f t="shared" si="65"/>
        <v>3.7732722616032111E-2</v>
      </c>
      <c r="AK154" s="44">
        <f t="shared" si="56"/>
        <v>0.53585491031932697</v>
      </c>
      <c r="AL154" s="62"/>
      <c r="AM154" s="67"/>
      <c r="AN154" s="67"/>
      <c r="AO154" s="67"/>
      <c r="AP154" s="62"/>
      <c r="AQ154" s="67"/>
      <c r="AR154" s="67"/>
      <c r="AS154" s="68"/>
    </row>
    <row r="155" spans="1:45" s="159" customFormat="1" ht="82.5">
      <c r="A155" s="59" t="s">
        <v>490</v>
      </c>
      <c r="B155" s="60" t="s">
        <v>491</v>
      </c>
      <c r="C155" s="61" t="s">
        <v>380</v>
      </c>
      <c r="D155" s="61" t="s">
        <v>238</v>
      </c>
      <c r="E155" s="64"/>
      <c r="F155" s="62">
        <f>F156+F157</f>
        <v>61828309.017431997</v>
      </c>
      <c r="G155" s="62"/>
      <c r="H155" s="62">
        <f>H156+H157</f>
        <v>61828309.017431997</v>
      </c>
      <c r="I155" s="62"/>
      <c r="J155" s="62">
        <f>J156+J157</f>
        <v>61828309.017431997</v>
      </c>
      <c r="K155" s="62" t="s">
        <v>232</v>
      </c>
      <c r="L155" s="62">
        <f>L156+L157</f>
        <v>43509857</v>
      </c>
      <c r="M155" s="62">
        <f>M156+M157</f>
        <v>37418507</v>
      </c>
      <c r="N155" s="41">
        <f t="shared" si="53"/>
        <v>99246816.017432004</v>
      </c>
      <c r="O155" s="63">
        <f>O156+O157</f>
        <v>28059330.579999998</v>
      </c>
      <c r="P155" s="64">
        <f>P156+P157</f>
        <v>21000221.379999999</v>
      </c>
      <c r="Q155" s="65">
        <f t="shared" si="61"/>
        <v>0.33965382061604105</v>
      </c>
      <c r="R155" s="65">
        <v>0.34175174952653148</v>
      </c>
      <c r="S155" s="65">
        <f t="shared" si="57"/>
        <v>-2.097928910490432E-3</v>
      </c>
      <c r="T155" s="65">
        <f t="shared" si="54"/>
        <v>0.21159592038007</v>
      </c>
      <c r="U155" s="64">
        <f>U156+U157</f>
        <v>21000221.379999999</v>
      </c>
      <c r="V155" s="65">
        <f t="shared" si="62"/>
        <v>0.33965382061604105</v>
      </c>
      <c r="W155" s="157">
        <v>0.34175174952653148</v>
      </c>
      <c r="X155" s="65">
        <f t="shared" si="58"/>
        <v>-2.097928910490432E-3</v>
      </c>
      <c r="Y155" s="65">
        <f t="shared" si="55"/>
        <v>0.21159592038007</v>
      </c>
      <c r="Z155" s="64">
        <f>Z156+Z157</f>
        <v>14082266.43</v>
      </c>
      <c r="AA155" s="64">
        <f>AA156+AA157</f>
        <v>0</v>
      </c>
      <c r="AB155" s="64">
        <f>AB156+AB157</f>
        <v>2141042.41</v>
      </c>
      <c r="AC155" s="64">
        <f>AC156+AC157</f>
        <v>945377.10999999801</v>
      </c>
      <c r="AD155" s="64">
        <f>AD156+AD157</f>
        <v>1410556.67</v>
      </c>
      <c r="AE155" s="100">
        <f t="shared" si="59"/>
        <v>14812752.17</v>
      </c>
      <c r="AF155" s="64">
        <f t="shared" si="60"/>
        <v>15027643.539999997</v>
      </c>
      <c r="AG155" s="234">
        <f>AG156+AG157</f>
        <v>16223308.84</v>
      </c>
      <c r="AH155" s="65">
        <f t="shared" si="64"/>
        <v>0.26239289247625985</v>
      </c>
      <c r="AI155" s="65">
        <v>0.23867882860680353</v>
      </c>
      <c r="AJ155" s="65">
        <f t="shared" si="65"/>
        <v>2.371406386945632E-2</v>
      </c>
      <c r="AK155" s="44">
        <f t="shared" si="56"/>
        <v>0.16346427513755696</v>
      </c>
      <c r="AL155" s="62"/>
      <c r="AM155" s="67"/>
      <c r="AN155" s="67"/>
      <c r="AO155" s="67"/>
      <c r="AP155" s="62"/>
      <c r="AQ155" s="67"/>
      <c r="AR155" s="67"/>
      <c r="AS155" s="68"/>
    </row>
    <row r="156" spans="1:45" s="11" customFormat="1" ht="148.5">
      <c r="A156" s="69" t="s">
        <v>80</v>
      </c>
      <c r="B156" s="70" t="s">
        <v>492</v>
      </c>
      <c r="C156" s="71" t="s">
        <v>380</v>
      </c>
      <c r="D156" s="71" t="s">
        <v>238</v>
      </c>
      <c r="E156" s="77">
        <v>85173503</v>
      </c>
      <c r="F156" s="77">
        <f>E156*$E$5</f>
        <v>59860278.602412</v>
      </c>
      <c r="G156" s="77">
        <v>85173503</v>
      </c>
      <c r="H156" s="77">
        <f>G156*$G$5</f>
        <v>59860278.602412</v>
      </c>
      <c r="I156" s="77">
        <v>85173503</v>
      </c>
      <c r="J156" s="72">
        <f>I156*$I$5</f>
        <v>59860278.602412</v>
      </c>
      <c r="K156" s="62" t="s">
        <v>232</v>
      </c>
      <c r="L156" s="72">
        <v>43509857</v>
      </c>
      <c r="M156" s="72">
        <v>37418507</v>
      </c>
      <c r="N156" s="73">
        <f t="shared" si="53"/>
        <v>97278785.602412</v>
      </c>
      <c r="O156" s="160">
        <v>25744003.5</v>
      </c>
      <c r="P156" s="90">
        <v>19032192.379999999</v>
      </c>
      <c r="Q156" s="85">
        <f t="shared" si="61"/>
        <v>0.31794359839870706</v>
      </c>
      <c r="R156" s="86">
        <v>0.31997447192494244</v>
      </c>
      <c r="S156" s="85">
        <f t="shared" si="57"/>
        <v>-2.0308735262353772E-3</v>
      </c>
      <c r="T156" s="85">
        <f t="shared" si="54"/>
        <v>0.19564586730951236</v>
      </c>
      <c r="U156" s="90">
        <v>19032192.379999999</v>
      </c>
      <c r="V156" s="85">
        <f t="shared" si="62"/>
        <v>0.31794359839870706</v>
      </c>
      <c r="W156" s="85">
        <v>0.31997447192494244</v>
      </c>
      <c r="X156" s="85">
        <f t="shared" si="58"/>
        <v>-2.0308735262353772E-3</v>
      </c>
      <c r="Y156" s="85">
        <f t="shared" si="55"/>
        <v>0.19564586730951236</v>
      </c>
      <c r="Z156" s="89">
        <v>12340403.66</v>
      </c>
      <c r="AA156" s="89"/>
      <c r="AB156" s="89">
        <v>2141042.41</v>
      </c>
      <c r="AC156" s="89">
        <v>945377.10999999801</v>
      </c>
      <c r="AD156" s="89">
        <v>1410556.67</v>
      </c>
      <c r="AE156" s="89">
        <f t="shared" si="59"/>
        <v>13070889.4</v>
      </c>
      <c r="AF156" s="129">
        <f t="shared" si="60"/>
        <v>13285780.769999998</v>
      </c>
      <c r="AG156" s="239">
        <f>SUM(Z156:AB156)</f>
        <v>14481446.07</v>
      </c>
      <c r="AH156" s="75">
        <f t="shared" si="64"/>
        <v>0.24192079302177666</v>
      </c>
      <c r="AI156" s="75">
        <v>0.22654434228917397</v>
      </c>
      <c r="AJ156" s="75">
        <f t="shared" si="65"/>
        <v>1.5376450732602687E-2</v>
      </c>
      <c r="AK156" s="80">
        <f t="shared" si="56"/>
        <v>0.14886540760476905</v>
      </c>
      <c r="AL156" s="72"/>
      <c r="AM156" s="81"/>
      <c r="AN156" s="81"/>
      <c r="AO156" s="81"/>
      <c r="AP156" s="72"/>
      <c r="AQ156" s="81"/>
      <c r="AR156" s="81"/>
      <c r="AS156" s="82"/>
    </row>
    <row r="157" spans="1:45" s="11" customFormat="1" ht="148.5">
      <c r="A157" s="69" t="s">
        <v>81</v>
      </c>
      <c r="B157" s="70" t="s">
        <v>493</v>
      </c>
      <c r="C157" s="71" t="s">
        <v>380</v>
      </c>
      <c r="D157" s="71" t="s">
        <v>238</v>
      </c>
      <c r="E157" s="77">
        <v>2800255</v>
      </c>
      <c r="F157" s="77">
        <f>E157*$E$5</f>
        <v>1968030.41502</v>
      </c>
      <c r="G157" s="77">
        <v>2800255</v>
      </c>
      <c r="H157" s="77">
        <f>G157*$G$5</f>
        <v>1968030.41502</v>
      </c>
      <c r="I157" s="161">
        <v>2800255</v>
      </c>
      <c r="J157" s="72">
        <f>I157*$I$5</f>
        <v>1968030.41502</v>
      </c>
      <c r="K157" s="62" t="s">
        <v>232</v>
      </c>
      <c r="L157" s="72">
        <v>0</v>
      </c>
      <c r="M157" s="72"/>
      <c r="N157" s="73">
        <f t="shared" si="53"/>
        <v>1968030.41502</v>
      </c>
      <c r="O157" s="160">
        <v>2315327.08</v>
      </c>
      <c r="P157" s="90">
        <v>1968029</v>
      </c>
      <c r="Q157" s="85">
        <f t="shared" si="61"/>
        <v>0.9999992809968844</v>
      </c>
      <c r="R157" s="86">
        <v>0.9999992809968844</v>
      </c>
      <c r="S157" s="85">
        <f t="shared" si="57"/>
        <v>0</v>
      </c>
      <c r="T157" s="85">
        <f t="shared" si="54"/>
        <v>0.9999992809968844</v>
      </c>
      <c r="U157" s="90">
        <v>1968029</v>
      </c>
      <c r="V157" s="85">
        <f t="shared" si="62"/>
        <v>0.9999992809968844</v>
      </c>
      <c r="W157" s="85">
        <v>0.9999992809968844</v>
      </c>
      <c r="X157" s="85">
        <f t="shared" si="58"/>
        <v>0</v>
      </c>
      <c r="Y157" s="85">
        <f t="shared" si="55"/>
        <v>0.9999992809968844</v>
      </c>
      <c r="Z157" s="89">
        <v>1741862.77</v>
      </c>
      <c r="AA157" s="89"/>
      <c r="AB157" s="89"/>
      <c r="AC157" s="89">
        <v>0</v>
      </c>
      <c r="AD157" s="89">
        <v>0</v>
      </c>
      <c r="AE157" s="89">
        <f t="shared" si="59"/>
        <v>1741862.77</v>
      </c>
      <c r="AF157" s="129">
        <f t="shared" si="60"/>
        <v>1741862.77</v>
      </c>
      <c r="AG157" s="239">
        <f>SUM(Z157:AB157)</f>
        <v>1741862.77</v>
      </c>
      <c r="AH157" s="75">
        <f t="shared" si="64"/>
        <v>0.88507919222493237</v>
      </c>
      <c r="AI157" s="75">
        <v>0.60546001266341753</v>
      </c>
      <c r="AJ157" s="75">
        <f>AH157-AI157</f>
        <v>0.27961917956151483</v>
      </c>
      <c r="AK157" s="80">
        <f t="shared" si="56"/>
        <v>0.88507919222493237</v>
      </c>
      <c r="AL157" s="72"/>
      <c r="AM157" s="81"/>
      <c r="AN157" s="81"/>
      <c r="AO157" s="81"/>
      <c r="AP157" s="72"/>
      <c r="AQ157" s="81"/>
      <c r="AR157" s="81"/>
      <c r="AS157" s="82"/>
    </row>
    <row r="158" spans="1:45" s="159" customFormat="1" ht="82.5">
      <c r="A158" s="59" t="s">
        <v>494</v>
      </c>
      <c r="B158" s="60" t="s">
        <v>495</v>
      </c>
      <c r="C158" s="61" t="s">
        <v>398</v>
      </c>
      <c r="D158" s="61" t="s">
        <v>238</v>
      </c>
      <c r="E158" s="64"/>
      <c r="F158" s="62">
        <f>F159+F160</f>
        <v>85374366.188316002</v>
      </c>
      <c r="G158" s="62"/>
      <c r="H158" s="62">
        <f>H159+H160</f>
        <v>85374366.188316002</v>
      </c>
      <c r="I158" s="62"/>
      <c r="J158" s="62">
        <f>J159+J160</f>
        <v>85374366.188316002</v>
      </c>
      <c r="K158" s="62" t="s">
        <v>232</v>
      </c>
      <c r="L158" s="62">
        <v>0</v>
      </c>
      <c r="M158" s="62">
        <v>0</v>
      </c>
      <c r="N158" s="41">
        <f t="shared" si="53"/>
        <v>85374366.188316002</v>
      </c>
      <c r="O158" s="162">
        <f>O159+O160</f>
        <v>62332373.289999999</v>
      </c>
      <c r="P158" s="92">
        <f>P159+P160</f>
        <v>85290764.099999994</v>
      </c>
      <c r="Q158" s="93">
        <f t="shared" si="61"/>
        <v>0.99902075889932107</v>
      </c>
      <c r="R158" s="93">
        <v>0.99956740553441359</v>
      </c>
      <c r="S158" s="93">
        <f t="shared" si="57"/>
        <v>-5.466466350925181E-4</v>
      </c>
      <c r="T158" s="93">
        <f t="shared" si="54"/>
        <v>0.99902075889932107</v>
      </c>
      <c r="U158" s="92">
        <f>U159+U160</f>
        <v>85290764.099999994</v>
      </c>
      <c r="V158" s="93">
        <f t="shared" si="62"/>
        <v>0.99902075889932107</v>
      </c>
      <c r="W158" s="141">
        <v>0.99956740553441359</v>
      </c>
      <c r="X158" s="93">
        <f t="shared" si="58"/>
        <v>-5.466466350925181E-4</v>
      </c>
      <c r="Y158" s="93">
        <f t="shared" si="55"/>
        <v>0.99902075889932107</v>
      </c>
      <c r="Z158" s="92">
        <f>Z159+Z160</f>
        <v>24744753.440000001</v>
      </c>
      <c r="AA158" s="92">
        <f>AA159+AA160</f>
        <v>0</v>
      </c>
      <c r="AB158" s="92">
        <f>AB159+AB160</f>
        <v>30493514.629999999</v>
      </c>
      <c r="AC158" s="92">
        <f>AC159+AC160</f>
        <v>4418165.9400000004</v>
      </c>
      <c r="AD158" s="92">
        <f>AD159+AD160</f>
        <v>347334.56</v>
      </c>
      <c r="AE158" s="99">
        <f t="shared" si="59"/>
        <v>54890933.509999998</v>
      </c>
      <c r="AF158" s="92">
        <f t="shared" si="60"/>
        <v>29162919.380000003</v>
      </c>
      <c r="AG158" s="234">
        <f>AG159+AG160</f>
        <v>55238268.07</v>
      </c>
      <c r="AH158" s="65">
        <f t="shared" si="64"/>
        <v>0.64701233562492544</v>
      </c>
      <c r="AI158" s="65">
        <v>0.59160118528542904</v>
      </c>
      <c r="AJ158" s="65">
        <f t="shared" si="65"/>
        <v>5.5411150339496396E-2</v>
      </c>
      <c r="AK158" s="44">
        <f t="shared" si="56"/>
        <v>0.64701233562492544</v>
      </c>
      <c r="AL158" s="62"/>
      <c r="AM158" s="67"/>
      <c r="AN158" s="67"/>
      <c r="AO158" s="67"/>
      <c r="AP158" s="62"/>
      <c r="AQ158" s="67"/>
      <c r="AR158" s="67"/>
      <c r="AS158" s="68"/>
    </row>
    <row r="159" spans="1:45" s="11" customFormat="1" ht="264">
      <c r="A159" s="69" t="s">
        <v>496</v>
      </c>
      <c r="B159" s="70" t="s">
        <v>497</v>
      </c>
      <c r="C159" s="71" t="s">
        <v>380</v>
      </c>
      <c r="D159" s="71" t="s">
        <v>238</v>
      </c>
      <c r="E159" s="77">
        <v>121476779</v>
      </c>
      <c r="F159" s="77">
        <f>E159*$E$5</f>
        <v>85374366.188316002</v>
      </c>
      <c r="G159" s="77">
        <v>121476779</v>
      </c>
      <c r="H159" s="77">
        <f>G159*$G$5</f>
        <v>85374366.188316002</v>
      </c>
      <c r="I159" s="77">
        <v>121476779</v>
      </c>
      <c r="J159" s="72">
        <f>I159*$I$5</f>
        <v>85374366.188316002</v>
      </c>
      <c r="K159" s="62" t="s">
        <v>232</v>
      </c>
      <c r="L159" s="72">
        <v>0</v>
      </c>
      <c r="M159" s="72"/>
      <c r="N159" s="73">
        <f t="shared" si="53"/>
        <v>85374366.188316002</v>
      </c>
      <c r="O159" s="160">
        <v>62332373.289999999</v>
      </c>
      <c r="P159" s="90">
        <v>85290764.099999994</v>
      </c>
      <c r="Q159" s="85">
        <f t="shared" si="61"/>
        <v>0.99902075889932107</v>
      </c>
      <c r="R159" s="86">
        <v>0.99956740553441359</v>
      </c>
      <c r="S159" s="85">
        <f t="shared" si="57"/>
        <v>-5.466466350925181E-4</v>
      </c>
      <c r="T159" s="85">
        <f t="shared" si="54"/>
        <v>0.99902075889932107</v>
      </c>
      <c r="U159" s="90">
        <v>85290764.099999994</v>
      </c>
      <c r="V159" s="85">
        <f t="shared" si="62"/>
        <v>0.99902075889932107</v>
      </c>
      <c r="W159" s="86">
        <v>0.99956740553441359</v>
      </c>
      <c r="X159" s="85">
        <f t="shared" si="58"/>
        <v>-5.466466350925181E-4</v>
      </c>
      <c r="Y159" s="85">
        <f t="shared" si="55"/>
        <v>0.99902075889932107</v>
      </c>
      <c r="Z159" s="89">
        <v>24744753.440000001</v>
      </c>
      <c r="AA159" s="89"/>
      <c r="AB159" s="89">
        <v>30493514.629999999</v>
      </c>
      <c r="AC159" s="89">
        <v>4418165.9400000004</v>
      </c>
      <c r="AD159" s="89">
        <v>347334.56</v>
      </c>
      <c r="AE159" s="89">
        <f t="shared" si="59"/>
        <v>54890933.509999998</v>
      </c>
      <c r="AF159" s="129">
        <f t="shared" si="60"/>
        <v>29162919.380000003</v>
      </c>
      <c r="AG159" s="239">
        <f>SUM(Z159:AB159)</f>
        <v>55238268.07</v>
      </c>
      <c r="AH159" s="75">
        <f t="shared" si="64"/>
        <v>0.64701233562492544</v>
      </c>
      <c r="AI159" s="75">
        <v>0.59160118528542904</v>
      </c>
      <c r="AJ159" s="75">
        <f t="shared" si="65"/>
        <v>5.5411150339496396E-2</v>
      </c>
      <c r="AK159" s="80">
        <f t="shared" si="56"/>
        <v>0.64701233562492544</v>
      </c>
      <c r="AL159" s="72"/>
      <c r="AM159" s="81"/>
      <c r="AN159" s="81"/>
      <c r="AO159" s="81"/>
      <c r="AP159" s="72"/>
      <c r="AQ159" s="81"/>
      <c r="AR159" s="81"/>
      <c r="AS159" s="82"/>
    </row>
    <row r="160" spans="1:45" s="11" customFormat="1" ht="99">
      <c r="A160" s="69" t="s">
        <v>83</v>
      </c>
      <c r="B160" s="70" t="s">
        <v>498</v>
      </c>
      <c r="C160" s="71" t="s">
        <v>398</v>
      </c>
      <c r="D160" s="71" t="s">
        <v>238</v>
      </c>
      <c r="E160" s="161">
        <v>0</v>
      </c>
      <c r="F160" s="77">
        <f>E160*$E$5</f>
        <v>0</v>
      </c>
      <c r="G160" s="77">
        <v>0</v>
      </c>
      <c r="H160" s="77">
        <f>G160*$G$5</f>
        <v>0</v>
      </c>
      <c r="I160" s="77">
        <v>0</v>
      </c>
      <c r="J160" s="72">
        <f>I160*$I$5</f>
        <v>0</v>
      </c>
      <c r="K160" s="62" t="s">
        <v>232</v>
      </c>
      <c r="L160" s="72">
        <v>0</v>
      </c>
      <c r="M160" s="72"/>
      <c r="N160" s="73">
        <f t="shared" si="53"/>
        <v>0</v>
      </c>
      <c r="O160" s="160">
        <v>0</v>
      </c>
      <c r="P160" s="90">
        <v>0</v>
      </c>
      <c r="Q160" s="85">
        <v>0</v>
      </c>
      <c r="R160" s="86">
        <v>0</v>
      </c>
      <c r="S160" s="85">
        <f t="shared" si="57"/>
        <v>0</v>
      </c>
      <c r="T160" s="85" t="e">
        <f t="shared" si="54"/>
        <v>#DIV/0!</v>
      </c>
      <c r="U160" s="90">
        <v>0</v>
      </c>
      <c r="V160" s="85">
        <v>0</v>
      </c>
      <c r="W160" s="85">
        <v>0</v>
      </c>
      <c r="X160" s="85">
        <f t="shared" si="58"/>
        <v>0</v>
      </c>
      <c r="Y160" s="85" t="e">
        <f t="shared" si="55"/>
        <v>#DIV/0!</v>
      </c>
      <c r="Z160" s="89">
        <v>0</v>
      </c>
      <c r="AA160" s="89">
        <v>0</v>
      </c>
      <c r="AB160" s="89">
        <v>0</v>
      </c>
      <c r="AC160" s="89">
        <v>0</v>
      </c>
      <c r="AD160" s="89">
        <v>0</v>
      </c>
      <c r="AE160" s="89">
        <f t="shared" si="59"/>
        <v>0</v>
      </c>
      <c r="AF160" s="129">
        <f t="shared" si="60"/>
        <v>0</v>
      </c>
      <c r="AG160" s="239">
        <f>SUM(Z160:AB160)</f>
        <v>0</v>
      </c>
      <c r="AH160" s="75">
        <v>0</v>
      </c>
      <c r="AI160" s="75">
        <v>0</v>
      </c>
      <c r="AJ160" s="75">
        <f t="shared" si="65"/>
        <v>0</v>
      </c>
      <c r="AK160" s="80" t="e">
        <f t="shared" si="56"/>
        <v>#DIV/0!</v>
      </c>
      <c r="AL160" s="72"/>
      <c r="AM160" s="81"/>
      <c r="AN160" s="81"/>
      <c r="AO160" s="81"/>
      <c r="AP160" s="72"/>
      <c r="AQ160" s="81"/>
      <c r="AR160" s="81"/>
      <c r="AS160" s="82"/>
    </row>
    <row r="161" spans="1:45" s="159" customFormat="1" ht="115.5">
      <c r="A161" s="59" t="s">
        <v>499</v>
      </c>
      <c r="B161" s="60" t="s">
        <v>500</v>
      </c>
      <c r="C161" s="61" t="s">
        <v>398</v>
      </c>
      <c r="D161" s="61" t="s">
        <v>238</v>
      </c>
      <c r="E161" s="64"/>
      <c r="F161" s="62">
        <f>F162+F163+F164</f>
        <v>28815843.207804002</v>
      </c>
      <c r="G161" s="62"/>
      <c r="H161" s="62">
        <f>H162+H163+H164</f>
        <v>28815843.207804002</v>
      </c>
      <c r="I161" s="62"/>
      <c r="J161" s="62">
        <f>J162+J163+J164</f>
        <v>28815843.207804002</v>
      </c>
      <c r="K161" s="62" t="s">
        <v>232</v>
      </c>
      <c r="L161" s="62">
        <f>L162+L163+L164</f>
        <v>0</v>
      </c>
      <c r="M161" s="62">
        <f>M162+M163+M164</f>
        <v>0</v>
      </c>
      <c r="N161" s="41">
        <f t="shared" si="53"/>
        <v>28815843.207804002</v>
      </c>
      <c r="O161" s="162">
        <f>O162+O163+O164</f>
        <v>30923832.34</v>
      </c>
      <c r="P161" s="92">
        <f>P162+P163+P164</f>
        <v>28410951.199999996</v>
      </c>
      <c r="Q161" s="93">
        <f t="shared" ref="Q161:Q171" si="71">P161/J161</f>
        <v>0.98594897935541403</v>
      </c>
      <c r="R161" s="93">
        <v>0.97536536696399734</v>
      </c>
      <c r="S161" s="93">
        <f t="shared" si="57"/>
        <v>1.0583612391416697E-2</v>
      </c>
      <c r="T161" s="93">
        <f t="shared" si="54"/>
        <v>0.98594897935541403</v>
      </c>
      <c r="U161" s="92">
        <f>U162+U163+U164</f>
        <v>28410951.199999996</v>
      </c>
      <c r="V161" s="93">
        <f t="shared" ref="V161:V171" si="72">U161/J161</f>
        <v>0.98594897935541403</v>
      </c>
      <c r="W161" s="141">
        <v>0.97536536696399734</v>
      </c>
      <c r="X161" s="93">
        <f t="shared" si="58"/>
        <v>1.0583612391416697E-2</v>
      </c>
      <c r="Y161" s="85">
        <f t="shared" si="55"/>
        <v>0.98594897935541403</v>
      </c>
      <c r="Z161" s="92">
        <f>Z162+Z163+Z164</f>
        <v>19119121.949999999</v>
      </c>
      <c r="AA161" s="92">
        <f>AA162+AA163+AA164</f>
        <v>0</v>
      </c>
      <c r="AB161" s="92">
        <f>AB162+AB163+AB164</f>
        <v>8230000.0800000001</v>
      </c>
      <c r="AC161" s="92">
        <f>AC162+AC163+AC164</f>
        <v>7446597.8100000005</v>
      </c>
      <c r="AD161" s="92">
        <f>AD162+AD163+AD164</f>
        <v>95825.15</v>
      </c>
      <c r="AE161" s="99">
        <f t="shared" si="59"/>
        <v>27253296.880000003</v>
      </c>
      <c r="AF161" s="129">
        <f t="shared" si="60"/>
        <v>26565719.759999998</v>
      </c>
      <c r="AG161" s="241">
        <f>AG162+AG163+AG164</f>
        <v>27349122.030000001</v>
      </c>
      <c r="AH161" s="65">
        <f t="shared" ref="AH161:AH171" si="73">AG161/J161</f>
        <v>0.94910018189553524</v>
      </c>
      <c r="AI161" s="65">
        <v>0.92934318683815664</v>
      </c>
      <c r="AJ161" s="65">
        <f t="shared" si="65"/>
        <v>1.9756995057378601E-2</v>
      </c>
      <c r="AK161" s="44">
        <f t="shared" si="56"/>
        <v>0.94910018189553524</v>
      </c>
      <c r="AL161" s="62"/>
      <c r="AM161" s="67"/>
      <c r="AN161" s="67"/>
      <c r="AO161" s="67"/>
      <c r="AP161" s="62"/>
      <c r="AQ161" s="67"/>
      <c r="AR161" s="67"/>
      <c r="AS161" s="68"/>
    </row>
    <row r="162" spans="1:45" s="11" customFormat="1" ht="135">
      <c r="A162" s="69" t="s">
        <v>84</v>
      </c>
      <c r="B162" s="70" t="s">
        <v>501</v>
      </c>
      <c r="C162" s="71" t="s">
        <v>380</v>
      </c>
      <c r="D162" s="71" t="s">
        <v>238</v>
      </c>
      <c r="E162" s="161">
        <v>25857951</v>
      </c>
      <c r="F162" s="161">
        <f>E162*$E$5</f>
        <v>18173071.394604001</v>
      </c>
      <c r="G162" s="77">
        <v>25857951</v>
      </c>
      <c r="H162" s="77">
        <f>G162*$G$5</f>
        <v>18173071.394604001</v>
      </c>
      <c r="I162" s="161">
        <v>25857951</v>
      </c>
      <c r="J162" s="72">
        <f>I162*$I$5</f>
        <v>18173071.394604001</v>
      </c>
      <c r="K162" s="62" t="s">
        <v>232</v>
      </c>
      <c r="L162" s="72">
        <v>0</v>
      </c>
      <c r="M162" s="72"/>
      <c r="N162" s="73">
        <f t="shared" si="53"/>
        <v>18173071.394604001</v>
      </c>
      <c r="O162" s="160">
        <v>20774151.82</v>
      </c>
      <c r="P162" s="90">
        <v>18012572.539999999</v>
      </c>
      <c r="Q162" s="85">
        <f t="shared" si="71"/>
        <v>0.99116831430862817</v>
      </c>
      <c r="R162" s="86">
        <v>0.98075720299648639</v>
      </c>
      <c r="S162" s="85">
        <f t="shared" si="57"/>
        <v>1.0411111312141785E-2</v>
      </c>
      <c r="T162" s="85">
        <f t="shared" si="54"/>
        <v>0.99116831430862817</v>
      </c>
      <c r="U162" s="90">
        <v>18012572.539999999</v>
      </c>
      <c r="V162" s="85">
        <f t="shared" si="72"/>
        <v>0.99116831430862817</v>
      </c>
      <c r="W162" s="86">
        <v>0.98075720299648639</v>
      </c>
      <c r="X162" s="85">
        <f t="shared" si="58"/>
        <v>1.0411111312141785E-2</v>
      </c>
      <c r="Y162" s="85">
        <f t="shared" si="55"/>
        <v>0.99116831430862817</v>
      </c>
      <c r="Z162" s="89">
        <v>11203777.09</v>
      </c>
      <c r="AA162" s="89"/>
      <c r="AB162" s="89">
        <v>6213005.79</v>
      </c>
      <c r="AC162" s="89">
        <v>5828344.1900000004</v>
      </c>
      <c r="AD162" s="89">
        <v>34658.69</v>
      </c>
      <c r="AE162" s="89">
        <f t="shared" si="59"/>
        <v>17382124.189999998</v>
      </c>
      <c r="AF162" s="129">
        <f t="shared" si="60"/>
        <v>17032121.280000001</v>
      </c>
      <c r="AG162" s="239">
        <f>SUM(Z162:AB162)</f>
        <v>17416782.879999999</v>
      </c>
      <c r="AH162" s="75">
        <f t="shared" si="73"/>
        <v>0.95838411140405455</v>
      </c>
      <c r="AI162" s="75">
        <v>0.94831736136818845</v>
      </c>
      <c r="AJ162" s="75">
        <f>AH162-AI162</f>
        <v>1.0066750035866101E-2</v>
      </c>
      <c r="AK162" s="80">
        <f t="shared" si="56"/>
        <v>0.95838411140405455</v>
      </c>
      <c r="AL162" s="72"/>
      <c r="AM162" s="81"/>
      <c r="AN162" s="81"/>
      <c r="AO162" s="81"/>
      <c r="AP162" s="72"/>
      <c r="AQ162" s="81"/>
      <c r="AR162" s="81"/>
      <c r="AS162" s="82"/>
    </row>
    <row r="163" spans="1:45" s="11" customFormat="1" ht="82.5">
      <c r="A163" s="69" t="s">
        <v>85</v>
      </c>
      <c r="B163" s="70" t="s">
        <v>502</v>
      </c>
      <c r="C163" s="71" t="s">
        <v>380</v>
      </c>
      <c r="D163" s="71" t="s">
        <v>238</v>
      </c>
      <c r="E163" s="161">
        <v>3168083</v>
      </c>
      <c r="F163" s="161">
        <f>E163*$E$5</f>
        <v>2226541.4047320001</v>
      </c>
      <c r="G163" s="161">
        <v>3168083</v>
      </c>
      <c r="H163" s="77">
        <f>G163*$G$5</f>
        <v>2226541.4047320001</v>
      </c>
      <c r="I163" s="161">
        <v>3168083</v>
      </c>
      <c r="J163" s="72">
        <f>I163*$I$5</f>
        <v>2226541.4047320001</v>
      </c>
      <c r="K163" s="62" t="s">
        <v>232</v>
      </c>
      <c r="L163" s="72">
        <v>0</v>
      </c>
      <c r="M163" s="72"/>
      <c r="N163" s="73">
        <f t="shared" si="53"/>
        <v>2226541.4047320001</v>
      </c>
      <c r="O163" s="160">
        <v>1960262.6800000002</v>
      </c>
      <c r="P163" s="90">
        <v>2223701.5099999998</v>
      </c>
      <c r="Q163" s="85">
        <f t="shared" si="71"/>
        <v>0.99872452642202625</v>
      </c>
      <c r="R163" s="86">
        <v>0.99872452642202625</v>
      </c>
      <c r="S163" s="85">
        <f t="shared" si="57"/>
        <v>0</v>
      </c>
      <c r="T163" s="85">
        <f t="shared" si="54"/>
        <v>0.99872452642202625</v>
      </c>
      <c r="U163" s="90">
        <v>2223701.5099999998</v>
      </c>
      <c r="V163" s="85">
        <f t="shared" si="72"/>
        <v>0.99872452642202625</v>
      </c>
      <c r="W163" s="85">
        <v>0.99872452642202625</v>
      </c>
      <c r="X163" s="85">
        <f t="shared" si="58"/>
        <v>0</v>
      </c>
      <c r="Y163" s="85">
        <f t="shared" si="55"/>
        <v>0.99872452642202625</v>
      </c>
      <c r="Z163" s="89">
        <v>1419759.44</v>
      </c>
      <c r="AA163" s="89"/>
      <c r="AB163" s="89">
        <v>578549.68000000005</v>
      </c>
      <c r="AC163" s="89">
        <v>270388.64</v>
      </c>
      <c r="AD163" s="89">
        <v>0</v>
      </c>
      <c r="AE163" s="89">
        <f t="shared" si="59"/>
        <v>1998309.12</v>
      </c>
      <c r="AF163" s="129">
        <f t="shared" si="60"/>
        <v>1690148.08</v>
      </c>
      <c r="AG163" s="239">
        <f>SUM(Z163:AB163)</f>
        <v>1998309.12</v>
      </c>
      <c r="AH163" s="75">
        <f t="shared" si="73"/>
        <v>0.89749470445645207</v>
      </c>
      <c r="AI163" s="75">
        <v>0.81525414984074285</v>
      </c>
      <c r="AJ163" s="75">
        <f t="shared" si="65"/>
        <v>8.2240554615709227E-2</v>
      </c>
      <c r="AK163" s="80">
        <f t="shared" si="56"/>
        <v>0.89749470445645207</v>
      </c>
      <c r="AL163" s="72"/>
      <c r="AM163" s="81"/>
      <c r="AN163" s="81"/>
      <c r="AO163" s="81"/>
      <c r="AP163" s="72"/>
      <c r="AQ163" s="81"/>
      <c r="AR163" s="81"/>
      <c r="AS163" s="82"/>
    </row>
    <row r="164" spans="1:45" s="159" customFormat="1" ht="148.5">
      <c r="A164" s="94" t="s">
        <v>503</v>
      </c>
      <c r="B164" s="95" t="s">
        <v>504</v>
      </c>
      <c r="C164" s="96" t="s">
        <v>380</v>
      </c>
      <c r="D164" s="96" t="s">
        <v>238</v>
      </c>
      <c r="E164" s="100"/>
      <c r="F164" s="161">
        <f>F165+F166</f>
        <v>8416230.4084680006</v>
      </c>
      <c r="G164" s="72"/>
      <c r="H164" s="72">
        <f>H165+H166</f>
        <v>8416230.4084680006</v>
      </c>
      <c r="I164" s="72"/>
      <c r="J164" s="72">
        <f>J165+J166</f>
        <v>8416230.4084680006</v>
      </c>
      <c r="K164" s="62" t="s">
        <v>232</v>
      </c>
      <c r="L164" s="72">
        <v>0</v>
      </c>
      <c r="M164" s="72">
        <v>0</v>
      </c>
      <c r="N164" s="73">
        <f t="shared" si="53"/>
        <v>8416230.4084680006</v>
      </c>
      <c r="O164" s="163">
        <f>O165+O166</f>
        <v>8189417.8399999999</v>
      </c>
      <c r="P164" s="98">
        <v>8174677.1500000004</v>
      </c>
      <c r="Q164" s="85">
        <f t="shared" si="71"/>
        <v>0.97129911531117763</v>
      </c>
      <c r="R164" s="85">
        <v>0.95779731512041499</v>
      </c>
      <c r="S164" s="85">
        <f t="shared" si="57"/>
        <v>1.3501800190762636E-2</v>
      </c>
      <c r="T164" s="85">
        <f t="shared" si="54"/>
        <v>0.97129911531117763</v>
      </c>
      <c r="U164" s="99">
        <v>8174677.1500000004</v>
      </c>
      <c r="V164" s="85">
        <f t="shared" si="72"/>
        <v>0.97129911531117763</v>
      </c>
      <c r="W164" s="86">
        <v>0.95779731512041499</v>
      </c>
      <c r="X164" s="85">
        <f t="shared" si="58"/>
        <v>1.3501800190762636E-2</v>
      </c>
      <c r="Y164" s="85">
        <f t="shared" si="55"/>
        <v>0.97129911531117763</v>
      </c>
      <c r="Z164" s="99">
        <f>Z165+Z166</f>
        <v>6495585.4199999999</v>
      </c>
      <c r="AA164" s="89">
        <f>AA165+AA166</f>
        <v>0</v>
      </c>
      <c r="AB164" s="99">
        <f>AB165+AB166</f>
        <v>1438444.6099999999</v>
      </c>
      <c r="AC164" s="99">
        <f>AC165+AC166</f>
        <v>1347864.9800000009</v>
      </c>
      <c r="AD164" s="99">
        <f>AD165+AD166</f>
        <v>61166.459999999992</v>
      </c>
      <c r="AE164" s="99">
        <f t="shared" si="59"/>
        <v>7872863.5699999994</v>
      </c>
      <c r="AF164" s="129">
        <f t="shared" si="60"/>
        <v>7843450.4000000004</v>
      </c>
      <c r="AG164" s="239">
        <f>SUM(Z164:AB164)</f>
        <v>7934030.0299999993</v>
      </c>
      <c r="AH164" s="75">
        <f t="shared" si="73"/>
        <v>0.94270589621894918</v>
      </c>
      <c r="AI164" s="75">
        <v>0.91835645165649271</v>
      </c>
      <c r="AJ164" s="75">
        <f t="shared" si="65"/>
        <v>2.4349444562456468E-2</v>
      </c>
      <c r="AK164" s="80">
        <f t="shared" si="56"/>
        <v>0.94270589621894918</v>
      </c>
      <c r="AL164" s="72"/>
      <c r="AM164" s="81"/>
      <c r="AN164" s="81"/>
      <c r="AO164" s="81"/>
      <c r="AP164" s="72"/>
      <c r="AQ164" s="81"/>
      <c r="AR164" s="81"/>
      <c r="AS164" s="82"/>
    </row>
    <row r="165" spans="1:45" s="11" customFormat="1" ht="99">
      <c r="A165" s="69" t="s">
        <v>505</v>
      </c>
      <c r="B165" s="70" t="s">
        <v>506</v>
      </c>
      <c r="C165" s="71" t="s">
        <v>380</v>
      </c>
      <c r="D165" s="71" t="s">
        <v>238</v>
      </c>
      <c r="E165" s="161">
        <v>8133181</v>
      </c>
      <c r="F165" s="161">
        <f>E165*$E$5</f>
        <v>5716032.1395239998</v>
      </c>
      <c r="G165" s="77">
        <v>8133181</v>
      </c>
      <c r="H165" s="77">
        <f>G165*$G$5</f>
        <v>5716032.1395239998</v>
      </c>
      <c r="I165" s="161">
        <v>8133181</v>
      </c>
      <c r="J165" s="72">
        <f>I165*$I$5</f>
        <v>5716032.1395239998</v>
      </c>
      <c r="K165" s="62" t="s">
        <v>232</v>
      </c>
      <c r="L165" s="72">
        <v>0</v>
      </c>
      <c r="M165" s="72"/>
      <c r="N165" s="73">
        <f t="shared" si="53"/>
        <v>5716032.1395239998</v>
      </c>
      <c r="O165" s="160">
        <v>5410604.5700000003</v>
      </c>
      <c r="P165" s="90">
        <v>5574850.0700000003</v>
      </c>
      <c r="Q165" s="85">
        <f t="shared" si="71"/>
        <v>0.97530068654656721</v>
      </c>
      <c r="R165" s="86">
        <v>0.97495252175748726</v>
      </c>
      <c r="S165" s="85">
        <f t="shared" si="57"/>
        <v>3.4816478907995219E-4</v>
      </c>
      <c r="T165" s="85">
        <f t="shared" si="54"/>
        <v>0.97530068654656721</v>
      </c>
      <c r="U165" s="90">
        <v>5574850.0700000003</v>
      </c>
      <c r="V165" s="85">
        <f t="shared" si="72"/>
        <v>0.97530068654656721</v>
      </c>
      <c r="W165" s="86">
        <v>0.97495252175748726</v>
      </c>
      <c r="X165" s="85">
        <f t="shared" si="58"/>
        <v>3.4816478907995219E-4</v>
      </c>
      <c r="Y165" s="85">
        <f t="shared" si="55"/>
        <v>0.97530068654656721</v>
      </c>
      <c r="Z165" s="89">
        <v>4288622.43</v>
      </c>
      <c r="AA165" s="89"/>
      <c r="AB165" s="89">
        <v>1013764.6</v>
      </c>
      <c r="AC165" s="89">
        <v>956496.92</v>
      </c>
      <c r="AD165" s="89">
        <v>27854.51</v>
      </c>
      <c r="AE165" s="89">
        <f t="shared" si="59"/>
        <v>5274532.5199999996</v>
      </c>
      <c r="AF165" s="129">
        <f t="shared" si="60"/>
        <v>5245119.3499999996</v>
      </c>
      <c r="AG165" s="239">
        <f>SUM(Z165:AB165)</f>
        <v>5302387.0299999993</v>
      </c>
      <c r="AH165" s="75">
        <f t="shared" si="73"/>
        <v>0.92763422258181238</v>
      </c>
      <c r="AI165" s="75">
        <v>0.91077589691859973</v>
      </c>
      <c r="AJ165" s="75">
        <f t="shared" si="65"/>
        <v>1.6858325663212659E-2</v>
      </c>
      <c r="AK165" s="80">
        <f t="shared" si="56"/>
        <v>0.92763422258181238</v>
      </c>
      <c r="AL165" s="72"/>
      <c r="AM165" s="81"/>
      <c r="AN165" s="81"/>
      <c r="AO165" s="81"/>
      <c r="AP165" s="72"/>
      <c r="AQ165" s="81"/>
      <c r="AR165" s="81"/>
      <c r="AS165" s="82"/>
    </row>
    <row r="166" spans="1:45" s="11" customFormat="1" ht="148.5">
      <c r="A166" s="69" t="s">
        <v>87</v>
      </c>
      <c r="B166" s="70" t="s">
        <v>507</v>
      </c>
      <c r="C166" s="71" t="s">
        <v>380</v>
      </c>
      <c r="D166" s="71" t="s">
        <v>238</v>
      </c>
      <c r="E166" s="161">
        <v>3842036</v>
      </c>
      <c r="F166" s="161">
        <f>E166*$E$5</f>
        <v>2700198.2689439999</v>
      </c>
      <c r="G166" s="161">
        <v>3842036</v>
      </c>
      <c r="H166" s="77">
        <f>G166*$G$5</f>
        <v>2700198.2689439999</v>
      </c>
      <c r="I166" s="161">
        <v>3842036</v>
      </c>
      <c r="J166" s="72">
        <f>I166*$I$5</f>
        <v>2700198.2689439999</v>
      </c>
      <c r="K166" s="62" t="s">
        <v>232</v>
      </c>
      <c r="L166" s="72">
        <v>0</v>
      </c>
      <c r="M166" s="72"/>
      <c r="N166" s="73">
        <f t="shared" si="53"/>
        <v>2700198.2689439999</v>
      </c>
      <c r="O166" s="160">
        <v>2778813.27</v>
      </c>
      <c r="P166" s="90">
        <v>2599827.08</v>
      </c>
      <c r="Q166" s="85">
        <f t="shared" si="71"/>
        <v>0.9628282152098212</v>
      </c>
      <c r="R166" s="86">
        <v>0.9226130375856666</v>
      </c>
      <c r="S166" s="85">
        <f t="shared" si="57"/>
        <v>4.0215177624154608E-2</v>
      </c>
      <c r="T166" s="85">
        <f t="shared" si="54"/>
        <v>0.9628282152098212</v>
      </c>
      <c r="U166" s="90">
        <v>2599827.08</v>
      </c>
      <c r="V166" s="85">
        <f t="shared" si="72"/>
        <v>0.9628282152098212</v>
      </c>
      <c r="W166" s="85">
        <v>0.9226130375856666</v>
      </c>
      <c r="X166" s="85">
        <f t="shared" si="58"/>
        <v>4.0215177624154608E-2</v>
      </c>
      <c r="Y166" s="85">
        <f t="shared" si="55"/>
        <v>0.9628282152098212</v>
      </c>
      <c r="Z166" s="89">
        <v>2206962.9900000002</v>
      </c>
      <c r="AA166" s="89"/>
      <c r="AB166" s="89">
        <v>424680.01</v>
      </c>
      <c r="AC166" s="89">
        <v>391368.06000000099</v>
      </c>
      <c r="AD166" s="89">
        <v>33311.949999999997</v>
      </c>
      <c r="AE166" s="89">
        <f t="shared" si="59"/>
        <v>2598331.0499999998</v>
      </c>
      <c r="AF166" s="129">
        <f t="shared" si="60"/>
        <v>2598331.0500000012</v>
      </c>
      <c r="AG166" s="239">
        <f>SUM(Z166:AB166)</f>
        <v>2631643</v>
      </c>
      <c r="AH166" s="75">
        <f t="shared" si="73"/>
        <v>0.97461102403757538</v>
      </c>
      <c r="AI166" s="75">
        <v>0.93390370488450192</v>
      </c>
      <c r="AJ166" s="75">
        <f t="shared" si="65"/>
        <v>4.0707319153073462E-2</v>
      </c>
      <c r="AK166" s="80">
        <f t="shared" si="56"/>
        <v>0.97461102403757538</v>
      </c>
      <c r="AL166" s="72"/>
      <c r="AM166" s="81"/>
      <c r="AN166" s="81"/>
      <c r="AO166" s="81"/>
      <c r="AP166" s="72"/>
      <c r="AQ166" s="81"/>
      <c r="AR166" s="81"/>
      <c r="AS166" s="82"/>
    </row>
    <row r="167" spans="1:45" s="159" customFormat="1" ht="82.5">
      <c r="A167" s="59" t="s">
        <v>508</v>
      </c>
      <c r="B167" s="60" t="s">
        <v>509</v>
      </c>
      <c r="C167" s="61" t="s">
        <v>398</v>
      </c>
      <c r="D167" s="61" t="s">
        <v>231</v>
      </c>
      <c r="E167" s="64"/>
      <c r="F167" s="62">
        <f>F168+F174+F175+F176</f>
        <v>33116083.014564</v>
      </c>
      <c r="G167" s="62"/>
      <c r="H167" s="62">
        <f>H168+H174+H175+H176</f>
        <v>33116083.014564</v>
      </c>
      <c r="I167" s="62"/>
      <c r="J167" s="62">
        <f>J168+J174+J175+J176</f>
        <v>33116083.014564</v>
      </c>
      <c r="K167" s="62" t="s">
        <v>232</v>
      </c>
      <c r="L167" s="62">
        <f>L168+L174+L175+L176</f>
        <v>11220767</v>
      </c>
      <c r="M167" s="62">
        <f>M168+M174+M175+M176</f>
        <v>11220767</v>
      </c>
      <c r="N167" s="41">
        <f t="shared" si="53"/>
        <v>44336850.014564</v>
      </c>
      <c r="O167" s="162">
        <f>O168+O174+O175+O176</f>
        <v>36016604.509999998</v>
      </c>
      <c r="P167" s="92">
        <f>P168+P174+P175+P176</f>
        <v>32895469.700000003</v>
      </c>
      <c r="Q167" s="93">
        <f t="shared" si="71"/>
        <v>0.99333818210121727</v>
      </c>
      <c r="R167" s="93">
        <v>0.99343043032992995</v>
      </c>
      <c r="S167" s="93">
        <f t="shared" si="57"/>
        <v>-9.2248228712676905E-5</v>
      </c>
      <c r="T167" s="93">
        <f t="shared" si="54"/>
        <v>0.74194422222585332</v>
      </c>
      <c r="U167" s="92">
        <f>U168+U174+U175+U176</f>
        <v>32895469.700000003</v>
      </c>
      <c r="V167" s="93">
        <f t="shared" si="72"/>
        <v>0.99333818210121727</v>
      </c>
      <c r="W167" s="141">
        <v>0.99343043032992995</v>
      </c>
      <c r="X167" s="93">
        <f t="shared" si="58"/>
        <v>-9.2248228712676905E-5</v>
      </c>
      <c r="Y167" s="93">
        <f t="shared" si="55"/>
        <v>0.74194422222585332</v>
      </c>
      <c r="Z167" s="92">
        <f>Z168+Z175+Z176+Z174</f>
        <v>26403685.639999997</v>
      </c>
      <c r="AA167" s="92">
        <f>AA168+AA175+AA176+AA174</f>
        <v>0</v>
      </c>
      <c r="AB167" s="92">
        <f>AB168+AB175+AB176+AB174</f>
        <v>4506895.12</v>
      </c>
      <c r="AC167" s="92">
        <f>AC168+AC174+AC175+AC176</f>
        <v>3966971.9099999801</v>
      </c>
      <c r="AD167" s="92">
        <f>AD168+AD174+AD175+AD176</f>
        <v>503147.26</v>
      </c>
      <c r="AE167" s="99">
        <f t="shared" si="59"/>
        <v>30407433.5</v>
      </c>
      <c r="AF167" s="92">
        <f t="shared" si="60"/>
        <v>30370657.549999978</v>
      </c>
      <c r="AG167" s="234">
        <f>AG168+AG174+AG175+AG176</f>
        <v>30910580.760000002</v>
      </c>
      <c r="AH167" s="65">
        <f t="shared" si="73"/>
        <v>0.93340087190885324</v>
      </c>
      <c r="AI167" s="65">
        <v>0.92427613514976514</v>
      </c>
      <c r="AJ167" s="65">
        <f t="shared" si="65"/>
        <v>9.1247367590880923E-3</v>
      </c>
      <c r="AK167" s="44">
        <f t="shared" si="56"/>
        <v>0.69717584243910724</v>
      </c>
      <c r="AL167" s="72"/>
      <c r="AM167" s="81"/>
      <c r="AN167" s="81"/>
      <c r="AO167" s="81"/>
      <c r="AP167" s="72"/>
      <c r="AQ167" s="81"/>
      <c r="AR167" s="81"/>
      <c r="AS167" s="82"/>
    </row>
    <row r="168" spans="1:45" s="159" customFormat="1" ht="132">
      <c r="A168" s="94" t="s">
        <v>510</v>
      </c>
      <c r="B168" s="95" t="s">
        <v>511</v>
      </c>
      <c r="C168" s="96" t="s">
        <v>380</v>
      </c>
      <c r="D168" s="96" t="s">
        <v>275</v>
      </c>
      <c r="E168" s="100"/>
      <c r="F168" s="72">
        <f>F169+F170+F171+F172+F173</f>
        <v>8144475.7801799998</v>
      </c>
      <c r="G168" s="72"/>
      <c r="H168" s="72">
        <f>H169+H170+H171+H172+H173</f>
        <v>8144475.7801799998</v>
      </c>
      <c r="I168" s="72"/>
      <c r="J168" s="72">
        <f>J169+J170+J171+J172+J173</f>
        <v>8144475.7801799998</v>
      </c>
      <c r="K168" s="62" t="s">
        <v>232</v>
      </c>
      <c r="L168" s="72">
        <f>L169+L170+L171+L172+L173</f>
        <v>0</v>
      </c>
      <c r="M168" s="72">
        <f>M169+M170+M171+M172+M173</f>
        <v>0</v>
      </c>
      <c r="N168" s="73">
        <f t="shared" si="53"/>
        <v>8144475.7801799998</v>
      </c>
      <c r="O168" s="163">
        <f>O169+O170+O171+O172+O173</f>
        <v>9682197.8300000001</v>
      </c>
      <c r="P168" s="98">
        <f>P169+P170+P171+P172+P173</f>
        <v>8140147.2800000003</v>
      </c>
      <c r="Q168" s="85">
        <f t="shared" si="71"/>
        <v>0.99946853544699177</v>
      </c>
      <c r="R168" s="85">
        <v>0.99984362404476668</v>
      </c>
      <c r="S168" s="85">
        <f t="shared" si="57"/>
        <v>-3.7508859777490855E-4</v>
      </c>
      <c r="T168" s="85">
        <f t="shared" si="54"/>
        <v>0.99946853544699177</v>
      </c>
      <c r="U168" s="99">
        <f>U169+U170+U171+U172+U173</f>
        <v>8140147.2800000003</v>
      </c>
      <c r="V168" s="85">
        <f t="shared" si="72"/>
        <v>0.99946853544699177</v>
      </c>
      <c r="W168" s="86">
        <v>0.99984362404476668</v>
      </c>
      <c r="X168" s="85">
        <f t="shared" si="58"/>
        <v>-3.7508859777490855E-4</v>
      </c>
      <c r="Y168" s="85">
        <f t="shared" si="55"/>
        <v>0.99946853544699177</v>
      </c>
      <c r="Z168" s="99">
        <f>Z169+Z170+Z171+Z172+Z173</f>
        <v>6435938.5800000001</v>
      </c>
      <c r="AA168" s="99">
        <f>AA169+AA170+AA171+AA174</f>
        <v>0</v>
      </c>
      <c r="AB168" s="99">
        <f>AB169+AB170+AB171+AB174</f>
        <v>103842.97</v>
      </c>
      <c r="AC168" s="99">
        <f>AC169+AC170+AC171+AC172+AC173</f>
        <v>103842.97</v>
      </c>
      <c r="AD168" s="99">
        <f>AD169+AD170+AD171+AD172+AD173</f>
        <v>0</v>
      </c>
      <c r="AE168" s="99">
        <f t="shared" si="59"/>
        <v>6539781.5499999998</v>
      </c>
      <c r="AF168" s="129">
        <f t="shared" si="60"/>
        <v>6539781.5499999998</v>
      </c>
      <c r="AG168" s="239">
        <f t="shared" ref="AG168:AG176" si="74">SUM(Z168:AB168)</f>
        <v>6539781.5499999998</v>
      </c>
      <c r="AH168" s="75">
        <f t="shared" si="73"/>
        <v>0.80297145286071014</v>
      </c>
      <c r="AI168" s="75">
        <v>0.77456342928194932</v>
      </c>
      <c r="AJ168" s="75">
        <f t="shared" si="65"/>
        <v>2.8408023578760822E-2</v>
      </c>
      <c r="AK168" s="80">
        <f t="shared" si="56"/>
        <v>0.80297145286071014</v>
      </c>
      <c r="AL168" s="72"/>
      <c r="AM168" s="81"/>
      <c r="AN168" s="81"/>
      <c r="AO168" s="81"/>
      <c r="AP168" s="72"/>
      <c r="AQ168" s="81"/>
      <c r="AR168" s="81"/>
      <c r="AS168" s="82"/>
    </row>
    <row r="169" spans="1:45" s="11" customFormat="1" ht="165">
      <c r="A169" s="69" t="s">
        <v>117</v>
      </c>
      <c r="B169" s="70" t="s">
        <v>512</v>
      </c>
      <c r="C169" s="71" t="s">
        <v>380</v>
      </c>
      <c r="D169" s="71" t="s">
        <v>275</v>
      </c>
      <c r="E169" s="161">
        <v>636408</v>
      </c>
      <c r="F169" s="72">
        <f t="shared" ref="F169:F176" si="75">E169*$E$5</f>
        <v>447270.088032</v>
      </c>
      <c r="G169" s="77">
        <v>636408</v>
      </c>
      <c r="H169" s="77">
        <f t="shared" ref="H169:H176" si="76">G169*$G$5</f>
        <v>447270.088032</v>
      </c>
      <c r="I169" s="77">
        <v>636408</v>
      </c>
      <c r="J169" s="72">
        <f t="shared" ref="J169:J176" si="77">I169*$I$5</f>
        <v>447270.088032</v>
      </c>
      <c r="K169" s="62" t="s">
        <v>232</v>
      </c>
      <c r="L169" s="72">
        <v>0</v>
      </c>
      <c r="M169" s="72"/>
      <c r="N169" s="73">
        <f t="shared" si="53"/>
        <v>447270.088032</v>
      </c>
      <c r="O169" s="160">
        <v>526200.32999999996</v>
      </c>
      <c r="P169" s="90">
        <v>447270</v>
      </c>
      <c r="Q169" s="85">
        <f t="shared" si="71"/>
        <v>0.99999980317932646</v>
      </c>
      <c r="R169" s="86">
        <v>0.99999980317932646</v>
      </c>
      <c r="S169" s="85">
        <f t="shared" si="57"/>
        <v>0</v>
      </c>
      <c r="T169" s="85">
        <f t="shared" si="54"/>
        <v>0.99999980317932646</v>
      </c>
      <c r="U169" s="90">
        <v>447270</v>
      </c>
      <c r="V169" s="85">
        <f t="shared" si="72"/>
        <v>0.99999980317932646</v>
      </c>
      <c r="W169" s="85">
        <v>0.99999980317932646</v>
      </c>
      <c r="X169" s="85">
        <f t="shared" si="58"/>
        <v>0</v>
      </c>
      <c r="Y169" s="85">
        <f t="shared" si="55"/>
        <v>0.99999980317932646</v>
      </c>
      <c r="Z169" s="89">
        <v>377198.59</v>
      </c>
      <c r="AA169" s="89"/>
      <c r="AB169" s="89"/>
      <c r="AC169" s="89">
        <v>0</v>
      </c>
      <c r="AD169" s="89">
        <v>0</v>
      </c>
      <c r="AE169" s="89">
        <f t="shared" si="59"/>
        <v>377198.59</v>
      </c>
      <c r="AF169" s="129">
        <f t="shared" si="60"/>
        <v>377198.59</v>
      </c>
      <c r="AG169" s="239">
        <f t="shared" si="74"/>
        <v>377198.59</v>
      </c>
      <c r="AH169" s="75">
        <f t="shared" si="73"/>
        <v>0.84333515719703867</v>
      </c>
      <c r="AI169" s="75">
        <v>0.78427417657964027</v>
      </c>
      <c r="AJ169" s="75">
        <f t="shared" si="65"/>
        <v>5.9060980617398395E-2</v>
      </c>
      <c r="AK169" s="80">
        <f t="shared" si="56"/>
        <v>0.84333515719703867</v>
      </c>
      <c r="AL169" s="72"/>
      <c r="AM169" s="81"/>
      <c r="AN169" s="81"/>
      <c r="AO169" s="81"/>
      <c r="AP169" s="72"/>
      <c r="AQ169" s="81"/>
      <c r="AR169" s="81"/>
      <c r="AS169" s="82"/>
    </row>
    <row r="170" spans="1:45" s="11" customFormat="1" ht="115.5">
      <c r="A170" s="69" t="s">
        <v>118</v>
      </c>
      <c r="B170" s="70" t="s">
        <v>513</v>
      </c>
      <c r="C170" s="71" t="s">
        <v>398</v>
      </c>
      <c r="D170" s="71" t="s">
        <v>275</v>
      </c>
      <c r="E170" s="161">
        <v>3054313</v>
      </c>
      <c r="F170" s="72">
        <f t="shared" si="75"/>
        <v>2146583.393652</v>
      </c>
      <c r="G170" s="77">
        <v>3054313</v>
      </c>
      <c r="H170" s="77">
        <f t="shared" si="76"/>
        <v>2146583.393652</v>
      </c>
      <c r="I170" s="77">
        <v>3054313</v>
      </c>
      <c r="J170" s="72">
        <f t="shared" si="77"/>
        <v>2146583.393652</v>
      </c>
      <c r="K170" s="62" t="s">
        <v>232</v>
      </c>
      <c r="L170" s="72">
        <v>0</v>
      </c>
      <c r="M170" s="72"/>
      <c r="N170" s="73">
        <f t="shared" si="53"/>
        <v>2146583.393652</v>
      </c>
      <c r="O170" s="160">
        <v>2627347.77</v>
      </c>
      <c r="P170" s="90">
        <v>2146582.14</v>
      </c>
      <c r="Q170" s="85">
        <f t="shared" si="71"/>
        <v>0.99999941597796593</v>
      </c>
      <c r="R170" s="86">
        <v>0.99999941597796593</v>
      </c>
      <c r="S170" s="85">
        <f t="shared" si="57"/>
        <v>0</v>
      </c>
      <c r="T170" s="85">
        <f t="shared" si="54"/>
        <v>0.99999941597796593</v>
      </c>
      <c r="U170" s="90">
        <v>2146582.14</v>
      </c>
      <c r="V170" s="85">
        <f t="shared" si="72"/>
        <v>0.99999941597796593</v>
      </c>
      <c r="W170" s="85">
        <v>0.99999941597796593</v>
      </c>
      <c r="X170" s="85">
        <f t="shared" si="58"/>
        <v>0</v>
      </c>
      <c r="Y170" s="85">
        <f t="shared" si="55"/>
        <v>0.99999941597796593</v>
      </c>
      <c r="Z170" s="89">
        <v>2146582.14</v>
      </c>
      <c r="AA170" s="89"/>
      <c r="AB170" s="89"/>
      <c r="AC170" s="89">
        <v>0</v>
      </c>
      <c r="AD170" s="89">
        <v>0</v>
      </c>
      <c r="AE170" s="89">
        <f t="shared" si="59"/>
        <v>2146582.14</v>
      </c>
      <c r="AF170" s="129">
        <f t="shared" si="60"/>
        <v>2146582.14</v>
      </c>
      <c r="AG170" s="239">
        <f t="shared" si="74"/>
        <v>2146582.14</v>
      </c>
      <c r="AH170" s="75">
        <f t="shared" si="73"/>
        <v>0.99999941597796593</v>
      </c>
      <c r="AI170" s="75">
        <v>0.99999941597796593</v>
      </c>
      <c r="AJ170" s="75">
        <f t="shared" si="65"/>
        <v>0</v>
      </c>
      <c r="AK170" s="80">
        <f t="shared" si="56"/>
        <v>0.99999941597796593</v>
      </c>
      <c r="AL170" s="72"/>
      <c r="AM170" s="81"/>
      <c r="AN170" s="81"/>
      <c r="AO170" s="81"/>
      <c r="AP170" s="72"/>
      <c r="AQ170" s="81"/>
      <c r="AR170" s="81"/>
      <c r="AS170" s="82"/>
    </row>
    <row r="171" spans="1:45" s="11" customFormat="1" ht="165">
      <c r="A171" s="69" t="s">
        <v>119</v>
      </c>
      <c r="B171" s="70" t="s">
        <v>514</v>
      </c>
      <c r="C171" s="71" t="s">
        <v>380</v>
      </c>
      <c r="D171" s="71" t="s">
        <v>275</v>
      </c>
      <c r="E171" s="161">
        <v>738777</v>
      </c>
      <c r="F171" s="72">
        <f t="shared" si="75"/>
        <v>519215.43070799997</v>
      </c>
      <c r="G171" s="77">
        <v>738777</v>
      </c>
      <c r="H171" s="77">
        <f t="shared" si="76"/>
        <v>519215.43070799997</v>
      </c>
      <c r="I171" s="77">
        <v>738777</v>
      </c>
      <c r="J171" s="72">
        <f t="shared" si="77"/>
        <v>519215.43070799997</v>
      </c>
      <c r="K171" s="62" t="s">
        <v>232</v>
      </c>
      <c r="L171" s="72">
        <v>0</v>
      </c>
      <c r="M171" s="72"/>
      <c r="N171" s="73">
        <f t="shared" si="53"/>
        <v>519215.43070799997</v>
      </c>
      <c r="O171" s="160">
        <v>610840</v>
      </c>
      <c r="P171" s="90">
        <v>519210.9</v>
      </c>
      <c r="Q171" s="85">
        <f t="shared" si="71"/>
        <v>0.9999912739342246</v>
      </c>
      <c r="R171" s="86">
        <v>0.9999912739342246</v>
      </c>
      <c r="S171" s="85">
        <f t="shared" si="57"/>
        <v>0</v>
      </c>
      <c r="T171" s="85">
        <f t="shared" si="54"/>
        <v>0.9999912739342246</v>
      </c>
      <c r="U171" s="90">
        <v>519210.9</v>
      </c>
      <c r="V171" s="85">
        <f t="shared" si="72"/>
        <v>0.9999912739342246</v>
      </c>
      <c r="W171" s="86">
        <v>0.9999912739342246</v>
      </c>
      <c r="X171" s="85">
        <f t="shared" si="58"/>
        <v>0</v>
      </c>
      <c r="Y171" s="85">
        <f t="shared" si="55"/>
        <v>0.9999912739342246</v>
      </c>
      <c r="Z171" s="89">
        <v>415367.93</v>
      </c>
      <c r="AA171" s="89"/>
      <c r="AB171" s="89">
        <v>103842.97</v>
      </c>
      <c r="AC171" s="89">
        <v>103842.97</v>
      </c>
      <c r="AD171" s="89">
        <v>0</v>
      </c>
      <c r="AE171" s="89">
        <f t="shared" si="59"/>
        <v>519210.9</v>
      </c>
      <c r="AF171" s="129">
        <f t="shared" si="60"/>
        <v>519210.9</v>
      </c>
      <c r="AG171" s="239">
        <f t="shared" si="74"/>
        <v>519210.9</v>
      </c>
      <c r="AH171" s="75">
        <f t="shared" si="73"/>
        <v>0.9999912739342246</v>
      </c>
      <c r="AI171" s="75">
        <v>0.9999912739342246</v>
      </c>
      <c r="AJ171" s="75">
        <f>AH171-AI171</f>
        <v>0</v>
      </c>
      <c r="AK171" s="80">
        <f t="shared" si="56"/>
        <v>0.9999912739342246</v>
      </c>
      <c r="AL171" s="72"/>
      <c r="AM171" s="81"/>
      <c r="AN171" s="81"/>
      <c r="AO171" s="81"/>
      <c r="AP171" s="72"/>
      <c r="AQ171" s="81"/>
      <c r="AR171" s="81"/>
      <c r="AS171" s="82"/>
    </row>
    <row r="172" spans="1:45" s="11" customFormat="1" ht="82.5">
      <c r="A172" s="69" t="s">
        <v>120</v>
      </c>
      <c r="B172" s="70" t="s">
        <v>515</v>
      </c>
      <c r="C172" s="71" t="s">
        <v>380</v>
      </c>
      <c r="D172" s="71" t="s">
        <v>275</v>
      </c>
      <c r="E172" s="161">
        <v>0</v>
      </c>
      <c r="F172" s="72">
        <f t="shared" si="75"/>
        <v>0</v>
      </c>
      <c r="G172" s="77">
        <v>0</v>
      </c>
      <c r="H172" s="77">
        <f t="shared" si="76"/>
        <v>0</v>
      </c>
      <c r="I172" s="77">
        <v>0</v>
      </c>
      <c r="J172" s="72">
        <f t="shared" si="77"/>
        <v>0</v>
      </c>
      <c r="K172" s="62" t="s">
        <v>232</v>
      </c>
      <c r="L172" s="72">
        <v>0</v>
      </c>
      <c r="M172" s="72"/>
      <c r="N172" s="73">
        <f t="shared" si="53"/>
        <v>0</v>
      </c>
      <c r="O172" s="160">
        <v>0</v>
      </c>
      <c r="P172" s="90">
        <v>0</v>
      </c>
      <c r="Q172" s="85">
        <f>IFERROR(P172/J172,0)</f>
        <v>0</v>
      </c>
      <c r="R172" s="86">
        <v>0</v>
      </c>
      <c r="S172" s="85">
        <f>IFERROR(Q172-R172,0)</f>
        <v>0</v>
      </c>
      <c r="T172" s="85" t="e">
        <f t="shared" si="54"/>
        <v>#DIV/0!</v>
      </c>
      <c r="U172" s="90">
        <v>0</v>
      </c>
      <c r="V172" s="99">
        <v>0</v>
      </c>
      <c r="W172" s="86">
        <v>0</v>
      </c>
      <c r="X172" s="85"/>
      <c r="Y172" s="85" t="e">
        <f t="shared" si="55"/>
        <v>#DIV/0!</v>
      </c>
      <c r="Z172" s="99">
        <v>0</v>
      </c>
      <c r="AA172" s="99">
        <v>0</v>
      </c>
      <c r="AB172" s="99">
        <v>0</v>
      </c>
      <c r="AC172" s="89">
        <v>0</v>
      </c>
      <c r="AD172" s="89">
        <v>0</v>
      </c>
      <c r="AE172" s="89">
        <f t="shared" si="59"/>
        <v>0</v>
      </c>
      <c r="AF172" s="129">
        <f t="shared" si="60"/>
        <v>0</v>
      </c>
      <c r="AG172" s="239">
        <f t="shared" si="74"/>
        <v>0</v>
      </c>
      <c r="AH172" s="75"/>
      <c r="AI172" s="75"/>
      <c r="AJ172" s="75"/>
      <c r="AK172" s="80" t="e">
        <f t="shared" si="56"/>
        <v>#DIV/0!</v>
      </c>
      <c r="AL172" s="72"/>
      <c r="AM172" s="81"/>
      <c r="AN172" s="81"/>
      <c r="AO172" s="81"/>
      <c r="AP172" s="72"/>
      <c r="AQ172" s="81"/>
      <c r="AR172" s="81"/>
      <c r="AS172" s="82"/>
    </row>
    <row r="173" spans="1:45" s="11" customFormat="1" ht="148.5">
      <c r="A173" s="69" t="s">
        <v>121</v>
      </c>
      <c r="B173" s="70" t="s">
        <v>516</v>
      </c>
      <c r="C173" s="71" t="s">
        <v>398</v>
      </c>
      <c r="D173" s="71" t="s">
        <v>275</v>
      </c>
      <c r="E173" s="161">
        <v>7159047</v>
      </c>
      <c r="F173" s="72">
        <f t="shared" si="75"/>
        <v>5031406.867788</v>
      </c>
      <c r="G173" s="77">
        <v>7159047</v>
      </c>
      <c r="H173" s="77">
        <f t="shared" si="76"/>
        <v>5031406.867788</v>
      </c>
      <c r="I173" s="77">
        <v>7159047</v>
      </c>
      <c r="J173" s="72">
        <f t="shared" si="77"/>
        <v>5031406.867788</v>
      </c>
      <c r="K173" s="62" t="s">
        <v>232</v>
      </c>
      <c r="L173" s="72">
        <v>0</v>
      </c>
      <c r="M173" s="72"/>
      <c r="N173" s="73">
        <f t="shared" si="53"/>
        <v>5031406.867788</v>
      </c>
      <c r="O173" s="160">
        <v>5917809.7300000004</v>
      </c>
      <c r="P173" s="90">
        <v>5027084.24</v>
      </c>
      <c r="Q173" s="85">
        <f t="shared" ref="Q173:Q199" si="78">P173/J173</f>
        <v>0.99914087095287918</v>
      </c>
      <c r="R173" s="86">
        <v>0.99974803711540072</v>
      </c>
      <c r="S173" s="85">
        <f t="shared" ref="S173:S199" si="79">Q173-R173</f>
        <v>-6.0716616252154409E-4</v>
      </c>
      <c r="T173" s="85">
        <f t="shared" si="54"/>
        <v>0.99914087095287918</v>
      </c>
      <c r="U173" s="90">
        <v>5027084.24</v>
      </c>
      <c r="V173" s="85">
        <f t="shared" ref="V173:V199" si="80">U173/J173</f>
        <v>0.99914087095287918</v>
      </c>
      <c r="W173" s="86">
        <v>0.99974803711540072</v>
      </c>
      <c r="X173" s="85">
        <f t="shared" ref="X173:X199" si="81">V173-W173</f>
        <v>-6.0716616252154409E-4</v>
      </c>
      <c r="Y173" s="85">
        <f t="shared" si="55"/>
        <v>0.99914087095287918</v>
      </c>
      <c r="Z173" s="89">
        <v>3496789.92</v>
      </c>
      <c r="AA173" s="89"/>
      <c r="AB173" s="89"/>
      <c r="AC173" s="89">
        <v>0</v>
      </c>
      <c r="AD173" s="89">
        <v>0</v>
      </c>
      <c r="AE173" s="89">
        <f t="shared" si="59"/>
        <v>3496789.92</v>
      </c>
      <c r="AF173" s="129">
        <f t="shared" si="60"/>
        <v>3496789.92</v>
      </c>
      <c r="AG173" s="239">
        <f t="shared" si="74"/>
        <v>3496789.92</v>
      </c>
      <c r="AH173" s="75">
        <f t="shared" ref="AH173:AH199" si="82">AG173/J173</f>
        <v>0.69499247663453689</v>
      </c>
      <c r="AI173" s="75">
        <v>0.65425789575376125</v>
      </c>
      <c r="AJ173" s="75">
        <f t="shared" si="65"/>
        <v>4.0734580880775639E-2</v>
      </c>
      <c r="AK173" s="80">
        <f t="shared" si="56"/>
        <v>0.69499247663453689</v>
      </c>
      <c r="AL173" s="72"/>
      <c r="AM173" s="81"/>
      <c r="AN173" s="81"/>
      <c r="AO173" s="81"/>
      <c r="AP173" s="72"/>
      <c r="AQ173" s="81"/>
      <c r="AR173" s="81"/>
      <c r="AS173" s="82"/>
    </row>
    <row r="174" spans="1:45" s="11" customFormat="1" ht="82.5">
      <c r="A174" s="69" t="s">
        <v>122</v>
      </c>
      <c r="B174" s="70" t="s">
        <v>517</v>
      </c>
      <c r="C174" s="71" t="s">
        <v>380</v>
      </c>
      <c r="D174" s="71" t="s">
        <v>275</v>
      </c>
      <c r="E174" s="161">
        <v>2950405</v>
      </c>
      <c r="F174" s="72">
        <f t="shared" si="75"/>
        <v>2073556.4356199999</v>
      </c>
      <c r="G174" s="161">
        <v>2950405</v>
      </c>
      <c r="H174" s="77">
        <f t="shared" si="76"/>
        <v>2073556.4356199999</v>
      </c>
      <c r="I174" s="161">
        <v>2950405</v>
      </c>
      <c r="J174" s="72">
        <f t="shared" si="77"/>
        <v>2073556.4356199999</v>
      </c>
      <c r="K174" s="62" t="s">
        <v>232</v>
      </c>
      <c r="L174" s="72">
        <v>0</v>
      </c>
      <c r="M174" s="72"/>
      <c r="N174" s="73">
        <f t="shared" si="53"/>
        <v>2073556.4356199999</v>
      </c>
      <c r="O174" s="160">
        <v>2568007.27</v>
      </c>
      <c r="P174" s="90">
        <v>2073555.43</v>
      </c>
      <c r="Q174" s="85">
        <f t="shared" si="78"/>
        <v>0.99999951502646245</v>
      </c>
      <c r="R174" s="86">
        <v>0.99999951502646245</v>
      </c>
      <c r="S174" s="85">
        <f t="shared" si="79"/>
        <v>0</v>
      </c>
      <c r="T174" s="85">
        <f t="shared" si="54"/>
        <v>0.99999951502646245</v>
      </c>
      <c r="U174" s="90">
        <v>2073555.43</v>
      </c>
      <c r="V174" s="85">
        <f t="shared" si="80"/>
        <v>0.99999951502646245</v>
      </c>
      <c r="W174" s="86">
        <v>0.99999951502646245</v>
      </c>
      <c r="X174" s="85">
        <f t="shared" si="81"/>
        <v>0</v>
      </c>
      <c r="Y174" s="85">
        <f t="shared" si="55"/>
        <v>0.99999951502646245</v>
      </c>
      <c r="Z174" s="89">
        <v>2049863.24</v>
      </c>
      <c r="AA174" s="89"/>
      <c r="AB174" s="89"/>
      <c r="AC174" s="89">
        <v>0</v>
      </c>
      <c r="AD174" s="89">
        <v>0</v>
      </c>
      <c r="AE174" s="89">
        <f t="shared" si="59"/>
        <v>2049863.24</v>
      </c>
      <c r="AF174" s="129">
        <f t="shared" si="60"/>
        <v>2049863.24</v>
      </c>
      <c r="AG174" s="239">
        <f t="shared" si="74"/>
        <v>2049863.24</v>
      </c>
      <c r="AH174" s="75">
        <f t="shared" si="82"/>
        <v>0.98857364322813068</v>
      </c>
      <c r="AI174" s="75">
        <v>0.97398246573218106</v>
      </c>
      <c r="AJ174" s="75">
        <f t="shared" si="65"/>
        <v>1.4591177495949625E-2</v>
      </c>
      <c r="AK174" s="80">
        <f t="shared" si="56"/>
        <v>0.98857364322813068</v>
      </c>
      <c r="AL174" s="72"/>
      <c r="AM174" s="81"/>
      <c r="AN174" s="81"/>
      <c r="AO174" s="81"/>
      <c r="AP174" s="72"/>
      <c r="AQ174" s="81"/>
      <c r="AR174" s="81"/>
      <c r="AS174" s="82"/>
    </row>
    <row r="175" spans="1:45" s="11" customFormat="1" ht="148.5">
      <c r="A175" s="69" t="s">
        <v>104</v>
      </c>
      <c r="B175" s="70" t="s">
        <v>518</v>
      </c>
      <c r="C175" s="71" t="s">
        <v>380</v>
      </c>
      <c r="D175" s="71" t="s">
        <v>369</v>
      </c>
      <c r="E175" s="161">
        <v>29993894</v>
      </c>
      <c r="F175" s="72">
        <f t="shared" si="75"/>
        <v>21079828.678776</v>
      </c>
      <c r="G175" s="161">
        <v>29993894</v>
      </c>
      <c r="H175" s="77">
        <f t="shared" si="76"/>
        <v>21079828.678776</v>
      </c>
      <c r="I175" s="161">
        <v>29993894</v>
      </c>
      <c r="J175" s="72">
        <f t="shared" si="77"/>
        <v>21079828.678776</v>
      </c>
      <c r="K175" s="62" t="s">
        <v>232</v>
      </c>
      <c r="L175" s="72">
        <v>11220767</v>
      </c>
      <c r="M175" s="72">
        <f>L175</f>
        <v>11220767</v>
      </c>
      <c r="N175" s="73">
        <f t="shared" si="53"/>
        <v>32300595.678776</v>
      </c>
      <c r="O175" s="160">
        <v>21812914</v>
      </c>
      <c r="P175" s="90">
        <v>20864113.420000002</v>
      </c>
      <c r="Q175" s="85">
        <f t="shared" si="78"/>
        <v>0.98976674516367447</v>
      </c>
      <c r="R175" s="86">
        <v>0.99333190990798892</v>
      </c>
      <c r="S175" s="85">
        <f t="shared" si="79"/>
        <v>-3.565164744314453E-3</v>
      </c>
      <c r="T175" s="85">
        <f t="shared" si="54"/>
        <v>0.64593587150807086</v>
      </c>
      <c r="U175" s="90">
        <v>20864113.420000002</v>
      </c>
      <c r="V175" s="85">
        <f t="shared" si="80"/>
        <v>0.98976674516367447</v>
      </c>
      <c r="W175" s="86">
        <v>0.99333190990798892</v>
      </c>
      <c r="X175" s="85">
        <f t="shared" si="81"/>
        <v>-3.565164744314453E-3</v>
      </c>
      <c r="Y175" s="85">
        <f t="shared" si="55"/>
        <v>0.64593587150807086</v>
      </c>
      <c r="Z175" s="164">
        <v>16339291.51</v>
      </c>
      <c r="AA175" s="89"/>
      <c r="AB175" s="89">
        <v>4177815.77</v>
      </c>
      <c r="AC175" s="89">
        <v>3679454.5299999798</v>
      </c>
      <c r="AD175" s="89">
        <v>472147.06</v>
      </c>
      <c r="AE175" s="89">
        <f t="shared" si="59"/>
        <v>20044960.220000003</v>
      </c>
      <c r="AF175" s="129">
        <f t="shared" si="60"/>
        <v>20018746.03999998</v>
      </c>
      <c r="AG175" s="239">
        <f t="shared" si="74"/>
        <v>20517107.280000001</v>
      </c>
      <c r="AH175" s="75">
        <f t="shared" si="82"/>
        <v>0.97330521953707483</v>
      </c>
      <c r="AI175" s="75">
        <v>0.97488045149590952</v>
      </c>
      <c r="AJ175" s="75">
        <f t="shared" si="65"/>
        <v>-1.5752319588346886E-3</v>
      </c>
      <c r="AK175" s="80">
        <f t="shared" si="56"/>
        <v>0.63519284548307364</v>
      </c>
      <c r="AL175" s="72"/>
      <c r="AM175" s="81"/>
      <c r="AN175" s="81"/>
      <c r="AO175" s="81"/>
      <c r="AP175" s="72"/>
      <c r="AQ175" s="81"/>
      <c r="AR175" s="81"/>
      <c r="AS175" s="82"/>
    </row>
    <row r="176" spans="1:45" s="11" customFormat="1" ht="82.5">
      <c r="A176" s="69" t="s">
        <v>150</v>
      </c>
      <c r="B176" s="70" t="s">
        <v>519</v>
      </c>
      <c r="C176" s="71" t="s">
        <v>380</v>
      </c>
      <c r="D176" s="71" t="s">
        <v>369</v>
      </c>
      <c r="E176" s="161">
        <v>2587097</v>
      </c>
      <c r="F176" s="72">
        <f t="shared" si="75"/>
        <v>1818222.119988</v>
      </c>
      <c r="G176" s="161">
        <v>2587097</v>
      </c>
      <c r="H176" s="77">
        <f t="shared" si="76"/>
        <v>1818222.119988</v>
      </c>
      <c r="I176" s="161">
        <v>2587097</v>
      </c>
      <c r="J176" s="72">
        <f t="shared" si="77"/>
        <v>1818222.119988</v>
      </c>
      <c r="K176" s="62" t="s">
        <v>232</v>
      </c>
      <c r="L176" s="72">
        <v>0</v>
      </c>
      <c r="M176" s="72"/>
      <c r="N176" s="73">
        <f t="shared" si="53"/>
        <v>1818222.119988</v>
      </c>
      <c r="O176" s="160">
        <v>1953485.41</v>
      </c>
      <c r="P176" s="90">
        <v>1817653.57</v>
      </c>
      <c r="Q176" s="85">
        <f t="shared" si="78"/>
        <v>0.99968730443780784</v>
      </c>
      <c r="R176" s="86">
        <v>0.95975134827046515</v>
      </c>
      <c r="S176" s="85">
        <f t="shared" si="79"/>
        <v>3.993595616734269E-2</v>
      </c>
      <c r="T176" s="85">
        <f t="shared" si="54"/>
        <v>0.99968730443780784</v>
      </c>
      <c r="U176" s="90">
        <v>1817653.57</v>
      </c>
      <c r="V176" s="85">
        <f t="shared" si="80"/>
        <v>0.99968730443780784</v>
      </c>
      <c r="W176" s="86">
        <v>0.95975134827046515</v>
      </c>
      <c r="X176" s="85">
        <f t="shared" si="81"/>
        <v>3.993595616734269E-2</v>
      </c>
      <c r="Y176" s="85">
        <f t="shared" si="55"/>
        <v>0.99968730443780784</v>
      </c>
      <c r="Z176" s="89">
        <v>1578592.31</v>
      </c>
      <c r="AA176" s="89"/>
      <c r="AB176" s="89">
        <v>225236.38</v>
      </c>
      <c r="AC176" s="89">
        <v>183674.41</v>
      </c>
      <c r="AD176" s="89">
        <v>31000.2</v>
      </c>
      <c r="AE176" s="89">
        <f t="shared" si="59"/>
        <v>1772828.49</v>
      </c>
      <c r="AF176" s="129">
        <f t="shared" si="60"/>
        <v>1762266.72</v>
      </c>
      <c r="AG176" s="239">
        <f t="shared" si="74"/>
        <v>1803828.69</v>
      </c>
      <c r="AH176" s="75">
        <f t="shared" si="82"/>
        <v>0.99208378897728122</v>
      </c>
      <c r="AI176" s="75">
        <v>0.95245158145094</v>
      </c>
      <c r="AJ176" s="75">
        <f t="shared" si="65"/>
        <v>3.9632207526341223E-2</v>
      </c>
      <c r="AK176" s="80">
        <f t="shared" si="56"/>
        <v>0.99208378897728122</v>
      </c>
      <c r="AL176" s="72"/>
      <c r="AM176" s="81"/>
      <c r="AN176" s="81"/>
      <c r="AO176" s="81"/>
      <c r="AP176" s="72"/>
      <c r="AQ176" s="81"/>
      <c r="AR176" s="81"/>
      <c r="AS176" s="82"/>
    </row>
    <row r="177" spans="1:45" s="159" customFormat="1" ht="49.5">
      <c r="A177" s="59" t="s">
        <v>520</v>
      </c>
      <c r="B177" s="60" t="s">
        <v>521</v>
      </c>
      <c r="C177" s="61" t="s">
        <v>380</v>
      </c>
      <c r="D177" s="61" t="s">
        <v>321</v>
      </c>
      <c r="E177" s="64"/>
      <c r="F177" s="62">
        <f>F178+F181+F182</f>
        <v>145516627.32562798</v>
      </c>
      <c r="G177" s="62"/>
      <c r="H177" s="62">
        <f>H178+H181+H182</f>
        <v>145516627.32562798</v>
      </c>
      <c r="I177" s="62"/>
      <c r="J177" s="62">
        <f>J178+J181+J182</f>
        <v>145516627.32562798</v>
      </c>
      <c r="K177" s="62" t="s">
        <v>232</v>
      </c>
      <c r="L177" s="62">
        <f>L178+L181+L182</f>
        <v>10600000</v>
      </c>
      <c r="M177" s="62">
        <f>M178+M181+M182</f>
        <v>9456260</v>
      </c>
      <c r="N177" s="41">
        <f t="shared" si="53"/>
        <v>154972887.32562798</v>
      </c>
      <c r="O177" s="162">
        <f>O178+O181+O182</f>
        <v>105131865.94999999</v>
      </c>
      <c r="P177" s="92">
        <f>P178+P181+P182</f>
        <v>153653230.89000002</v>
      </c>
      <c r="Q177" s="93">
        <f t="shared" si="78"/>
        <v>1.0559152841425088</v>
      </c>
      <c r="R177" s="93">
        <v>1.0559227663115227</v>
      </c>
      <c r="S177" s="93">
        <f t="shared" si="79"/>
        <v>-7.4821690139170727E-6</v>
      </c>
      <c r="T177" s="93">
        <f t="shared" si="54"/>
        <v>0.9914845979938729</v>
      </c>
      <c r="U177" s="92">
        <f>U178+U181+U182</f>
        <v>153653230.89000002</v>
      </c>
      <c r="V177" s="93">
        <f t="shared" si="80"/>
        <v>1.0559152841425088</v>
      </c>
      <c r="W177" s="141">
        <v>1.0559227663115227</v>
      </c>
      <c r="X177" s="93">
        <f t="shared" si="81"/>
        <v>-7.4821690139170727E-6</v>
      </c>
      <c r="Y177" s="93">
        <f t="shared" si="55"/>
        <v>0.9914845979938729</v>
      </c>
      <c r="Z177" s="92">
        <f>Z178+Z181+Z182</f>
        <v>56906733.780000009</v>
      </c>
      <c r="AA177" s="92">
        <f>AA178+AA181+AA182</f>
        <v>0</v>
      </c>
      <c r="AB177" s="92">
        <f>AB178+AB181+AB182</f>
        <v>34544366.060000002</v>
      </c>
      <c r="AC177" s="92">
        <f>AC178+AC181+AC182</f>
        <v>20273349.93</v>
      </c>
      <c r="AD177" s="92">
        <f>AD178+AD181+AD182</f>
        <v>24639.91</v>
      </c>
      <c r="AE177" s="99">
        <f t="shared" si="59"/>
        <v>91426459.930000007</v>
      </c>
      <c r="AF177" s="129">
        <f t="shared" si="60"/>
        <v>77180083.710000008</v>
      </c>
      <c r="AG177" s="242">
        <f>AG178+AG181+AG182</f>
        <v>91451099.840000004</v>
      </c>
      <c r="AH177" s="65">
        <f t="shared" si="82"/>
        <v>0.62845807740827075</v>
      </c>
      <c r="AI177" s="65">
        <v>0.58329608767019103</v>
      </c>
      <c r="AJ177" s="65">
        <f t="shared" si="65"/>
        <v>4.5161989738079722E-2</v>
      </c>
      <c r="AK177" s="44">
        <f t="shared" si="56"/>
        <v>0.59011031812192782</v>
      </c>
      <c r="AL177" s="72"/>
      <c r="AM177" s="81"/>
      <c r="AN177" s="81"/>
      <c r="AO177" s="81"/>
      <c r="AP177" s="72"/>
      <c r="AQ177" s="81"/>
      <c r="AR177" s="81"/>
      <c r="AS177" s="82"/>
    </row>
    <row r="178" spans="1:45" s="159" customFormat="1" ht="49.5">
      <c r="A178" s="94" t="s">
        <v>522</v>
      </c>
      <c r="B178" s="95" t="s">
        <v>523</v>
      </c>
      <c r="C178" s="96" t="s">
        <v>380</v>
      </c>
      <c r="D178" s="96" t="s">
        <v>321</v>
      </c>
      <c r="E178" s="100"/>
      <c r="F178" s="72">
        <f>F179+F180</f>
        <v>7657701.7821120005</v>
      </c>
      <c r="G178" s="72"/>
      <c r="H178" s="72">
        <f>H179+H180</f>
        <v>7657701.7821120005</v>
      </c>
      <c r="I178" s="72"/>
      <c r="J178" s="72">
        <f>J179+J180</f>
        <v>7657701.7821120005</v>
      </c>
      <c r="K178" s="62" t="s">
        <v>232</v>
      </c>
      <c r="L178" s="72">
        <f>L179+L180</f>
        <v>0</v>
      </c>
      <c r="M178" s="72">
        <f>M179+M180</f>
        <v>0</v>
      </c>
      <c r="N178" s="73">
        <f t="shared" si="53"/>
        <v>7657701.7821120005</v>
      </c>
      <c r="O178" s="163">
        <f>O179+O180</f>
        <v>5164106.42</v>
      </c>
      <c r="P178" s="98">
        <f>P179+P180</f>
        <v>6413989.2999999998</v>
      </c>
      <c r="Q178" s="85">
        <f t="shared" si="78"/>
        <v>0.8375867175949252</v>
      </c>
      <c r="R178" s="85">
        <v>0.83772889863448252</v>
      </c>
      <c r="S178" s="85">
        <f t="shared" si="79"/>
        <v>-1.4218103955732087E-4</v>
      </c>
      <c r="T178" s="85">
        <f t="shared" si="54"/>
        <v>0.8375867175949252</v>
      </c>
      <c r="U178" s="99">
        <f>U179+U180</f>
        <v>6413989.2999999998</v>
      </c>
      <c r="V178" s="85">
        <f t="shared" si="80"/>
        <v>0.8375867175949252</v>
      </c>
      <c r="W178" s="86">
        <v>0.83772889863448252</v>
      </c>
      <c r="X178" s="85">
        <f t="shared" si="81"/>
        <v>-1.4218103955732087E-4</v>
      </c>
      <c r="Y178" s="85">
        <f t="shared" si="55"/>
        <v>0.8375867175949252</v>
      </c>
      <c r="Z178" s="99">
        <f>Z179+Z180</f>
        <v>2887100.5500000003</v>
      </c>
      <c r="AA178" s="99">
        <f>AA179+AA180</f>
        <v>0</v>
      </c>
      <c r="AB178" s="99">
        <f>AB179+AB180</f>
        <v>1612729.36</v>
      </c>
      <c r="AC178" s="99">
        <f>AC179+AC180</f>
        <v>1369904.74</v>
      </c>
      <c r="AD178" s="99">
        <f>AD179+AD180</f>
        <v>1360.56</v>
      </c>
      <c r="AE178" s="99">
        <f t="shared" si="59"/>
        <v>4498469.3500000006</v>
      </c>
      <c r="AF178" s="129">
        <f t="shared" si="60"/>
        <v>4257005.29</v>
      </c>
      <c r="AG178" s="242">
        <f>AG179+AG180</f>
        <v>4499829.91</v>
      </c>
      <c r="AH178" s="75">
        <f t="shared" si="82"/>
        <v>0.58762146111662017</v>
      </c>
      <c r="AI178" s="75">
        <v>0.55107245359927493</v>
      </c>
      <c r="AJ178" s="75">
        <f t="shared" si="65"/>
        <v>3.6549007517345244E-2</v>
      </c>
      <c r="AK178" s="80">
        <f t="shared" si="56"/>
        <v>0.58762146111662017</v>
      </c>
      <c r="AL178" s="72"/>
      <c r="AM178" s="81"/>
      <c r="AN178" s="81"/>
      <c r="AO178" s="81"/>
      <c r="AP178" s="72"/>
      <c r="AQ178" s="81"/>
      <c r="AR178" s="81"/>
      <c r="AS178" s="82"/>
    </row>
    <row r="179" spans="1:45" s="11" customFormat="1" ht="49.5">
      <c r="A179" s="69" t="s">
        <v>109</v>
      </c>
      <c r="B179" s="70" t="s">
        <v>524</v>
      </c>
      <c r="C179" s="71" t="s">
        <v>380</v>
      </c>
      <c r="D179" s="71" t="s">
        <v>321</v>
      </c>
      <c r="E179" s="161">
        <v>5055321</v>
      </c>
      <c r="F179" s="72">
        <f>E179*$E$5</f>
        <v>3552899.820084</v>
      </c>
      <c r="G179" s="77">
        <v>5055321</v>
      </c>
      <c r="H179" s="77">
        <f>G179*$G$5</f>
        <v>3552899.820084</v>
      </c>
      <c r="I179" s="161">
        <v>5055321</v>
      </c>
      <c r="J179" s="72">
        <f>I179*$I$5</f>
        <v>3552899.820084</v>
      </c>
      <c r="K179" s="62" t="s">
        <v>232</v>
      </c>
      <c r="L179" s="72">
        <v>0</v>
      </c>
      <c r="M179" s="72"/>
      <c r="N179" s="73">
        <f t="shared" si="53"/>
        <v>3552899.820084</v>
      </c>
      <c r="O179" s="160">
        <v>1169424.8600000001</v>
      </c>
      <c r="P179" s="90">
        <v>2450632.5</v>
      </c>
      <c r="Q179" s="85">
        <f t="shared" si="78"/>
        <v>0.68975558673142112</v>
      </c>
      <c r="R179" s="86">
        <v>0.69006203500047869</v>
      </c>
      <c r="S179" s="85">
        <f t="shared" si="79"/>
        <v>-3.0644826905756872E-4</v>
      </c>
      <c r="T179" s="85">
        <f t="shared" si="54"/>
        <v>0.68975558673142112</v>
      </c>
      <c r="U179" s="90">
        <v>2450632.5</v>
      </c>
      <c r="V179" s="85">
        <f t="shared" si="80"/>
        <v>0.68975558673142112</v>
      </c>
      <c r="W179" s="85">
        <v>0.69006203500047869</v>
      </c>
      <c r="X179" s="85">
        <f t="shared" si="81"/>
        <v>-3.0644826905756872E-4</v>
      </c>
      <c r="Y179" s="85">
        <f t="shared" si="55"/>
        <v>0.68975558673142112</v>
      </c>
      <c r="Z179" s="89">
        <v>390393.93</v>
      </c>
      <c r="AA179" s="89"/>
      <c r="AB179" s="89">
        <v>173857.02</v>
      </c>
      <c r="AC179" s="89">
        <v>5586.7700000000796</v>
      </c>
      <c r="AD179" s="89">
        <v>125.46</v>
      </c>
      <c r="AE179" s="89">
        <f t="shared" si="59"/>
        <v>564125.49</v>
      </c>
      <c r="AF179" s="129">
        <f t="shared" si="60"/>
        <v>395980.70000000007</v>
      </c>
      <c r="AG179" s="239">
        <f>SUM(Z179:AB179)</f>
        <v>564250.94999999995</v>
      </c>
      <c r="AH179" s="75">
        <f t="shared" si="82"/>
        <v>0.15881420208089614</v>
      </c>
      <c r="AI179" s="75">
        <v>0.13436229676431283</v>
      </c>
      <c r="AJ179" s="75">
        <f t="shared" si="65"/>
        <v>2.4451905316583311E-2</v>
      </c>
      <c r="AK179" s="80">
        <f t="shared" si="56"/>
        <v>0.15881420208089614</v>
      </c>
      <c r="AL179" s="72"/>
      <c r="AM179" s="81"/>
      <c r="AN179" s="81"/>
      <c r="AO179" s="81"/>
      <c r="AP179" s="72"/>
      <c r="AQ179" s="81"/>
      <c r="AR179" s="81"/>
      <c r="AS179" s="82"/>
    </row>
    <row r="180" spans="1:45" s="11" customFormat="1" ht="49.5">
      <c r="A180" s="69" t="s">
        <v>110</v>
      </c>
      <c r="B180" s="70" t="s">
        <v>525</v>
      </c>
      <c r="C180" s="71" t="s">
        <v>380</v>
      </c>
      <c r="D180" s="71" t="s">
        <v>321</v>
      </c>
      <c r="E180" s="161">
        <v>5840607</v>
      </c>
      <c r="F180" s="72">
        <f>E180*$E$5</f>
        <v>4104801.962028</v>
      </c>
      <c r="G180" s="77">
        <v>5840607</v>
      </c>
      <c r="H180" s="77">
        <f>G180*$G$5</f>
        <v>4104801.962028</v>
      </c>
      <c r="I180" s="161">
        <v>5840607</v>
      </c>
      <c r="J180" s="72">
        <f>I180*$I$5</f>
        <v>4104801.962028</v>
      </c>
      <c r="K180" s="62" t="s">
        <v>232</v>
      </c>
      <c r="L180" s="72">
        <v>0</v>
      </c>
      <c r="M180" s="72"/>
      <c r="N180" s="73">
        <f t="shared" si="53"/>
        <v>4104801.962028</v>
      </c>
      <c r="O180" s="160">
        <v>3994681.5599999996</v>
      </c>
      <c r="P180" s="90">
        <v>3963356.8</v>
      </c>
      <c r="Q180" s="85">
        <f t="shared" si="78"/>
        <v>0.96554153809697596</v>
      </c>
      <c r="R180" s="86">
        <v>0.96554153809697596</v>
      </c>
      <c r="S180" s="85">
        <f t="shared" si="79"/>
        <v>0</v>
      </c>
      <c r="T180" s="85">
        <f t="shared" si="54"/>
        <v>0.96554153809697596</v>
      </c>
      <c r="U180" s="90">
        <v>3963356.8</v>
      </c>
      <c r="V180" s="85">
        <f t="shared" si="80"/>
        <v>0.96554153809697596</v>
      </c>
      <c r="W180" s="85">
        <v>0.96554153809697596</v>
      </c>
      <c r="X180" s="85">
        <f t="shared" si="81"/>
        <v>0</v>
      </c>
      <c r="Y180" s="85">
        <f t="shared" si="55"/>
        <v>0.96554153809697596</v>
      </c>
      <c r="Z180" s="89">
        <v>2496706.62</v>
      </c>
      <c r="AA180" s="89"/>
      <c r="AB180" s="89">
        <v>1438872.34</v>
      </c>
      <c r="AC180" s="89">
        <v>1364317.97</v>
      </c>
      <c r="AD180" s="89">
        <v>1235.0999999999999</v>
      </c>
      <c r="AE180" s="89">
        <f t="shared" si="59"/>
        <v>3934343.86</v>
      </c>
      <c r="AF180" s="129">
        <f t="shared" si="60"/>
        <v>3861024.59</v>
      </c>
      <c r="AG180" s="239">
        <f>SUM(Z180:AB180)</f>
        <v>3935578.96</v>
      </c>
      <c r="AH180" s="75">
        <f t="shared" si="82"/>
        <v>0.95877438093398437</v>
      </c>
      <c r="AI180" s="75">
        <v>0.91175476055145954</v>
      </c>
      <c r="AJ180" s="75">
        <f t="shared" si="65"/>
        <v>4.7019620382524829E-2</v>
      </c>
      <c r="AK180" s="80">
        <f t="shared" si="56"/>
        <v>0.95877438093398437</v>
      </c>
      <c r="AL180" s="72"/>
      <c r="AM180" s="81"/>
      <c r="AN180" s="81"/>
      <c r="AO180" s="81"/>
      <c r="AP180" s="72"/>
      <c r="AQ180" s="81"/>
      <c r="AR180" s="81"/>
      <c r="AS180" s="82"/>
    </row>
    <row r="181" spans="1:45" s="11" customFormat="1" ht="66">
      <c r="A181" s="69" t="s">
        <v>111</v>
      </c>
      <c r="B181" s="70" t="s">
        <v>526</v>
      </c>
      <c r="C181" s="71" t="s">
        <v>380</v>
      </c>
      <c r="D181" s="71" t="s">
        <v>321</v>
      </c>
      <c r="E181" s="161">
        <v>13555194</v>
      </c>
      <c r="F181" s="72">
        <f>E181*$E$5</f>
        <v>9526644.5639759991</v>
      </c>
      <c r="G181" s="77">
        <v>13555194</v>
      </c>
      <c r="H181" s="77">
        <f>G181*$G$5</f>
        <v>9526644.5639759991</v>
      </c>
      <c r="I181" s="161">
        <v>13555194</v>
      </c>
      <c r="J181" s="72">
        <f>I181*$I$5</f>
        <v>9526644.5639759991</v>
      </c>
      <c r="K181" s="62" t="s">
        <v>232</v>
      </c>
      <c r="L181" s="72">
        <v>10600000</v>
      </c>
      <c r="M181" s="72">
        <f>L181*0.8921</f>
        <v>9456260</v>
      </c>
      <c r="N181" s="73">
        <f t="shared" si="53"/>
        <v>18982904.563975997</v>
      </c>
      <c r="O181" s="160">
        <v>9716299.0399999991</v>
      </c>
      <c r="P181" s="90">
        <v>18982904</v>
      </c>
      <c r="Q181" s="85">
        <f t="shared" si="78"/>
        <v>1.9926117608902769</v>
      </c>
      <c r="R181" s="86">
        <v>1.9926117608902769</v>
      </c>
      <c r="S181" s="85">
        <f t="shared" si="79"/>
        <v>0</v>
      </c>
      <c r="T181" s="85">
        <f t="shared" si="54"/>
        <v>0.99999997029032117</v>
      </c>
      <c r="U181" s="90">
        <v>18982904</v>
      </c>
      <c r="V181" s="85">
        <f t="shared" si="80"/>
        <v>1.9926117608902769</v>
      </c>
      <c r="W181" s="86">
        <v>1.9926117608902769</v>
      </c>
      <c r="X181" s="85">
        <f t="shared" si="81"/>
        <v>0</v>
      </c>
      <c r="Y181" s="85">
        <f t="shared" si="55"/>
        <v>0.99999997029032117</v>
      </c>
      <c r="Z181" s="89">
        <v>7113449.9000000004</v>
      </c>
      <c r="AA181" s="89"/>
      <c r="AB181" s="89"/>
      <c r="AC181" s="89">
        <v>0</v>
      </c>
      <c r="AD181" s="89">
        <v>0</v>
      </c>
      <c r="AE181" s="89">
        <f t="shared" si="59"/>
        <v>7113449.9000000004</v>
      </c>
      <c r="AF181" s="129">
        <f t="shared" si="60"/>
        <v>7113449.9000000004</v>
      </c>
      <c r="AG181" s="239">
        <f>SUM(Z181:AB181)</f>
        <v>7113449.9000000004</v>
      </c>
      <c r="AH181" s="75">
        <f t="shared" si="82"/>
        <v>0.74668996541539512</v>
      </c>
      <c r="AI181" s="75">
        <v>0.47001244036454648</v>
      </c>
      <c r="AJ181" s="75">
        <f t="shared" si="65"/>
        <v>0.27667752505084864</v>
      </c>
      <c r="AK181" s="80">
        <f t="shared" si="56"/>
        <v>0.37472926632625275</v>
      </c>
      <c r="AL181" s="72"/>
      <c r="AM181" s="81"/>
      <c r="AN181" s="81"/>
      <c r="AO181" s="81"/>
      <c r="AP181" s="72"/>
      <c r="AQ181" s="81"/>
      <c r="AR181" s="81"/>
      <c r="AS181" s="82"/>
    </row>
    <row r="182" spans="1:45" s="159" customFormat="1" ht="82.5">
      <c r="A182" s="94" t="s">
        <v>527</v>
      </c>
      <c r="B182" s="95" t="s">
        <v>528</v>
      </c>
      <c r="C182" s="96" t="s">
        <v>380</v>
      </c>
      <c r="D182" s="96" t="s">
        <v>321</v>
      </c>
      <c r="E182" s="100"/>
      <c r="F182" s="72">
        <f>F183+F184</f>
        <v>128332280.97953999</v>
      </c>
      <c r="G182" s="72"/>
      <c r="H182" s="72">
        <f>H183+H184</f>
        <v>128332280.97953999</v>
      </c>
      <c r="I182" s="72"/>
      <c r="J182" s="72">
        <f>J183+J184</f>
        <v>128332280.97953999</v>
      </c>
      <c r="K182" s="62" t="s">
        <v>232</v>
      </c>
      <c r="L182" s="72">
        <f>L183+L184</f>
        <v>0</v>
      </c>
      <c r="M182" s="72">
        <f>M183+M184</f>
        <v>0</v>
      </c>
      <c r="N182" s="73">
        <f t="shared" si="53"/>
        <v>128332280.97953999</v>
      </c>
      <c r="O182" s="163">
        <f>O183+O184</f>
        <v>90251460.489999995</v>
      </c>
      <c r="P182" s="98">
        <f>P183+P184</f>
        <v>128256337.59</v>
      </c>
      <c r="Q182" s="85">
        <f t="shared" si="78"/>
        <v>0.99940822847563904</v>
      </c>
      <c r="R182" s="85">
        <v>0.99940822847563904</v>
      </c>
      <c r="S182" s="85">
        <f t="shared" si="79"/>
        <v>0</v>
      </c>
      <c r="T182" s="85">
        <f t="shared" si="54"/>
        <v>0.99940822847563904</v>
      </c>
      <c r="U182" s="98">
        <f>U183+U184</f>
        <v>128256337.59</v>
      </c>
      <c r="V182" s="85">
        <f t="shared" si="80"/>
        <v>0.99940822847563904</v>
      </c>
      <c r="W182" s="86">
        <v>0.99940822847563904</v>
      </c>
      <c r="X182" s="85">
        <f t="shared" si="81"/>
        <v>0</v>
      </c>
      <c r="Y182" s="85">
        <f t="shared" si="55"/>
        <v>0.99940822847563904</v>
      </c>
      <c r="Z182" s="99">
        <f>Z183+Z184</f>
        <v>46906183.330000006</v>
      </c>
      <c r="AA182" s="99">
        <f>AA183+AA184</f>
        <v>0</v>
      </c>
      <c r="AB182" s="99">
        <f>AB183+AB184</f>
        <v>32931636.699999999</v>
      </c>
      <c r="AC182" s="99">
        <f>AC183+AC184</f>
        <v>18903445.190000001</v>
      </c>
      <c r="AD182" s="99">
        <f>AD183+AD184</f>
        <v>23279.35</v>
      </c>
      <c r="AE182" s="99">
        <f t="shared" si="59"/>
        <v>79814540.680000007</v>
      </c>
      <c r="AF182" s="90">
        <f t="shared" si="60"/>
        <v>65809628.520000011</v>
      </c>
      <c r="AG182" s="242">
        <f>AG183+AG184</f>
        <v>79837820.030000001</v>
      </c>
      <c r="AH182" s="75">
        <f t="shared" si="82"/>
        <v>0.62211798481730829</v>
      </c>
      <c r="AI182" s="75">
        <v>0.59362842192562337</v>
      </c>
      <c r="AJ182" s="75">
        <f t="shared" si="65"/>
        <v>2.8489562891684916E-2</v>
      </c>
      <c r="AK182" s="80">
        <f t="shared" si="56"/>
        <v>0.62211798481730829</v>
      </c>
      <c r="AL182" s="72"/>
      <c r="AM182" s="81"/>
      <c r="AN182" s="81"/>
      <c r="AO182" s="81"/>
      <c r="AP182" s="72"/>
      <c r="AQ182" s="81"/>
      <c r="AR182" s="81"/>
      <c r="AS182" s="82"/>
    </row>
    <row r="183" spans="1:45" s="11" customFormat="1" ht="49.5">
      <c r="A183" s="69" t="s">
        <v>112</v>
      </c>
      <c r="B183" s="70" t="s">
        <v>529</v>
      </c>
      <c r="C183" s="71" t="s">
        <v>380</v>
      </c>
      <c r="D183" s="71" t="s">
        <v>321</v>
      </c>
      <c r="E183" s="161">
        <v>170851458</v>
      </c>
      <c r="F183" s="72">
        <f>E183*$E$5</f>
        <v>120075088.088232</v>
      </c>
      <c r="G183" s="77">
        <v>170851458</v>
      </c>
      <c r="H183" s="77">
        <f>G183*$G$5</f>
        <v>120075088.088232</v>
      </c>
      <c r="I183" s="161">
        <v>170851458</v>
      </c>
      <c r="J183" s="72">
        <f>I183*$I$5</f>
        <v>120075088.088232</v>
      </c>
      <c r="K183" s="62" t="s">
        <v>232</v>
      </c>
      <c r="L183" s="72">
        <v>0</v>
      </c>
      <c r="M183" s="72"/>
      <c r="N183" s="73">
        <f t="shared" si="53"/>
        <v>120075088.088232</v>
      </c>
      <c r="O183" s="160">
        <v>80537116.359999999</v>
      </c>
      <c r="P183" s="90">
        <v>119999145.17</v>
      </c>
      <c r="Q183" s="85">
        <f t="shared" si="78"/>
        <v>0.99936753810102397</v>
      </c>
      <c r="R183" s="86">
        <v>0.99936753810102397</v>
      </c>
      <c r="S183" s="85">
        <f t="shared" si="79"/>
        <v>0</v>
      </c>
      <c r="T183" s="85">
        <f t="shared" si="54"/>
        <v>0.99936753810102397</v>
      </c>
      <c r="U183" s="90">
        <v>119999145.17</v>
      </c>
      <c r="V183" s="85">
        <f t="shared" si="80"/>
        <v>0.99936753810102397</v>
      </c>
      <c r="W183" s="86">
        <v>0.99936753810102397</v>
      </c>
      <c r="X183" s="85">
        <f t="shared" si="81"/>
        <v>0</v>
      </c>
      <c r="Y183" s="85">
        <f t="shared" si="55"/>
        <v>0.99936753810102397</v>
      </c>
      <c r="Z183" s="89">
        <v>40076990.910000004</v>
      </c>
      <c r="AA183" s="89"/>
      <c r="AB183" s="89">
        <v>31503636.699999999</v>
      </c>
      <c r="AC183" s="89">
        <v>17475445.190000001</v>
      </c>
      <c r="AD183" s="89">
        <v>23279.35</v>
      </c>
      <c r="AE183" s="89">
        <f t="shared" si="59"/>
        <v>71557348.260000005</v>
      </c>
      <c r="AF183" s="90">
        <f t="shared" si="60"/>
        <v>57552436.100000009</v>
      </c>
      <c r="AG183" s="239">
        <f>SUM(Z183:AB183)</f>
        <v>71580627.609999999</v>
      </c>
      <c r="AH183" s="75">
        <f t="shared" si="82"/>
        <v>0.59613220985024029</v>
      </c>
      <c r="AI183" s="75">
        <v>0.5656835077238388</v>
      </c>
      <c r="AJ183" s="75">
        <f t="shared" si="65"/>
        <v>3.0448702126401495E-2</v>
      </c>
      <c r="AK183" s="80">
        <f t="shared" si="56"/>
        <v>0.59613220985024029</v>
      </c>
      <c r="AL183" s="72"/>
      <c r="AM183" s="81"/>
      <c r="AN183" s="81"/>
      <c r="AO183" s="81"/>
      <c r="AP183" s="72"/>
      <c r="AQ183" s="81"/>
      <c r="AR183" s="81"/>
      <c r="AS183" s="82"/>
    </row>
    <row r="184" spans="1:45" s="11" customFormat="1" ht="66">
      <c r="A184" s="69" t="s">
        <v>113</v>
      </c>
      <c r="B184" s="70" t="s">
        <v>530</v>
      </c>
      <c r="C184" s="71" t="s">
        <v>380</v>
      </c>
      <c r="D184" s="71" t="s">
        <v>321</v>
      </c>
      <c r="E184" s="161">
        <v>11748927</v>
      </c>
      <c r="F184" s="72">
        <f>E184*$E$5</f>
        <v>8257192.8913079994</v>
      </c>
      <c r="G184" s="161">
        <v>11748927</v>
      </c>
      <c r="H184" s="77">
        <f>G184*$G$5</f>
        <v>8257192.8913079994</v>
      </c>
      <c r="I184" s="161">
        <v>11748927</v>
      </c>
      <c r="J184" s="72">
        <f>I184*$I$5</f>
        <v>8257192.8913079994</v>
      </c>
      <c r="K184" s="62" t="s">
        <v>232</v>
      </c>
      <c r="L184" s="72">
        <v>0</v>
      </c>
      <c r="M184" s="72"/>
      <c r="N184" s="73">
        <f t="shared" si="53"/>
        <v>8257192.8913079994</v>
      </c>
      <c r="O184" s="160">
        <v>9714344.129999999</v>
      </c>
      <c r="P184" s="90">
        <v>8257192.4199999999</v>
      </c>
      <c r="Q184" s="85">
        <f t="shared" si="78"/>
        <v>0.99999994292152239</v>
      </c>
      <c r="R184" s="86">
        <v>0.99999994292152239</v>
      </c>
      <c r="S184" s="85">
        <f t="shared" si="79"/>
        <v>0</v>
      </c>
      <c r="T184" s="85">
        <f t="shared" si="54"/>
        <v>0.99999994292152239</v>
      </c>
      <c r="U184" s="90">
        <v>8257192.4199999999</v>
      </c>
      <c r="V184" s="85">
        <f t="shared" si="80"/>
        <v>0.99999994292152239</v>
      </c>
      <c r="W184" s="85">
        <v>0.99999994292152239</v>
      </c>
      <c r="X184" s="85">
        <f t="shared" si="81"/>
        <v>0</v>
      </c>
      <c r="Y184" s="85">
        <f t="shared" si="55"/>
        <v>0.99999994292152239</v>
      </c>
      <c r="Z184" s="89">
        <v>6829192.4199999999</v>
      </c>
      <c r="AA184" s="89"/>
      <c r="AB184" s="89">
        <v>1428000</v>
      </c>
      <c r="AC184" s="89">
        <v>1428000</v>
      </c>
      <c r="AD184" s="89">
        <v>0</v>
      </c>
      <c r="AE184" s="89">
        <f t="shared" si="59"/>
        <v>8257192.4199999999</v>
      </c>
      <c r="AF184" s="90">
        <f t="shared" si="60"/>
        <v>8257192.4199999999</v>
      </c>
      <c r="AG184" s="239">
        <f>SUM(Z184:AB184)</f>
        <v>8257192.4199999999</v>
      </c>
      <c r="AH184" s="75">
        <f t="shared" si="82"/>
        <v>0.99999994292152239</v>
      </c>
      <c r="AI184" s="75">
        <v>0.99999994292152239</v>
      </c>
      <c r="AJ184" s="75">
        <f t="shared" si="65"/>
        <v>0</v>
      </c>
      <c r="AK184" s="80">
        <f t="shared" si="56"/>
        <v>0.99999994292152239</v>
      </c>
      <c r="AL184" s="72"/>
      <c r="AM184" s="81"/>
      <c r="AN184" s="81"/>
      <c r="AO184" s="81"/>
      <c r="AP184" s="72"/>
      <c r="AQ184" s="81"/>
      <c r="AR184" s="81"/>
      <c r="AS184" s="82"/>
    </row>
    <row r="185" spans="1:45" s="159" customFormat="1" ht="82.5">
      <c r="A185" s="59" t="s">
        <v>531</v>
      </c>
      <c r="B185" s="60" t="s">
        <v>532</v>
      </c>
      <c r="C185" s="61" t="s">
        <v>380</v>
      </c>
      <c r="D185" s="61" t="s">
        <v>533</v>
      </c>
      <c r="E185" s="64"/>
      <c r="F185" s="62">
        <f>F186+F194</f>
        <v>359266842.01624799</v>
      </c>
      <c r="G185" s="62"/>
      <c r="H185" s="62">
        <f>H186+H194</f>
        <v>359266842.01624799</v>
      </c>
      <c r="I185" s="62"/>
      <c r="J185" s="62">
        <f>J186+J194</f>
        <v>359266842.01624799</v>
      </c>
      <c r="K185" s="62" t="s">
        <v>232</v>
      </c>
      <c r="L185" s="62">
        <f>L186+L194</f>
        <v>33785455</v>
      </c>
      <c r="M185" s="62">
        <f>M186+M194</f>
        <v>33785455</v>
      </c>
      <c r="N185" s="41">
        <f t="shared" si="53"/>
        <v>393052297.01624799</v>
      </c>
      <c r="O185" s="162">
        <f>O186+O194</f>
        <v>229863390.13999999</v>
      </c>
      <c r="P185" s="92">
        <f>P186+P194</f>
        <v>355713413.85000002</v>
      </c>
      <c r="Q185" s="93">
        <f t="shared" si="78"/>
        <v>0.99010922314370653</v>
      </c>
      <c r="R185" s="93">
        <v>0.98543912453236804</v>
      </c>
      <c r="S185" s="93">
        <f t="shared" si="79"/>
        <v>4.6700986113384912E-3</v>
      </c>
      <c r="T185" s="93">
        <f t="shared" si="54"/>
        <v>0.90500276057487472</v>
      </c>
      <c r="U185" s="92">
        <f>U186+U194</f>
        <v>350038544.08999997</v>
      </c>
      <c r="V185" s="93">
        <f t="shared" si="80"/>
        <v>0.97431352730895593</v>
      </c>
      <c r="W185" s="141">
        <v>0.97363070509629857</v>
      </c>
      <c r="X185" s="93">
        <f t="shared" si="81"/>
        <v>6.8282221265736354E-4</v>
      </c>
      <c r="Y185" s="93">
        <f t="shared" si="55"/>
        <v>0.89056480968874752</v>
      </c>
      <c r="Z185" s="92">
        <f>Z186+Z194</f>
        <v>134805712.07000002</v>
      </c>
      <c r="AA185" s="92">
        <f>AA186+AA194</f>
        <v>0</v>
      </c>
      <c r="AB185" s="92">
        <f>AB186+AB194</f>
        <v>30248474.420000002</v>
      </c>
      <c r="AC185" s="92">
        <f>AC186+AC194</f>
        <v>12686143.559999999</v>
      </c>
      <c r="AD185" s="92">
        <f>AD186+AD194</f>
        <v>2325102.1199999996</v>
      </c>
      <c r="AE185" s="99">
        <f t="shared" si="59"/>
        <v>162729084.37</v>
      </c>
      <c r="AF185" s="90">
        <f t="shared" si="60"/>
        <v>147491855.63000003</v>
      </c>
      <c r="AG185" s="243">
        <f>SUM(Z185:AB185)</f>
        <v>165054186.49000001</v>
      </c>
      <c r="AH185" s="65">
        <f t="shared" si="82"/>
        <v>0.45941948208661954</v>
      </c>
      <c r="AI185" s="65">
        <v>0.41892215620386525</v>
      </c>
      <c r="AJ185" s="65">
        <f t="shared" si="65"/>
        <v>4.0497325882754287E-2</v>
      </c>
      <c r="AK185" s="44">
        <f t="shared" si="56"/>
        <v>0.41992932681723266</v>
      </c>
      <c r="AL185" s="72"/>
      <c r="AM185" s="81"/>
      <c r="AN185" s="81"/>
      <c r="AO185" s="81"/>
      <c r="AP185" s="72"/>
      <c r="AQ185" s="81"/>
      <c r="AR185" s="81"/>
      <c r="AS185" s="82"/>
    </row>
    <row r="186" spans="1:45" s="159" customFormat="1" ht="82.5">
      <c r="A186" s="59" t="s">
        <v>534</v>
      </c>
      <c r="B186" s="60" t="s">
        <v>535</v>
      </c>
      <c r="C186" s="61" t="s">
        <v>380</v>
      </c>
      <c r="D186" s="61" t="s">
        <v>536</v>
      </c>
      <c r="E186" s="64"/>
      <c r="F186" s="62">
        <f>F187+F188+F189+F192+F193</f>
        <v>231383309.82435599</v>
      </c>
      <c r="G186" s="62"/>
      <c r="H186" s="62">
        <f>H187+H188+H189+H192+H193</f>
        <v>231383309.82435599</v>
      </c>
      <c r="I186" s="62"/>
      <c r="J186" s="62">
        <f>J187+J188+J189+J192+J193</f>
        <v>231383309.82435599</v>
      </c>
      <c r="K186" s="62" t="s">
        <v>232</v>
      </c>
      <c r="L186" s="62">
        <f>L187+L188+L189+L192+L193</f>
        <v>21978843</v>
      </c>
      <c r="M186" s="62">
        <f>M187+M188+M189+M192+M193</f>
        <v>21978843</v>
      </c>
      <c r="N186" s="41">
        <f t="shared" si="53"/>
        <v>253362152.82435599</v>
      </c>
      <c r="O186" s="162">
        <f>O187+O188+O189+O192+O193</f>
        <v>157636403.07999998</v>
      </c>
      <c r="P186" s="92">
        <f>P187+P188+P189+P192+P193</f>
        <v>251198491.09000003</v>
      </c>
      <c r="Q186" s="93">
        <f t="shared" si="78"/>
        <v>1.0856379022354112</v>
      </c>
      <c r="R186" s="93">
        <v>1.0795110443342246</v>
      </c>
      <c r="S186" s="93">
        <f t="shared" si="79"/>
        <v>6.1268579011866109E-3</v>
      </c>
      <c r="T186" s="93">
        <f t="shared" si="54"/>
        <v>0.99146020149325176</v>
      </c>
      <c r="U186" s="92">
        <f>U187+U188+U189+U192+U193</f>
        <v>249765994.88999999</v>
      </c>
      <c r="V186" s="93">
        <f t="shared" si="80"/>
        <v>1.0794468930347585</v>
      </c>
      <c r="W186" s="141">
        <v>1.0795110443342246</v>
      </c>
      <c r="X186" s="93">
        <f t="shared" si="81"/>
        <v>-6.4151299466130851E-5</v>
      </c>
      <c r="Y186" s="93">
        <f t="shared" si="55"/>
        <v>0.98580625442960679</v>
      </c>
      <c r="Z186" s="92">
        <f>Z187+Z188+Z189+Z192+Z193</f>
        <v>93473586.180000022</v>
      </c>
      <c r="AA186" s="92">
        <f>AA187+AA188+AA189+AA192+AA193</f>
        <v>0</v>
      </c>
      <c r="AB186" s="92">
        <f>AB187+AB188+AB189+AB192+AB193</f>
        <v>20447560.789999999</v>
      </c>
      <c r="AC186" s="92">
        <f>AC187+AC188+AC189+AC192+AC193</f>
        <v>5632999.2699999996</v>
      </c>
      <c r="AD186" s="92">
        <f>AD187+AD188+AD189+AD192+AD193</f>
        <v>2241397.86</v>
      </c>
      <c r="AE186" s="99">
        <f t="shared" si="59"/>
        <v>111679749.11000001</v>
      </c>
      <c r="AF186" s="90">
        <f t="shared" si="60"/>
        <v>99106585.450000018</v>
      </c>
      <c r="AG186" s="234">
        <f>AG187+AG188+AG189+AG192+AG193</f>
        <v>113921146.97000001</v>
      </c>
      <c r="AH186" s="65">
        <f t="shared" si="82"/>
        <v>0.49234816053274549</v>
      </c>
      <c r="AI186" s="65">
        <v>0.44450608217193727</v>
      </c>
      <c r="AJ186" s="65">
        <f t="shared" si="65"/>
        <v>4.7842078360808227E-2</v>
      </c>
      <c r="AK186" s="44">
        <f t="shared" si="56"/>
        <v>0.44963758675107313</v>
      </c>
      <c r="AL186" s="72"/>
      <c r="AM186" s="81"/>
      <c r="AN186" s="81"/>
      <c r="AO186" s="81"/>
      <c r="AP186" s="72"/>
      <c r="AQ186" s="81"/>
      <c r="AR186" s="81"/>
      <c r="AS186" s="82"/>
    </row>
    <row r="187" spans="1:45" s="11" customFormat="1" ht="66">
      <c r="A187" s="69" t="s">
        <v>90</v>
      </c>
      <c r="B187" s="70" t="s">
        <v>537</v>
      </c>
      <c r="C187" s="71" t="s">
        <v>380</v>
      </c>
      <c r="D187" s="71" t="s">
        <v>536</v>
      </c>
      <c r="E187" s="161">
        <v>186789425</v>
      </c>
      <c r="F187" s="161">
        <f>E187*$E$5</f>
        <v>131276355.0477</v>
      </c>
      <c r="G187" s="161">
        <v>186789425</v>
      </c>
      <c r="H187" s="77">
        <f>G187*$G$5</f>
        <v>131276355.0477</v>
      </c>
      <c r="I187" s="161">
        <v>186789425</v>
      </c>
      <c r="J187" s="72">
        <f>I187*$I$5</f>
        <v>131276355.0477</v>
      </c>
      <c r="K187" s="62" t="s">
        <v>232</v>
      </c>
      <c r="L187" s="72">
        <v>0</v>
      </c>
      <c r="M187" s="72"/>
      <c r="N187" s="73">
        <f t="shared" si="53"/>
        <v>131276355.0477</v>
      </c>
      <c r="O187" s="160">
        <v>86356250.449999988</v>
      </c>
      <c r="P187" s="90">
        <v>131192856.41</v>
      </c>
      <c r="Q187" s="85">
        <f t="shared" si="78"/>
        <v>0.99936394762278657</v>
      </c>
      <c r="R187" s="86">
        <v>0.99936394762278657</v>
      </c>
      <c r="S187" s="85">
        <f t="shared" si="79"/>
        <v>0</v>
      </c>
      <c r="T187" s="85">
        <f t="shared" si="54"/>
        <v>0.99936394762278657</v>
      </c>
      <c r="U187" s="90">
        <v>131192856.41</v>
      </c>
      <c r="V187" s="85">
        <f t="shared" si="80"/>
        <v>0.99936394762278657</v>
      </c>
      <c r="W187" s="85">
        <v>0.99936394762278657</v>
      </c>
      <c r="X187" s="85">
        <f t="shared" si="81"/>
        <v>0</v>
      </c>
      <c r="Y187" s="85">
        <f t="shared" si="55"/>
        <v>0.99936394762278657</v>
      </c>
      <c r="Z187" s="89">
        <v>52931700.229999997</v>
      </c>
      <c r="AA187" s="89"/>
      <c r="AB187" s="89"/>
      <c r="AC187" s="89">
        <v>0</v>
      </c>
      <c r="AD187" s="89">
        <v>0</v>
      </c>
      <c r="AE187" s="89">
        <f t="shared" si="59"/>
        <v>52931700.229999997</v>
      </c>
      <c r="AF187" s="90">
        <f t="shared" si="60"/>
        <v>52931700.229999997</v>
      </c>
      <c r="AG187" s="239">
        <f t="shared" ref="AG187:AG193" si="83">SUM(Z187:AB187)</f>
        <v>52931700.229999997</v>
      </c>
      <c r="AH187" s="75">
        <f t="shared" si="82"/>
        <v>0.40320818026039013</v>
      </c>
      <c r="AI187" s="75">
        <v>0.36029026585034413</v>
      </c>
      <c r="AJ187" s="75">
        <f t="shared" si="65"/>
        <v>4.2917914410045999E-2</v>
      </c>
      <c r="AK187" s="80">
        <f t="shared" si="56"/>
        <v>0.40320818026039013</v>
      </c>
      <c r="AL187" s="72"/>
      <c r="AM187" s="81"/>
      <c r="AN187" s="81"/>
      <c r="AO187" s="81"/>
      <c r="AP187" s="72"/>
      <c r="AQ187" s="81"/>
      <c r="AR187" s="81"/>
      <c r="AS187" s="82"/>
    </row>
    <row r="188" spans="1:45" s="165" customFormat="1" ht="66">
      <c r="A188" s="69" t="s">
        <v>91</v>
      </c>
      <c r="B188" s="70" t="s">
        <v>538</v>
      </c>
      <c r="C188" s="71" t="s">
        <v>380</v>
      </c>
      <c r="D188" s="71" t="s">
        <v>536</v>
      </c>
      <c r="E188" s="161">
        <v>91395877</v>
      </c>
      <c r="F188" s="161">
        <f>E188*$E$5</f>
        <v>64233387.939107999</v>
      </c>
      <c r="G188" s="161">
        <v>91395877</v>
      </c>
      <c r="H188" s="77">
        <f>G188*$G$5</f>
        <v>64233387.939107999</v>
      </c>
      <c r="I188" s="161">
        <v>91395877</v>
      </c>
      <c r="J188" s="72">
        <f>I188*$I$5</f>
        <v>64233387.939107999</v>
      </c>
      <c r="K188" s="62" t="s">
        <v>232</v>
      </c>
      <c r="L188" s="72">
        <v>21978843</v>
      </c>
      <c r="M188" s="72">
        <f>L188</f>
        <v>21978843</v>
      </c>
      <c r="N188" s="73">
        <f t="shared" si="53"/>
        <v>86212230.939107999</v>
      </c>
      <c r="O188" s="160">
        <v>43648933.369999997</v>
      </c>
      <c r="P188" s="90">
        <v>85079932.25</v>
      </c>
      <c r="Q188" s="85">
        <f t="shared" si="78"/>
        <v>1.3245437455463833</v>
      </c>
      <c r="R188" s="86">
        <v>1.3024565227558786</v>
      </c>
      <c r="S188" s="85">
        <f t="shared" si="79"/>
        <v>2.2087222790504679E-2</v>
      </c>
      <c r="T188" s="85">
        <f t="shared" si="54"/>
        <v>0.9868661479145836</v>
      </c>
      <c r="U188" s="90">
        <v>83647436.049999997</v>
      </c>
      <c r="V188" s="85">
        <f t="shared" si="80"/>
        <v>1.3022423187345518</v>
      </c>
      <c r="W188" s="85">
        <v>1.3024565227558786</v>
      </c>
      <c r="X188" s="85">
        <f t="shared" si="81"/>
        <v>-2.1420402132688032E-4</v>
      </c>
      <c r="Y188" s="85">
        <f t="shared" si="55"/>
        <v>0.97025022016980944</v>
      </c>
      <c r="Z188" s="89">
        <v>26767487.970000003</v>
      </c>
      <c r="AA188" s="89"/>
      <c r="AB188" s="89">
        <v>14752656.99</v>
      </c>
      <c r="AC188" s="89">
        <v>3848281.01</v>
      </c>
      <c r="AD188" s="89">
        <v>2179641.4</v>
      </c>
      <c r="AE188" s="89">
        <f t="shared" si="59"/>
        <v>39340503.560000002</v>
      </c>
      <c r="AF188" s="90">
        <f t="shared" si="60"/>
        <v>30615768.980000004</v>
      </c>
      <c r="AG188" s="239">
        <f t="shared" si="83"/>
        <v>41520144.960000001</v>
      </c>
      <c r="AH188" s="75">
        <f t="shared" si="82"/>
        <v>0.64639506481209252</v>
      </c>
      <c r="AI188" s="75">
        <v>0.59125755527643753</v>
      </c>
      <c r="AJ188" s="75">
        <f t="shared" si="65"/>
        <v>5.5137509535654994E-2</v>
      </c>
      <c r="AK188" s="80">
        <f t="shared" si="56"/>
        <v>0.48160388042070068</v>
      </c>
      <c r="AL188" s="72"/>
      <c r="AM188" s="81"/>
      <c r="AN188" s="81"/>
      <c r="AO188" s="81"/>
      <c r="AP188" s="72"/>
      <c r="AQ188" s="81"/>
      <c r="AR188" s="81"/>
      <c r="AS188" s="82"/>
    </row>
    <row r="189" spans="1:45" s="166" customFormat="1" ht="82.5">
      <c r="A189" s="94" t="s">
        <v>539</v>
      </c>
      <c r="B189" s="95" t="s">
        <v>540</v>
      </c>
      <c r="C189" s="96" t="s">
        <v>380</v>
      </c>
      <c r="D189" s="96" t="s">
        <v>536</v>
      </c>
      <c r="E189" s="100"/>
      <c r="F189" s="161">
        <f>F190+F191</f>
        <v>18343908.288119998</v>
      </c>
      <c r="G189" s="72"/>
      <c r="H189" s="72">
        <f>H190+H191</f>
        <v>18343908.288119998</v>
      </c>
      <c r="I189" s="72"/>
      <c r="J189" s="72">
        <f>J190+J191</f>
        <v>18343908.288119998</v>
      </c>
      <c r="K189" s="62" t="s">
        <v>232</v>
      </c>
      <c r="L189" s="72">
        <f>L190+L191</f>
        <v>0</v>
      </c>
      <c r="M189" s="72">
        <f>M190+M191</f>
        <v>0</v>
      </c>
      <c r="N189" s="73">
        <f t="shared" si="53"/>
        <v>18343908.288119998</v>
      </c>
      <c r="O189" s="163">
        <f t="shared" ref="O189" si="84">O190+O191</f>
        <v>11465956.58</v>
      </c>
      <c r="P189" s="98">
        <f>P190+P191</f>
        <v>17396044.890000001</v>
      </c>
      <c r="Q189" s="85">
        <f t="shared" si="78"/>
        <v>0.94832816522889729</v>
      </c>
      <c r="R189" s="85">
        <v>0.94838728512761072</v>
      </c>
      <c r="S189" s="85">
        <f t="shared" si="79"/>
        <v>-5.9119898713433372E-5</v>
      </c>
      <c r="T189" s="85">
        <f t="shared" si="54"/>
        <v>0.94832816522889729</v>
      </c>
      <c r="U189" s="99">
        <f>U190+U191</f>
        <v>17396044.890000001</v>
      </c>
      <c r="V189" s="85">
        <f t="shared" si="80"/>
        <v>0.94832816522889729</v>
      </c>
      <c r="W189" s="86">
        <v>0.94838728512761072</v>
      </c>
      <c r="X189" s="85">
        <f t="shared" si="81"/>
        <v>-5.9119898713433372E-5</v>
      </c>
      <c r="Y189" s="85">
        <f t="shared" si="55"/>
        <v>0.94832816522889729</v>
      </c>
      <c r="Z189" s="99">
        <f t="shared" ref="Z189:AA189" si="85">Z190+Z191</f>
        <v>8643094.3200000003</v>
      </c>
      <c r="AA189" s="99">
        <f t="shared" si="85"/>
        <v>0</v>
      </c>
      <c r="AB189" s="99">
        <f>AB190+AB191</f>
        <v>2196691.83</v>
      </c>
      <c r="AC189" s="99">
        <f>AC190+AC191</f>
        <v>1784718.26</v>
      </c>
      <c r="AD189" s="99">
        <f>AD190+AD191</f>
        <v>61756.46</v>
      </c>
      <c r="AE189" s="99">
        <f t="shared" si="59"/>
        <v>10778029.689999999</v>
      </c>
      <c r="AF189" s="90">
        <f t="shared" si="60"/>
        <v>10427812.58</v>
      </c>
      <c r="AG189" s="239">
        <f t="shared" si="83"/>
        <v>10839786.15</v>
      </c>
      <c r="AH189" s="75">
        <f t="shared" si="82"/>
        <v>0.59092021066307521</v>
      </c>
      <c r="AI189" s="75">
        <v>0.5705402270669887</v>
      </c>
      <c r="AJ189" s="75">
        <f t="shared" si="65"/>
        <v>2.0379983596086504E-2</v>
      </c>
      <c r="AK189" s="80">
        <f t="shared" si="56"/>
        <v>0.59092021066307521</v>
      </c>
      <c r="AL189" s="72"/>
      <c r="AM189" s="81"/>
      <c r="AN189" s="81"/>
      <c r="AO189" s="81"/>
      <c r="AP189" s="72"/>
      <c r="AQ189" s="81"/>
      <c r="AR189" s="81"/>
      <c r="AS189" s="82"/>
    </row>
    <row r="190" spans="1:45" s="165" customFormat="1" ht="82.5">
      <c r="A190" s="69" t="s">
        <v>92</v>
      </c>
      <c r="B190" s="70" t="s">
        <v>541</v>
      </c>
      <c r="C190" s="71" t="s">
        <v>380</v>
      </c>
      <c r="D190" s="71" t="s">
        <v>536</v>
      </c>
      <c r="E190" s="161">
        <v>14394800</v>
      </c>
      <c r="F190" s="161">
        <f>E190*$E$5</f>
        <v>10116723.019199999</v>
      </c>
      <c r="G190" s="161">
        <v>14394800</v>
      </c>
      <c r="H190" s="77">
        <f>G190*$G$5</f>
        <v>10116723.019199999</v>
      </c>
      <c r="I190" s="161">
        <v>14394800</v>
      </c>
      <c r="J190" s="72">
        <f>I190*$I$5</f>
        <v>10116723.019199999</v>
      </c>
      <c r="K190" s="62" t="s">
        <v>232</v>
      </c>
      <c r="L190" s="72">
        <v>0</v>
      </c>
      <c r="M190" s="72"/>
      <c r="N190" s="73">
        <f t="shared" si="53"/>
        <v>10116723.019199999</v>
      </c>
      <c r="O190" s="160">
        <v>8334853.5800000001</v>
      </c>
      <c r="P190" s="90">
        <v>9168859.8900000006</v>
      </c>
      <c r="Q190" s="85">
        <f t="shared" si="78"/>
        <v>0.90630729660176534</v>
      </c>
      <c r="R190" s="86">
        <v>0.90641449435719879</v>
      </c>
      <c r="S190" s="85">
        <f t="shared" si="79"/>
        <v>-1.0719775543344134E-4</v>
      </c>
      <c r="T190" s="85">
        <v>0</v>
      </c>
      <c r="U190" s="90">
        <v>9168859.8900000006</v>
      </c>
      <c r="V190" s="85">
        <f t="shared" si="80"/>
        <v>0.90630729660176534</v>
      </c>
      <c r="W190" s="86">
        <v>0.90641449435719879</v>
      </c>
      <c r="X190" s="85">
        <f t="shared" si="81"/>
        <v>-1.0719775543344134E-4</v>
      </c>
      <c r="Y190" s="85">
        <f t="shared" si="55"/>
        <v>0.90630729660176534</v>
      </c>
      <c r="Z190" s="89">
        <v>6643089.2199999997</v>
      </c>
      <c r="AA190" s="89"/>
      <c r="AB190" s="89">
        <v>2196691.83</v>
      </c>
      <c r="AC190" s="89">
        <v>1784718.26</v>
      </c>
      <c r="AD190" s="89">
        <v>61756.46</v>
      </c>
      <c r="AE190" s="89">
        <f t="shared" si="59"/>
        <v>8778024.5899999999</v>
      </c>
      <c r="AF190" s="90">
        <f t="shared" si="60"/>
        <v>8427807.4800000004</v>
      </c>
      <c r="AG190" s="239">
        <f t="shared" si="83"/>
        <v>8839781.0500000007</v>
      </c>
      <c r="AH190" s="75">
        <f t="shared" si="82"/>
        <v>0.87377909163109868</v>
      </c>
      <c r="AI190" s="75">
        <v>0.83682556930074592</v>
      </c>
      <c r="AJ190" s="75">
        <f t="shared" si="65"/>
        <v>3.6953522330352762E-2</v>
      </c>
      <c r="AK190" s="80">
        <f t="shared" si="56"/>
        <v>0.87377909163109868</v>
      </c>
      <c r="AL190" s="72"/>
      <c r="AM190" s="81"/>
      <c r="AN190" s="81"/>
      <c r="AO190" s="81"/>
      <c r="AP190" s="72"/>
      <c r="AQ190" s="81"/>
      <c r="AR190" s="81"/>
      <c r="AS190" s="82"/>
    </row>
    <row r="191" spans="1:45" s="165" customFormat="1" ht="49.5">
      <c r="A191" s="69" t="s">
        <v>93</v>
      </c>
      <c r="B191" s="70" t="s">
        <v>542</v>
      </c>
      <c r="C191" s="71" t="s">
        <v>380</v>
      </c>
      <c r="D191" s="71" t="s">
        <v>536</v>
      </c>
      <c r="E191" s="161">
        <v>11706230</v>
      </c>
      <c r="F191" s="161">
        <f>E191*$E$5</f>
        <v>8227185.2689199997</v>
      </c>
      <c r="G191" s="77">
        <v>11706230</v>
      </c>
      <c r="H191" s="77">
        <f>G191*$G$5</f>
        <v>8227185.2689199997</v>
      </c>
      <c r="I191" s="161">
        <v>11706230</v>
      </c>
      <c r="J191" s="72">
        <f>I191*$I$5</f>
        <v>8227185.2689199997</v>
      </c>
      <c r="K191" s="62" t="s">
        <v>232</v>
      </c>
      <c r="L191" s="72">
        <v>0</v>
      </c>
      <c r="M191" s="72"/>
      <c r="N191" s="73">
        <f t="shared" si="53"/>
        <v>8227185.2689199997</v>
      </c>
      <c r="O191" s="160">
        <v>3131103</v>
      </c>
      <c r="P191" s="90">
        <v>8227185</v>
      </c>
      <c r="Q191" s="85">
        <f t="shared" si="78"/>
        <v>0.9999999673132437</v>
      </c>
      <c r="R191" s="86">
        <v>0.9999999673132437</v>
      </c>
      <c r="S191" s="85">
        <f t="shared" si="79"/>
        <v>0</v>
      </c>
      <c r="T191" s="85">
        <f t="shared" ref="T191:T254" si="86">P191/N191</f>
        <v>0.9999999673132437</v>
      </c>
      <c r="U191" s="90">
        <v>8227185</v>
      </c>
      <c r="V191" s="85">
        <f t="shared" si="80"/>
        <v>0.9999999673132437</v>
      </c>
      <c r="W191" s="85">
        <v>0.9999999673132437</v>
      </c>
      <c r="X191" s="85">
        <f t="shared" si="81"/>
        <v>0</v>
      </c>
      <c r="Y191" s="85">
        <f t="shared" si="55"/>
        <v>0.9999999673132437</v>
      </c>
      <c r="Z191" s="89">
        <v>2000005.1</v>
      </c>
      <c r="AA191" s="89">
        <v>0</v>
      </c>
      <c r="AB191" s="89"/>
      <c r="AC191" s="89">
        <v>0</v>
      </c>
      <c r="AD191" s="89">
        <v>0</v>
      </c>
      <c r="AE191" s="89">
        <f t="shared" si="59"/>
        <v>2000005.1</v>
      </c>
      <c r="AF191" s="90">
        <f t="shared" si="60"/>
        <v>2000005.1</v>
      </c>
      <c r="AG191" s="239">
        <f t="shared" si="83"/>
        <v>2000005.1</v>
      </c>
      <c r="AH191" s="75">
        <f t="shared" si="82"/>
        <v>0.24309712673609757</v>
      </c>
      <c r="AI191" s="75">
        <v>0.24309712673609757</v>
      </c>
      <c r="AJ191" s="75">
        <f t="shared" si="65"/>
        <v>0</v>
      </c>
      <c r="AK191" s="80">
        <f t="shared" si="56"/>
        <v>0.24309712673609757</v>
      </c>
      <c r="AL191" s="72"/>
      <c r="AM191" s="81"/>
      <c r="AN191" s="81"/>
      <c r="AO191" s="81"/>
      <c r="AP191" s="72"/>
      <c r="AQ191" s="81"/>
      <c r="AR191" s="81"/>
      <c r="AS191" s="82"/>
    </row>
    <row r="192" spans="1:45" s="165" customFormat="1" ht="66">
      <c r="A192" s="69" t="s">
        <v>543</v>
      </c>
      <c r="B192" s="70" t="s">
        <v>544</v>
      </c>
      <c r="C192" s="71" t="s">
        <v>380</v>
      </c>
      <c r="D192" s="71" t="s">
        <v>536</v>
      </c>
      <c r="E192" s="161">
        <v>4942457</v>
      </c>
      <c r="F192" s="161">
        <f>E192*$E$5</f>
        <v>3473578.5494280001</v>
      </c>
      <c r="G192" s="161">
        <v>4942457</v>
      </c>
      <c r="H192" s="77">
        <f>G192*$G$5</f>
        <v>3473578.5494280001</v>
      </c>
      <c r="I192" s="161">
        <v>4942457</v>
      </c>
      <c r="J192" s="72">
        <f>I192*$I$5</f>
        <v>3473578.5494280001</v>
      </c>
      <c r="K192" s="62" t="s">
        <v>232</v>
      </c>
      <c r="L192" s="72">
        <v>0</v>
      </c>
      <c r="M192" s="72"/>
      <c r="N192" s="73">
        <f t="shared" si="53"/>
        <v>3473578.5494280001</v>
      </c>
      <c r="O192" s="160">
        <v>3381668.29</v>
      </c>
      <c r="P192" s="90">
        <v>3473577.68</v>
      </c>
      <c r="Q192" s="85">
        <f t="shared" si="78"/>
        <v>0.99999974970250782</v>
      </c>
      <c r="R192" s="86">
        <v>0.99999974970250782</v>
      </c>
      <c r="S192" s="85">
        <f t="shared" si="79"/>
        <v>0</v>
      </c>
      <c r="T192" s="85">
        <f t="shared" si="86"/>
        <v>0.99999974970250782</v>
      </c>
      <c r="U192" s="90">
        <v>3473577.68</v>
      </c>
      <c r="V192" s="85">
        <f t="shared" si="80"/>
        <v>0.99999974970250782</v>
      </c>
      <c r="W192" s="86">
        <v>0.99999974970250782</v>
      </c>
      <c r="X192" s="85">
        <f t="shared" si="81"/>
        <v>0</v>
      </c>
      <c r="Y192" s="85">
        <f t="shared" si="55"/>
        <v>0.99999974970250782</v>
      </c>
      <c r="Z192" s="89">
        <f>U192</f>
        <v>3473577.68</v>
      </c>
      <c r="AA192" s="89"/>
      <c r="AB192" s="89"/>
      <c r="AC192" s="89">
        <v>0</v>
      </c>
      <c r="AD192" s="89">
        <v>0</v>
      </c>
      <c r="AE192" s="89">
        <f t="shared" si="59"/>
        <v>3473577.68</v>
      </c>
      <c r="AF192" s="90">
        <f t="shared" si="60"/>
        <v>3473577.68</v>
      </c>
      <c r="AG192" s="239">
        <f t="shared" si="83"/>
        <v>3473577.68</v>
      </c>
      <c r="AH192" s="75">
        <f t="shared" si="82"/>
        <v>0.99999974970250782</v>
      </c>
      <c r="AI192" s="75">
        <v>0.99999974970250782</v>
      </c>
      <c r="AJ192" s="75">
        <f>AH192-AI192</f>
        <v>0</v>
      </c>
      <c r="AK192" s="80">
        <f t="shared" si="56"/>
        <v>0.99999974970250782</v>
      </c>
      <c r="AL192" s="72"/>
      <c r="AM192" s="81"/>
      <c r="AN192" s="81"/>
      <c r="AO192" s="81"/>
      <c r="AP192" s="72"/>
      <c r="AQ192" s="81"/>
      <c r="AR192" s="81"/>
      <c r="AS192" s="82"/>
    </row>
    <row r="193" spans="1:45" s="165" customFormat="1" ht="49.5">
      <c r="A193" s="69" t="s">
        <v>95</v>
      </c>
      <c r="B193" s="70" t="s">
        <v>545</v>
      </c>
      <c r="C193" s="71" t="s">
        <v>380</v>
      </c>
      <c r="D193" s="71" t="s">
        <v>536</v>
      </c>
      <c r="E193" s="161">
        <v>20000000</v>
      </c>
      <c r="F193" s="161">
        <f>E193*$E$5</f>
        <v>14056080</v>
      </c>
      <c r="G193" s="77">
        <v>20000000</v>
      </c>
      <c r="H193" s="77">
        <f>G193*$G$5</f>
        <v>14056080</v>
      </c>
      <c r="I193" s="161">
        <v>20000000</v>
      </c>
      <c r="J193" s="72">
        <f>I193*$I$5</f>
        <v>14056080</v>
      </c>
      <c r="K193" s="62" t="s">
        <v>232</v>
      </c>
      <c r="L193" s="72">
        <v>0</v>
      </c>
      <c r="M193" s="72"/>
      <c r="N193" s="73">
        <f t="shared" si="53"/>
        <v>14056080</v>
      </c>
      <c r="O193" s="160">
        <v>12783594.390000001</v>
      </c>
      <c r="P193" s="90">
        <v>14056079.859999999</v>
      </c>
      <c r="Q193" s="85">
        <f t="shared" si="78"/>
        <v>0.99999999003989726</v>
      </c>
      <c r="R193" s="86">
        <v>0.99999999003989726</v>
      </c>
      <c r="S193" s="85">
        <f t="shared" si="79"/>
        <v>0</v>
      </c>
      <c r="T193" s="85">
        <f t="shared" si="86"/>
        <v>0.99999999003989726</v>
      </c>
      <c r="U193" s="90">
        <v>14056079.859999999</v>
      </c>
      <c r="V193" s="85">
        <f t="shared" si="80"/>
        <v>0.99999999003989726</v>
      </c>
      <c r="W193" s="86">
        <v>0.99999999003989726</v>
      </c>
      <c r="X193" s="85">
        <f t="shared" si="81"/>
        <v>0</v>
      </c>
      <c r="Y193" s="85">
        <f t="shared" si="55"/>
        <v>0.99999999003989726</v>
      </c>
      <c r="Z193" s="89">
        <v>1657725.98</v>
      </c>
      <c r="AA193" s="89"/>
      <c r="AB193" s="89">
        <v>3498211.97</v>
      </c>
      <c r="AC193" s="89">
        <v>0</v>
      </c>
      <c r="AD193" s="89">
        <v>0</v>
      </c>
      <c r="AE193" s="89">
        <f t="shared" si="59"/>
        <v>5155937.95</v>
      </c>
      <c r="AF193" s="90">
        <f t="shared" si="60"/>
        <v>1657725.98</v>
      </c>
      <c r="AG193" s="239">
        <f t="shared" si="83"/>
        <v>5155937.95</v>
      </c>
      <c r="AH193" s="75">
        <f t="shared" si="82"/>
        <v>0.36681193832135278</v>
      </c>
      <c r="AI193" s="75">
        <v>0.25865707010773986</v>
      </c>
      <c r="AJ193" s="75">
        <f t="shared" si="65"/>
        <v>0.10815486821361292</v>
      </c>
      <c r="AK193" s="80">
        <f t="shared" si="56"/>
        <v>0.36681193832135278</v>
      </c>
      <c r="AL193" s="72"/>
      <c r="AM193" s="81"/>
      <c r="AN193" s="81"/>
      <c r="AO193" s="81"/>
      <c r="AP193" s="72"/>
      <c r="AQ193" s="81"/>
      <c r="AR193" s="81"/>
      <c r="AS193" s="82"/>
    </row>
    <row r="194" spans="1:45" s="159" customFormat="1" ht="66">
      <c r="A194" s="59" t="s">
        <v>546</v>
      </c>
      <c r="B194" s="60" t="s">
        <v>547</v>
      </c>
      <c r="C194" s="61" t="s">
        <v>380</v>
      </c>
      <c r="D194" s="61" t="s">
        <v>533</v>
      </c>
      <c r="E194" s="64"/>
      <c r="F194" s="62">
        <f>F195+F198+F199+F200</f>
        <v>127883532.19189201</v>
      </c>
      <c r="G194" s="62"/>
      <c r="H194" s="62">
        <f>H195+H198+H199+H200</f>
        <v>127883532.19189201</v>
      </c>
      <c r="I194" s="62"/>
      <c r="J194" s="62">
        <f>J195+J198+J199+J200</f>
        <v>127883532.19189201</v>
      </c>
      <c r="K194" s="62" t="s">
        <v>232</v>
      </c>
      <c r="L194" s="62">
        <f>L195+L198+L199+L200</f>
        <v>11806612</v>
      </c>
      <c r="M194" s="62">
        <f>M195+M198+M199+M200</f>
        <v>11806612</v>
      </c>
      <c r="N194" s="41">
        <f t="shared" si="53"/>
        <v>139690144.19189203</v>
      </c>
      <c r="O194" s="162">
        <f t="shared" ref="O194" si="87">O195+O198+O199+O200</f>
        <v>72226987.060000002</v>
      </c>
      <c r="P194" s="92">
        <f>P195+P198+P199+P200</f>
        <v>104514922.76000001</v>
      </c>
      <c r="Q194" s="93">
        <f t="shared" si="78"/>
        <v>0.81726646870508002</v>
      </c>
      <c r="R194" s="93">
        <v>0.81523212608456475</v>
      </c>
      <c r="S194" s="93">
        <f t="shared" si="79"/>
        <v>2.0343426205152726E-3</v>
      </c>
      <c r="T194" s="93">
        <f t="shared" si="86"/>
        <v>0.74819110084408025</v>
      </c>
      <c r="U194" s="92">
        <f>U195+U198+U199+U200</f>
        <v>100272549.2</v>
      </c>
      <c r="V194" s="93">
        <f t="shared" si="80"/>
        <v>0.78409274033453247</v>
      </c>
      <c r="W194" s="141">
        <v>0.78205839771401719</v>
      </c>
      <c r="X194" s="93">
        <f t="shared" si="81"/>
        <v>2.0343426205152726E-3</v>
      </c>
      <c r="Y194" s="93">
        <f t="shared" si="55"/>
        <v>0.71782121623595607</v>
      </c>
      <c r="Z194" s="92">
        <f t="shared" ref="Z194:AD194" si="88">Z195+Z198+Z199+Z200</f>
        <v>41332125.889999993</v>
      </c>
      <c r="AA194" s="92">
        <f t="shared" si="88"/>
        <v>0</v>
      </c>
      <c r="AB194" s="92">
        <f t="shared" si="88"/>
        <v>9800913.6300000008</v>
      </c>
      <c r="AC194" s="92">
        <f t="shared" si="88"/>
        <v>7053144.29</v>
      </c>
      <c r="AD194" s="92">
        <f t="shared" si="88"/>
        <v>83704.259999999995</v>
      </c>
      <c r="AE194" s="99">
        <f t="shared" si="59"/>
        <v>51049335.259999998</v>
      </c>
      <c r="AF194" s="90">
        <f t="shared" si="60"/>
        <v>48385270.179999992</v>
      </c>
      <c r="AG194" s="234">
        <f>AG195+AG198+AG199+AG200</f>
        <v>51133039.519999996</v>
      </c>
      <c r="AH194" s="65">
        <f t="shared" si="82"/>
        <v>0.39984068819176627</v>
      </c>
      <c r="AI194" s="65">
        <v>0.37263243173870747</v>
      </c>
      <c r="AJ194" s="65">
        <f t="shared" si="65"/>
        <v>2.7208256453058799E-2</v>
      </c>
      <c r="AK194" s="44">
        <f t="shared" si="56"/>
        <v>0.36604615032653026</v>
      </c>
      <c r="AL194" s="72"/>
      <c r="AM194" s="81"/>
      <c r="AN194" s="81"/>
      <c r="AO194" s="81"/>
      <c r="AP194" s="72"/>
      <c r="AQ194" s="81"/>
      <c r="AR194" s="81"/>
      <c r="AS194" s="82"/>
    </row>
    <row r="195" spans="1:45" s="159" customFormat="1" ht="115.5">
      <c r="A195" s="94" t="s">
        <v>548</v>
      </c>
      <c r="B195" s="95" t="s">
        <v>549</v>
      </c>
      <c r="C195" s="96" t="s">
        <v>380</v>
      </c>
      <c r="D195" s="96" t="s">
        <v>231</v>
      </c>
      <c r="E195" s="100"/>
      <c r="F195" s="72">
        <f>F196+F197</f>
        <v>109144798.45582801</v>
      </c>
      <c r="G195" s="72"/>
      <c r="H195" s="72">
        <f>H196+H197</f>
        <v>109144798.45582801</v>
      </c>
      <c r="I195" s="72"/>
      <c r="J195" s="72">
        <f>J196+J197</f>
        <v>109144798.45582801</v>
      </c>
      <c r="K195" s="62" t="s">
        <v>232</v>
      </c>
      <c r="L195" s="72">
        <f>L196+L197</f>
        <v>11806612</v>
      </c>
      <c r="M195" s="72">
        <f>M196+M197</f>
        <v>11806612</v>
      </c>
      <c r="N195" s="73">
        <f t="shared" si="53"/>
        <v>120951410.45582801</v>
      </c>
      <c r="O195" s="163">
        <f t="shared" ref="O195" si="89">O196+O197</f>
        <v>72077167.060000002</v>
      </c>
      <c r="P195" s="98">
        <f>P196+P197</f>
        <v>88326189.760000005</v>
      </c>
      <c r="Q195" s="85">
        <f t="shared" si="78"/>
        <v>0.80925697797450691</v>
      </c>
      <c r="R195" s="85">
        <v>0.80687336534540588</v>
      </c>
      <c r="S195" s="85">
        <f t="shared" si="79"/>
        <v>2.3836126291010284E-3</v>
      </c>
      <c r="T195" s="85">
        <f t="shared" si="86"/>
        <v>0.73026175905784185</v>
      </c>
      <c r="U195" s="99">
        <f>U196+U197</f>
        <v>84083816.200000003</v>
      </c>
      <c r="V195" s="85">
        <f t="shared" si="80"/>
        <v>0.77038775452070274</v>
      </c>
      <c r="W195" s="86">
        <v>0.76800414189160171</v>
      </c>
      <c r="X195" s="85">
        <f t="shared" si="81"/>
        <v>2.3836126291010284E-3</v>
      </c>
      <c r="Y195" s="85">
        <f t="shared" si="55"/>
        <v>0.69518673559170918</v>
      </c>
      <c r="Z195" s="99">
        <f t="shared" ref="Z195:AD195" si="90">Z196+Z197</f>
        <v>41332125.889999993</v>
      </c>
      <c r="AA195" s="99">
        <f t="shared" si="90"/>
        <v>0</v>
      </c>
      <c r="AB195" s="99">
        <f t="shared" si="90"/>
        <v>9800913.6300000008</v>
      </c>
      <c r="AC195" s="99">
        <f t="shared" si="90"/>
        <v>7053144.29</v>
      </c>
      <c r="AD195" s="99">
        <f t="shared" si="90"/>
        <v>83704.259999999995</v>
      </c>
      <c r="AE195" s="99">
        <f t="shared" si="59"/>
        <v>51049335.259999998</v>
      </c>
      <c r="AF195" s="90">
        <f t="shared" si="60"/>
        <v>48385270.179999992</v>
      </c>
      <c r="AG195" s="238">
        <f>AG196+AG197</f>
        <v>51133039.519999996</v>
      </c>
      <c r="AH195" s="75">
        <f t="shared" si="82"/>
        <v>0.46848810244213374</v>
      </c>
      <c r="AI195" s="75">
        <v>0.43660854437589958</v>
      </c>
      <c r="AJ195" s="75">
        <f t="shared" si="65"/>
        <v>3.1879558066234159E-2</v>
      </c>
      <c r="AK195" s="80">
        <f t="shared" si="56"/>
        <v>0.42275686845895866</v>
      </c>
      <c r="AL195" s="72"/>
      <c r="AM195" s="81"/>
      <c r="AN195" s="81"/>
      <c r="AO195" s="81"/>
      <c r="AP195" s="72"/>
      <c r="AQ195" s="81"/>
      <c r="AR195" s="81"/>
      <c r="AS195" s="82"/>
    </row>
    <row r="196" spans="1:45" s="11" customFormat="1" ht="99">
      <c r="A196" s="69" t="s">
        <v>105</v>
      </c>
      <c r="B196" s="70" t="s">
        <v>550</v>
      </c>
      <c r="C196" s="71" t="s">
        <v>380</v>
      </c>
      <c r="D196" s="71" t="s">
        <v>369</v>
      </c>
      <c r="E196" s="161">
        <v>137940020</v>
      </c>
      <c r="F196" s="72">
        <f>E196*$E$5</f>
        <v>96944797.816080004</v>
      </c>
      <c r="G196" s="161">
        <v>137940020</v>
      </c>
      <c r="H196" s="77">
        <f>G196*$G$5</f>
        <v>96944797.816080004</v>
      </c>
      <c r="I196" s="161">
        <v>137940020</v>
      </c>
      <c r="J196" s="72">
        <f>I196*$I$5</f>
        <v>96944797.816080004</v>
      </c>
      <c r="K196" s="62" t="s">
        <v>232</v>
      </c>
      <c r="L196" s="72">
        <v>11806612</v>
      </c>
      <c r="M196" s="72">
        <f>L196</f>
        <v>11806612</v>
      </c>
      <c r="N196" s="73">
        <f t="shared" si="53"/>
        <v>108751409.81608</v>
      </c>
      <c r="O196" s="160">
        <v>62459773.060000002</v>
      </c>
      <c r="P196" s="90">
        <v>77441543.5</v>
      </c>
      <c r="Q196" s="85">
        <f t="shared" si="78"/>
        <v>0.79882103263466664</v>
      </c>
      <c r="R196" s="86">
        <v>0.79882103263466664</v>
      </c>
      <c r="S196" s="85">
        <f t="shared" si="79"/>
        <v>0</v>
      </c>
      <c r="T196" s="85">
        <f t="shared" si="86"/>
        <v>0.71209691562591104</v>
      </c>
      <c r="U196" s="90">
        <v>73199169.939999998</v>
      </c>
      <c r="V196" s="85">
        <f t="shared" si="80"/>
        <v>0.7550603187483117</v>
      </c>
      <c r="W196" s="85">
        <v>0.7550603187483117</v>
      </c>
      <c r="X196" s="85">
        <f t="shared" si="81"/>
        <v>0</v>
      </c>
      <c r="Y196" s="85">
        <f t="shared" si="55"/>
        <v>0.67308708975629994</v>
      </c>
      <c r="Z196" s="89">
        <v>40752218.479999997</v>
      </c>
      <c r="AA196" s="89"/>
      <c r="AB196" s="89"/>
      <c r="AC196" s="89">
        <v>0</v>
      </c>
      <c r="AD196" s="89">
        <v>0</v>
      </c>
      <c r="AE196" s="89">
        <f t="shared" si="59"/>
        <v>40752218.479999997</v>
      </c>
      <c r="AF196" s="90">
        <f t="shared" si="60"/>
        <v>40752218.479999997</v>
      </c>
      <c r="AG196" s="239">
        <f>SUM(Z196:AB196)</f>
        <v>40752218.479999997</v>
      </c>
      <c r="AH196" s="75">
        <f t="shared" si="82"/>
        <v>0.42036519130519578</v>
      </c>
      <c r="AI196" s="75">
        <v>0.3905327212278763</v>
      </c>
      <c r="AJ196" s="75">
        <f t="shared" si="65"/>
        <v>2.9832470077319484E-2</v>
      </c>
      <c r="AK196" s="80">
        <f t="shared" si="56"/>
        <v>0.374728185583249</v>
      </c>
      <c r="AL196" s="72"/>
      <c r="AM196" s="81"/>
      <c r="AN196" s="81"/>
      <c r="AO196" s="81"/>
      <c r="AP196" s="72"/>
      <c r="AQ196" s="81"/>
      <c r="AR196" s="81"/>
      <c r="AS196" s="82"/>
    </row>
    <row r="197" spans="1:45" s="11" customFormat="1" ht="49.5">
      <c r="A197" s="69" t="s">
        <v>88</v>
      </c>
      <c r="B197" s="70" t="s">
        <v>551</v>
      </c>
      <c r="C197" s="71" t="s">
        <v>380</v>
      </c>
      <c r="D197" s="71" t="s">
        <v>238</v>
      </c>
      <c r="E197" s="161">
        <v>17359037</v>
      </c>
      <c r="F197" s="72">
        <f>E197*$E$5</f>
        <v>12200000.639748</v>
      </c>
      <c r="G197" s="161">
        <v>17359037</v>
      </c>
      <c r="H197" s="77">
        <f>G197*$G$5</f>
        <v>12200000.639748</v>
      </c>
      <c r="I197" s="161">
        <v>17359037</v>
      </c>
      <c r="J197" s="72">
        <f>I197*$I$5</f>
        <v>12200000.639748</v>
      </c>
      <c r="K197" s="62" t="s">
        <v>232</v>
      </c>
      <c r="L197" s="72">
        <v>0</v>
      </c>
      <c r="M197" s="72"/>
      <c r="N197" s="73">
        <f t="shared" si="53"/>
        <v>12200000.639748</v>
      </c>
      <c r="O197" s="160">
        <v>9617394</v>
      </c>
      <c r="P197" s="90">
        <v>10884646.26</v>
      </c>
      <c r="Q197" s="85">
        <f t="shared" si="78"/>
        <v>0.89218407288746093</v>
      </c>
      <c r="R197" s="86">
        <v>0.8708595723663386</v>
      </c>
      <c r="S197" s="85">
        <f t="shared" si="79"/>
        <v>2.1324500521122336E-2</v>
      </c>
      <c r="T197" s="85">
        <f t="shared" si="86"/>
        <v>0.89218407288746093</v>
      </c>
      <c r="U197" s="90">
        <v>10884646.26</v>
      </c>
      <c r="V197" s="85">
        <f t="shared" si="80"/>
        <v>0.89218407288746093</v>
      </c>
      <c r="W197" s="85">
        <v>0.8708595723663386</v>
      </c>
      <c r="X197" s="85">
        <f t="shared" si="81"/>
        <v>2.1324500521122336E-2</v>
      </c>
      <c r="Y197" s="85">
        <f t="shared" si="55"/>
        <v>0.89218407288746093</v>
      </c>
      <c r="Z197" s="89">
        <v>579907.40999999992</v>
      </c>
      <c r="AA197" s="89"/>
      <c r="AB197" s="89">
        <v>9800913.6300000008</v>
      </c>
      <c r="AC197" s="89">
        <v>7053144.29</v>
      </c>
      <c r="AD197" s="89">
        <v>83704.259999999995</v>
      </c>
      <c r="AE197" s="89">
        <f t="shared" si="59"/>
        <v>10297116.780000001</v>
      </c>
      <c r="AF197" s="90">
        <f t="shared" si="60"/>
        <v>7633051.7000000002</v>
      </c>
      <c r="AG197" s="239">
        <f>SUM(Z197:AB197)</f>
        <v>10380821.040000001</v>
      </c>
      <c r="AH197" s="75">
        <f t="shared" si="82"/>
        <v>0.85088692587268788</v>
      </c>
      <c r="AI197" s="75">
        <v>0.802740603807238</v>
      </c>
      <c r="AJ197" s="75">
        <f t="shared" si="65"/>
        <v>4.8146322065449887E-2</v>
      </c>
      <c r="AK197" s="80">
        <f t="shared" si="56"/>
        <v>0.85088692587268788</v>
      </c>
      <c r="AL197" s="72"/>
      <c r="AM197" s="81"/>
      <c r="AN197" s="81"/>
      <c r="AO197" s="81"/>
      <c r="AP197" s="72"/>
      <c r="AQ197" s="81"/>
      <c r="AR197" s="81"/>
      <c r="AS197" s="82"/>
    </row>
    <row r="198" spans="1:45" s="11" customFormat="1" ht="66">
      <c r="A198" s="69" t="s">
        <v>106</v>
      </c>
      <c r="B198" s="70" t="s">
        <v>552</v>
      </c>
      <c r="C198" s="71" t="s">
        <v>380</v>
      </c>
      <c r="D198" s="71" t="s">
        <v>369</v>
      </c>
      <c r="E198" s="161">
        <v>3628324</v>
      </c>
      <c r="F198" s="72">
        <f>E198*$E$5</f>
        <v>2550000.6204960002</v>
      </c>
      <c r="G198" s="77">
        <v>3628324</v>
      </c>
      <c r="H198" s="77">
        <f>G198*$G$5</f>
        <v>2550000.6204960002</v>
      </c>
      <c r="I198" s="161">
        <v>3628324</v>
      </c>
      <c r="J198" s="72">
        <f>I198*$I$5</f>
        <v>2550000.6204960002</v>
      </c>
      <c r="K198" s="62" t="s">
        <v>232</v>
      </c>
      <c r="L198" s="72">
        <v>0</v>
      </c>
      <c r="M198" s="72"/>
      <c r="N198" s="73">
        <f t="shared" si="53"/>
        <v>2550000.6204960002</v>
      </c>
      <c r="O198" s="160">
        <v>0</v>
      </c>
      <c r="P198" s="90">
        <v>0</v>
      </c>
      <c r="Q198" s="85">
        <f t="shared" si="78"/>
        <v>0</v>
      </c>
      <c r="R198" s="86">
        <v>0</v>
      </c>
      <c r="S198" s="85">
        <f t="shared" si="79"/>
        <v>0</v>
      </c>
      <c r="T198" s="85">
        <f t="shared" si="86"/>
        <v>0</v>
      </c>
      <c r="U198" s="90">
        <v>0</v>
      </c>
      <c r="V198" s="85">
        <f t="shared" si="80"/>
        <v>0</v>
      </c>
      <c r="W198" s="86">
        <v>0</v>
      </c>
      <c r="X198" s="85">
        <f t="shared" si="81"/>
        <v>0</v>
      </c>
      <c r="Y198" s="85">
        <f t="shared" si="55"/>
        <v>0</v>
      </c>
      <c r="Z198" s="89">
        <v>0</v>
      </c>
      <c r="AA198" s="89">
        <v>0</v>
      </c>
      <c r="AB198" s="89">
        <v>0</v>
      </c>
      <c r="AC198" s="89">
        <v>0</v>
      </c>
      <c r="AD198" s="89">
        <v>0</v>
      </c>
      <c r="AE198" s="89">
        <f t="shared" si="59"/>
        <v>0</v>
      </c>
      <c r="AF198" s="90">
        <f t="shared" si="60"/>
        <v>0</v>
      </c>
      <c r="AG198" s="239">
        <f>SUM(Z198:AB198)</f>
        <v>0</v>
      </c>
      <c r="AH198" s="75">
        <f t="shared" si="82"/>
        <v>0</v>
      </c>
      <c r="AI198" s="75">
        <v>0</v>
      </c>
      <c r="AJ198" s="75">
        <f t="shared" si="65"/>
        <v>0</v>
      </c>
      <c r="AK198" s="80">
        <f t="shared" si="56"/>
        <v>0</v>
      </c>
      <c r="AL198" s="72"/>
      <c r="AM198" s="81"/>
      <c r="AN198" s="81"/>
      <c r="AO198" s="81"/>
      <c r="AP198" s="72"/>
      <c r="AQ198" s="81"/>
      <c r="AR198" s="81"/>
      <c r="AS198" s="82"/>
    </row>
    <row r="199" spans="1:45" s="11" customFormat="1" ht="165">
      <c r="A199" s="69" t="s">
        <v>96</v>
      </c>
      <c r="B199" s="70" t="s">
        <v>553</v>
      </c>
      <c r="C199" s="71" t="s">
        <v>380</v>
      </c>
      <c r="D199" s="71" t="s">
        <v>536</v>
      </c>
      <c r="E199" s="161">
        <v>23034492</v>
      </c>
      <c r="F199" s="72">
        <f>E199*$E$5</f>
        <v>16188733.115567999</v>
      </c>
      <c r="G199" s="161">
        <v>23034492</v>
      </c>
      <c r="H199" s="77">
        <f>G199*$G$5</f>
        <v>16188733.115567999</v>
      </c>
      <c r="I199" s="161">
        <v>23034492</v>
      </c>
      <c r="J199" s="72">
        <f>I199*$I$5</f>
        <v>16188733.115567999</v>
      </c>
      <c r="K199" s="62" t="s">
        <v>232</v>
      </c>
      <c r="L199" s="72">
        <v>0</v>
      </c>
      <c r="M199" s="72"/>
      <c r="N199" s="73">
        <f t="shared" si="53"/>
        <v>16188733.115567999</v>
      </c>
      <c r="O199" s="160">
        <v>149820</v>
      </c>
      <c r="P199" s="90">
        <v>16188733</v>
      </c>
      <c r="Q199" s="85">
        <f t="shared" si="78"/>
        <v>0.999999992861208</v>
      </c>
      <c r="R199" s="86">
        <v>0.999999992861208</v>
      </c>
      <c r="S199" s="85">
        <f t="shared" si="79"/>
        <v>0</v>
      </c>
      <c r="T199" s="85">
        <f t="shared" si="86"/>
        <v>0.999999992861208</v>
      </c>
      <c r="U199" s="90">
        <v>16188733</v>
      </c>
      <c r="V199" s="85">
        <f t="shared" si="80"/>
        <v>0.999999992861208</v>
      </c>
      <c r="W199" s="86">
        <v>0.999999992861208</v>
      </c>
      <c r="X199" s="85">
        <f t="shared" si="81"/>
        <v>0</v>
      </c>
      <c r="Y199" s="85">
        <f t="shared" si="55"/>
        <v>0.999999992861208</v>
      </c>
      <c r="Z199" s="89">
        <v>0</v>
      </c>
      <c r="AA199" s="89">
        <v>0</v>
      </c>
      <c r="AB199" s="89">
        <v>0</v>
      </c>
      <c r="AC199" s="89">
        <v>0</v>
      </c>
      <c r="AD199" s="89">
        <v>0</v>
      </c>
      <c r="AE199" s="89">
        <f t="shared" si="59"/>
        <v>0</v>
      </c>
      <c r="AF199" s="90">
        <f t="shared" si="60"/>
        <v>0</v>
      </c>
      <c r="AG199" s="239">
        <f>SUM(Z199:AB199)</f>
        <v>0</v>
      </c>
      <c r="AH199" s="75">
        <f t="shared" si="82"/>
        <v>0</v>
      </c>
      <c r="AI199" s="75">
        <v>0</v>
      </c>
      <c r="AJ199" s="75">
        <f t="shared" si="65"/>
        <v>0</v>
      </c>
      <c r="AK199" s="80">
        <f t="shared" si="56"/>
        <v>0</v>
      </c>
      <c r="AL199" s="72"/>
      <c r="AM199" s="81"/>
      <c r="AN199" s="81"/>
      <c r="AO199" s="81"/>
      <c r="AP199" s="72"/>
      <c r="AQ199" s="81"/>
      <c r="AR199" s="81"/>
      <c r="AS199" s="82"/>
    </row>
    <row r="200" spans="1:45" s="159" customFormat="1" ht="198">
      <c r="A200" s="94" t="s">
        <v>554</v>
      </c>
      <c r="B200" s="95" t="s">
        <v>555</v>
      </c>
      <c r="C200" s="96" t="s">
        <v>398</v>
      </c>
      <c r="D200" s="96" t="s">
        <v>536</v>
      </c>
      <c r="E200" s="100"/>
      <c r="F200" s="72">
        <f>F201+F202</f>
        <v>0</v>
      </c>
      <c r="G200" s="72"/>
      <c r="H200" s="72">
        <f>H201+H202</f>
        <v>0</v>
      </c>
      <c r="I200" s="72"/>
      <c r="J200" s="72">
        <f>J201+J202</f>
        <v>0</v>
      </c>
      <c r="K200" s="62" t="s">
        <v>232</v>
      </c>
      <c r="L200" s="72">
        <f>L201+L202</f>
        <v>0</v>
      </c>
      <c r="M200" s="72">
        <f>M201+M202</f>
        <v>0</v>
      </c>
      <c r="N200" s="73">
        <f t="shared" si="53"/>
        <v>0</v>
      </c>
      <c r="O200" s="163">
        <f t="shared" ref="O200" si="91">O201+O202</f>
        <v>0</v>
      </c>
      <c r="P200" s="90">
        <v>0</v>
      </c>
      <c r="Q200" s="85"/>
      <c r="R200" s="85"/>
      <c r="S200" s="85"/>
      <c r="T200" s="85" t="e">
        <f t="shared" si="86"/>
        <v>#DIV/0!</v>
      </c>
      <c r="U200" s="90">
        <v>0</v>
      </c>
      <c r="V200" s="85"/>
      <c r="W200" s="86"/>
      <c r="X200" s="85"/>
      <c r="Y200" s="85" t="e">
        <f t="shared" si="55"/>
        <v>#DIV/0!</v>
      </c>
      <c r="Z200" s="89">
        <v>0</v>
      </c>
      <c r="AA200" s="89">
        <v>0</v>
      </c>
      <c r="AB200" s="89">
        <v>0</v>
      </c>
      <c r="AC200" s="89">
        <v>0</v>
      </c>
      <c r="AD200" s="89">
        <f t="shared" ref="AD200" si="92">AD201+AD202</f>
        <v>0</v>
      </c>
      <c r="AE200" s="89">
        <f t="shared" si="59"/>
        <v>0</v>
      </c>
      <c r="AF200" s="90">
        <f t="shared" si="60"/>
        <v>0</v>
      </c>
      <c r="AG200" s="238">
        <f>AG201+AG202</f>
        <v>0</v>
      </c>
      <c r="AH200" s="75"/>
      <c r="AI200" s="75"/>
      <c r="AJ200" s="75"/>
      <c r="AK200" s="80" t="e">
        <f t="shared" si="56"/>
        <v>#DIV/0!</v>
      </c>
      <c r="AL200" s="72"/>
      <c r="AM200" s="81"/>
      <c r="AN200" s="81"/>
      <c r="AO200" s="81"/>
      <c r="AP200" s="72"/>
      <c r="AQ200" s="81"/>
      <c r="AR200" s="81"/>
      <c r="AS200" s="82"/>
    </row>
    <row r="201" spans="1:45" s="11" customFormat="1" ht="132">
      <c r="A201" s="69" t="s">
        <v>97</v>
      </c>
      <c r="B201" s="70" t="s">
        <v>556</v>
      </c>
      <c r="C201" s="71" t="s">
        <v>380</v>
      </c>
      <c r="D201" s="71" t="s">
        <v>536</v>
      </c>
      <c r="E201" s="161">
        <v>0</v>
      </c>
      <c r="F201" s="72">
        <f>E201*$E$5</f>
        <v>0</v>
      </c>
      <c r="G201" s="77">
        <v>0</v>
      </c>
      <c r="H201" s="77">
        <f>G201*$G$5</f>
        <v>0</v>
      </c>
      <c r="I201" s="161">
        <v>0</v>
      </c>
      <c r="J201" s="72">
        <f>I201*$I$5</f>
        <v>0</v>
      </c>
      <c r="K201" s="62" t="s">
        <v>232</v>
      </c>
      <c r="L201" s="72">
        <v>0</v>
      </c>
      <c r="M201" s="72"/>
      <c r="N201" s="73">
        <f t="shared" si="53"/>
        <v>0</v>
      </c>
      <c r="O201" s="160">
        <v>0</v>
      </c>
      <c r="P201" s="90">
        <v>0</v>
      </c>
      <c r="Q201" s="85"/>
      <c r="R201" s="86"/>
      <c r="S201" s="85"/>
      <c r="T201" s="85" t="e">
        <f t="shared" si="86"/>
        <v>#DIV/0!</v>
      </c>
      <c r="U201" s="90">
        <v>0</v>
      </c>
      <c r="V201" s="85"/>
      <c r="W201" s="86"/>
      <c r="X201" s="85"/>
      <c r="Y201" s="85" t="e">
        <f t="shared" si="55"/>
        <v>#DIV/0!</v>
      </c>
      <c r="Z201" s="89">
        <v>0</v>
      </c>
      <c r="AA201" s="89">
        <v>0</v>
      </c>
      <c r="AB201" s="89">
        <v>0</v>
      </c>
      <c r="AC201" s="89">
        <v>0</v>
      </c>
      <c r="AD201" s="89">
        <v>0</v>
      </c>
      <c r="AE201" s="89">
        <f t="shared" si="59"/>
        <v>0</v>
      </c>
      <c r="AF201" s="90">
        <f t="shared" si="60"/>
        <v>0</v>
      </c>
      <c r="AG201" s="239">
        <f>SUM(Z201:AB201)</f>
        <v>0</v>
      </c>
      <c r="AH201" s="75"/>
      <c r="AI201" s="75"/>
      <c r="AJ201" s="75"/>
      <c r="AK201" s="80" t="e">
        <f t="shared" si="56"/>
        <v>#DIV/0!</v>
      </c>
      <c r="AL201" s="72"/>
      <c r="AM201" s="81"/>
      <c r="AN201" s="81"/>
      <c r="AO201" s="81"/>
      <c r="AP201" s="72"/>
      <c r="AQ201" s="81"/>
      <c r="AR201" s="81"/>
      <c r="AS201" s="82"/>
    </row>
    <row r="202" spans="1:45" s="11" customFormat="1" ht="82.5">
      <c r="A202" s="69" t="s">
        <v>98</v>
      </c>
      <c r="B202" s="70" t="s">
        <v>557</v>
      </c>
      <c r="C202" s="71" t="s">
        <v>380</v>
      </c>
      <c r="D202" s="71" t="s">
        <v>536</v>
      </c>
      <c r="E202" s="161">
        <v>0</v>
      </c>
      <c r="F202" s="72">
        <f>E202*$E$5</f>
        <v>0</v>
      </c>
      <c r="G202" s="77">
        <v>0</v>
      </c>
      <c r="H202" s="77">
        <f>G202*$G$5</f>
        <v>0</v>
      </c>
      <c r="I202" s="161">
        <v>0</v>
      </c>
      <c r="J202" s="72">
        <f>I202*$I$5</f>
        <v>0</v>
      </c>
      <c r="K202" s="62" t="s">
        <v>232</v>
      </c>
      <c r="L202" s="72">
        <v>0</v>
      </c>
      <c r="M202" s="72"/>
      <c r="N202" s="73">
        <f t="shared" si="53"/>
        <v>0</v>
      </c>
      <c r="O202" s="160">
        <v>0</v>
      </c>
      <c r="P202" s="90">
        <v>0</v>
      </c>
      <c r="Q202" s="85"/>
      <c r="R202" s="86"/>
      <c r="S202" s="85"/>
      <c r="T202" s="85" t="e">
        <f t="shared" si="86"/>
        <v>#DIV/0!</v>
      </c>
      <c r="U202" s="90">
        <v>0</v>
      </c>
      <c r="V202" s="99">
        <v>0</v>
      </c>
      <c r="W202" s="85">
        <v>0</v>
      </c>
      <c r="X202" s="99">
        <f>V202-W202</f>
        <v>0</v>
      </c>
      <c r="Y202" s="85" t="e">
        <f t="shared" si="55"/>
        <v>#DIV/0!</v>
      </c>
      <c r="Z202" s="89">
        <v>0</v>
      </c>
      <c r="AA202" s="89">
        <v>0</v>
      </c>
      <c r="AB202" s="89">
        <v>0</v>
      </c>
      <c r="AC202" s="89">
        <v>0</v>
      </c>
      <c r="AD202" s="89">
        <v>0</v>
      </c>
      <c r="AE202" s="89">
        <f t="shared" si="59"/>
        <v>0</v>
      </c>
      <c r="AF202" s="90">
        <f t="shared" si="60"/>
        <v>0</v>
      </c>
      <c r="AG202" s="239">
        <f>SUM(Z202:AB202)</f>
        <v>0</v>
      </c>
      <c r="AH202" s="75"/>
      <c r="AI202" s="75"/>
      <c r="AJ202" s="75"/>
      <c r="AK202" s="80" t="e">
        <f t="shared" si="56"/>
        <v>#DIV/0!</v>
      </c>
      <c r="AL202" s="72"/>
      <c r="AM202" s="81"/>
      <c r="AN202" s="81"/>
      <c r="AO202" s="81"/>
      <c r="AP202" s="72"/>
      <c r="AQ202" s="81"/>
      <c r="AR202" s="81"/>
      <c r="AS202" s="82"/>
    </row>
    <row r="203" spans="1:45" s="159" customFormat="1" ht="132">
      <c r="A203" s="59" t="s">
        <v>558</v>
      </c>
      <c r="B203" s="60" t="s">
        <v>559</v>
      </c>
      <c r="C203" s="61" t="s">
        <v>487</v>
      </c>
      <c r="D203" s="61" t="s">
        <v>536</v>
      </c>
      <c r="E203" s="64"/>
      <c r="F203" s="62">
        <f>F204+F211</f>
        <v>602279449.62860394</v>
      </c>
      <c r="G203" s="62"/>
      <c r="H203" s="62">
        <f>H204+H211</f>
        <v>602279449.62860394</v>
      </c>
      <c r="I203" s="62"/>
      <c r="J203" s="62">
        <f>J204+J211</f>
        <v>602279449.62860394</v>
      </c>
      <c r="K203" s="62" t="s">
        <v>232</v>
      </c>
      <c r="L203" s="62">
        <f>L204+L211</f>
        <v>35044118</v>
      </c>
      <c r="M203" s="62">
        <f>M204+M211</f>
        <v>29787500.300000001</v>
      </c>
      <c r="N203" s="41">
        <f t="shared" si="53"/>
        <v>632066949.92860389</v>
      </c>
      <c r="O203" s="162">
        <f t="shared" ref="O203" si="93">O204+O211</f>
        <v>346351908.59000003</v>
      </c>
      <c r="P203" s="92">
        <f>P204+P211</f>
        <v>616242923.82999992</v>
      </c>
      <c r="Q203" s="93">
        <f t="shared" ref="Q203:Q224" si="94">P203/J203</f>
        <v>1.0231843776340146</v>
      </c>
      <c r="R203" s="93">
        <v>1.0231843776340146</v>
      </c>
      <c r="S203" s="93">
        <f t="shared" ref="S203:S247" si="95">Q203-R203</f>
        <v>0</v>
      </c>
      <c r="T203" s="93">
        <f t="shared" si="86"/>
        <v>0.97496463610319861</v>
      </c>
      <c r="U203" s="92">
        <f>U204+U211</f>
        <v>616242923.82999992</v>
      </c>
      <c r="V203" s="93">
        <f t="shared" ref="V203:V224" si="96">U203/J203</f>
        <v>1.0231843776340146</v>
      </c>
      <c r="W203" s="141">
        <v>1.0231843776340146</v>
      </c>
      <c r="X203" s="93">
        <f t="shared" ref="X203:X261" si="97">V203-W203</f>
        <v>0</v>
      </c>
      <c r="Y203" s="93">
        <f t="shared" si="55"/>
        <v>0.97496463610319861</v>
      </c>
      <c r="Z203" s="92">
        <f t="shared" ref="Z203:AD203" si="98">Z204+Z211</f>
        <v>184736332.91999999</v>
      </c>
      <c r="AA203" s="92">
        <f t="shared" si="98"/>
        <v>0</v>
      </c>
      <c r="AB203" s="92">
        <f t="shared" si="98"/>
        <v>55453350.75</v>
      </c>
      <c r="AC203" s="92">
        <f t="shared" si="98"/>
        <v>2960379.6500000022</v>
      </c>
      <c r="AD203" s="92">
        <f t="shared" si="98"/>
        <v>22274836</v>
      </c>
      <c r="AE203" s="99">
        <f t="shared" si="59"/>
        <v>220226597.73000002</v>
      </c>
      <c r="AF203" s="90">
        <f t="shared" si="60"/>
        <v>187696712.56999999</v>
      </c>
      <c r="AG203" s="234">
        <f>AG204+AG211</f>
        <v>242501433.73000002</v>
      </c>
      <c r="AH203" s="65">
        <f t="shared" ref="AH203:AH224" si="99">AG203/J203</f>
        <v>0.40263939584778913</v>
      </c>
      <c r="AI203" s="65">
        <v>0.36683318819235894</v>
      </c>
      <c r="AJ203" s="65">
        <f t="shared" ref="AJ203:AJ261" si="100">AH203-AI203</f>
        <v>3.5806207655430189E-2</v>
      </c>
      <c r="AK203" s="44">
        <f t="shared" si="56"/>
        <v>0.38366415734502834</v>
      </c>
      <c r="AL203" s="72"/>
      <c r="AM203" s="81"/>
      <c r="AN203" s="81"/>
      <c r="AO203" s="81"/>
      <c r="AP203" s="72"/>
      <c r="AQ203" s="81"/>
      <c r="AR203" s="81"/>
      <c r="AS203" s="82"/>
    </row>
    <row r="204" spans="1:45" s="159" customFormat="1" ht="99">
      <c r="A204" s="59" t="s">
        <v>560</v>
      </c>
      <c r="B204" s="60" t="s">
        <v>561</v>
      </c>
      <c r="C204" s="61" t="s">
        <v>487</v>
      </c>
      <c r="D204" s="61" t="s">
        <v>231</v>
      </c>
      <c r="E204" s="64"/>
      <c r="F204" s="62">
        <f>F205+F206+F207+F208+F209+F210</f>
        <v>502200160.02860397</v>
      </c>
      <c r="G204" s="62"/>
      <c r="H204" s="62">
        <f>H205+H206+H207+H208+H209+H210</f>
        <v>502200160.02860397</v>
      </c>
      <c r="I204" s="62"/>
      <c r="J204" s="62">
        <f>J205+J206+J207+J208+J209+J210</f>
        <v>502200160.02860397</v>
      </c>
      <c r="K204" s="62" t="s">
        <v>232</v>
      </c>
      <c r="L204" s="62">
        <f>L205+L206+L207+L208+L209+L210</f>
        <v>35044118</v>
      </c>
      <c r="M204" s="62">
        <f>M205+M206+M207+M208+M209+M210</f>
        <v>29787500.300000001</v>
      </c>
      <c r="N204" s="41">
        <f t="shared" ref="N204:N261" si="101">J204+M204</f>
        <v>531987660.32860398</v>
      </c>
      <c r="O204" s="162">
        <f>O205+O206+O207+O208+O209+O210</f>
        <v>322428409.59000003</v>
      </c>
      <c r="P204" s="92">
        <f>P205+P206+P207+P208+P209+P210</f>
        <v>516163634.82999998</v>
      </c>
      <c r="Q204" s="93">
        <f t="shared" si="94"/>
        <v>1.0278046004616979</v>
      </c>
      <c r="R204" s="93">
        <v>1.0278046004616979</v>
      </c>
      <c r="S204" s="93">
        <f t="shared" si="95"/>
        <v>0</v>
      </c>
      <c r="T204" s="93">
        <f t="shared" si="86"/>
        <v>0.97025490123430747</v>
      </c>
      <c r="U204" s="92">
        <f>U205+U206+U207+U208+U209+U210</f>
        <v>516163634.82999998</v>
      </c>
      <c r="V204" s="93">
        <f t="shared" si="96"/>
        <v>1.0278046004616979</v>
      </c>
      <c r="W204" s="93">
        <v>1.0278046004616979</v>
      </c>
      <c r="X204" s="93">
        <f t="shared" si="97"/>
        <v>0</v>
      </c>
      <c r="Y204" s="93">
        <f t="shared" ref="Y204:Y261" si="102">U204/N204</f>
        <v>0.97025490123430747</v>
      </c>
      <c r="Z204" s="92">
        <f t="shared" ref="Z204:AD204" si="103">Z205+Z206+Z207+Z208+Z209</f>
        <v>184736332.91999999</v>
      </c>
      <c r="AA204" s="92">
        <f t="shared" si="103"/>
        <v>0</v>
      </c>
      <c r="AB204" s="92">
        <f t="shared" si="103"/>
        <v>55453350.75</v>
      </c>
      <c r="AC204" s="92">
        <f t="shared" si="103"/>
        <v>2960379.6500000022</v>
      </c>
      <c r="AD204" s="92">
        <f t="shared" si="103"/>
        <v>0</v>
      </c>
      <c r="AE204" s="99">
        <f t="shared" si="59"/>
        <v>242501433.73000002</v>
      </c>
      <c r="AF204" s="90">
        <f t="shared" si="60"/>
        <v>187696712.56999999</v>
      </c>
      <c r="AG204" s="234">
        <f>AG205+AG206+AG207+AG208+AG209+AG210</f>
        <v>242501433.73000002</v>
      </c>
      <c r="AH204" s="65">
        <f t="shared" si="99"/>
        <v>0.48287804949362778</v>
      </c>
      <c r="AI204" s="65">
        <v>0.43993632076384864</v>
      </c>
      <c r="AJ204" s="65">
        <f t="shared" si="100"/>
        <v>4.2941728729779138E-2</v>
      </c>
      <c r="AK204" s="44">
        <f t="shared" ref="AK204:AK261" si="104">AG204/N204</f>
        <v>0.45584033580818223</v>
      </c>
      <c r="AL204" s="72"/>
      <c r="AM204" s="81"/>
      <c r="AN204" s="81"/>
      <c r="AO204" s="81"/>
      <c r="AP204" s="72"/>
      <c r="AQ204" s="81"/>
      <c r="AR204" s="81"/>
      <c r="AS204" s="82"/>
    </row>
    <row r="205" spans="1:45" s="11" customFormat="1" ht="49.5">
      <c r="A205" s="69" t="s">
        <v>127</v>
      </c>
      <c r="B205" s="70" t="s">
        <v>562</v>
      </c>
      <c r="C205" s="71" t="s">
        <v>487</v>
      </c>
      <c r="D205" s="71" t="s">
        <v>536</v>
      </c>
      <c r="E205" s="161">
        <v>308392773</v>
      </c>
      <c r="F205" s="161">
        <f t="shared" ref="F205:F210" si="105">E205*$E$5</f>
        <v>216739674.43549201</v>
      </c>
      <c r="G205" s="161">
        <v>308392773</v>
      </c>
      <c r="H205" s="77">
        <f t="shared" ref="H205:H210" si="106">G205*$G$5</f>
        <v>216739674.43549201</v>
      </c>
      <c r="I205" s="161">
        <v>308392773</v>
      </c>
      <c r="J205" s="72">
        <f t="shared" ref="J205:J210" si="107">I205*$I$5</f>
        <v>216739674.43549201</v>
      </c>
      <c r="K205" s="62" t="s">
        <v>232</v>
      </c>
      <c r="L205" s="72">
        <v>35044118</v>
      </c>
      <c r="M205" s="72">
        <f>L205*0.85</f>
        <v>29787500.300000001</v>
      </c>
      <c r="N205" s="73">
        <f t="shared" si="101"/>
        <v>246527174.73549202</v>
      </c>
      <c r="O205" s="160">
        <v>162738416.06999999</v>
      </c>
      <c r="P205" s="90">
        <v>231700250.34999999</v>
      </c>
      <c r="Q205" s="85">
        <f t="shared" si="94"/>
        <v>1.0690255531363764</v>
      </c>
      <c r="R205" s="86">
        <v>1.0690255531363764</v>
      </c>
      <c r="S205" s="85">
        <f t="shared" si="95"/>
        <v>0</v>
      </c>
      <c r="T205" s="85">
        <f t="shared" si="86"/>
        <v>0.93985683565554035</v>
      </c>
      <c r="U205" s="90">
        <v>231700250.34999999</v>
      </c>
      <c r="V205" s="85">
        <f t="shared" si="96"/>
        <v>1.0690255531363764</v>
      </c>
      <c r="W205" s="85">
        <v>1.0690255531363764</v>
      </c>
      <c r="X205" s="85">
        <f t="shared" si="97"/>
        <v>0</v>
      </c>
      <c r="Y205" s="85">
        <f t="shared" si="102"/>
        <v>0.93985683565554035</v>
      </c>
      <c r="Z205" s="89">
        <v>114917628.42</v>
      </c>
      <c r="AA205" s="89">
        <v>0</v>
      </c>
      <c r="AB205" s="89"/>
      <c r="AC205" s="89">
        <v>0</v>
      </c>
      <c r="AD205" s="89">
        <v>0</v>
      </c>
      <c r="AE205" s="89">
        <f t="shared" si="59"/>
        <v>114917628.42</v>
      </c>
      <c r="AF205" s="90">
        <f t="shared" si="60"/>
        <v>114917628.42</v>
      </c>
      <c r="AG205" s="239">
        <f t="shared" ref="AG205:AG210" si="108">SUM(Z205:AB205)</f>
        <v>114917628.42</v>
      </c>
      <c r="AH205" s="75">
        <f t="shared" si="99"/>
        <v>0.53021039511712842</v>
      </c>
      <c r="AI205" s="75">
        <v>0.50215872554700758</v>
      </c>
      <c r="AJ205" s="75">
        <f t="shared" si="100"/>
        <v>2.8051669570120841E-2</v>
      </c>
      <c r="AK205" s="80">
        <f t="shared" si="104"/>
        <v>0.46614588652670563</v>
      </c>
      <c r="AL205" s="72"/>
      <c r="AM205" s="81"/>
      <c r="AN205" s="81"/>
      <c r="AO205" s="81"/>
      <c r="AP205" s="72"/>
      <c r="AQ205" s="81"/>
      <c r="AR205" s="81"/>
      <c r="AS205" s="82"/>
    </row>
    <row r="206" spans="1:45" s="11" customFormat="1" ht="148.5">
      <c r="A206" s="69" t="s">
        <v>128</v>
      </c>
      <c r="B206" s="70" t="s">
        <v>563</v>
      </c>
      <c r="C206" s="71" t="s">
        <v>487</v>
      </c>
      <c r="D206" s="71" t="s">
        <v>536</v>
      </c>
      <c r="E206" s="161">
        <v>130496200</v>
      </c>
      <c r="F206" s="161">
        <f t="shared" si="105"/>
        <v>91713251.344799995</v>
      </c>
      <c r="G206" s="77">
        <v>130496200</v>
      </c>
      <c r="H206" s="77">
        <f t="shared" si="106"/>
        <v>91713251.344799995</v>
      </c>
      <c r="I206" s="161">
        <v>130496200</v>
      </c>
      <c r="J206" s="72">
        <f t="shared" si="107"/>
        <v>91713251.344799995</v>
      </c>
      <c r="K206" s="62" t="s">
        <v>232</v>
      </c>
      <c r="L206" s="72">
        <v>0</v>
      </c>
      <c r="M206" s="72"/>
      <c r="N206" s="73">
        <f t="shared" si="101"/>
        <v>91713251.344799995</v>
      </c>
      <c r="O206" s="160">
        <v>54069754.530000001</v>
      </c>
      <c r="P206" s="90">
        <v>91713251</v>
      </c>
      <c r="Q206" s="85">
        <f t="shared" si="94"/>
        <v>0.9999999962404561</v>
      </c>
      <c r="R206" s="86">
        <v>0.9999999962404561</v>
      </c>
      <c r="S206" s="85">
        <f t="shared" si="95"/>
        <v>0</v>
      </c>
      <c r="T206" s="85">
        <f t="shared" si="86"/>
        <v>0.9999999962404561</v>
      </c>
      <c r="U206" s="90">
        <v>91713251</v>
      </c>
      <c r="V206" s="85">
        <f t="shared" si="96"/>
        <v>0.9999999962404561</v>
      </c>
      <c r="W206" s="85">
        <v>0.9999999962404561</v>
      </c>
      <c r="X206" s="85">
        <f t="shared" si="97"/>
        <v>0</v>
      </c>
      <c r="Y206" s="85">
        <f t="shared" si="102"/>
        <v>0.9999999962404561</v>
      </c>
      <c r="Z206" s="89">
        <v>25162959.27</v>
      </c>
      <c r="AA206" s="89">
        <v>0</v>
      </c>
      <c r="AB206" s="89">
        <v>23515440.800000001</v>
      </c>
      <c r="AC206" s="89">
        <v>0</v>
      </c>
      <c r="AD206" s="89">
        <v>0</v>
      </c>
      <c r="AE206" s="89">
        <f t="shared" si="59"/>
        <v>48678400.07</v>
      </c>
      <c r="AF206" s="90">
        <f t="shared" si="60"/>
        <v>25162959.27</v>
      </c>
      <c r="AG206" s="239">
        <f t="shared" si="108"/>
        <v>48678400.07</v>
      </c>
      <c r="AH206" s="75">
        <f t="shared" si="99"/>
        <v>0.53076735756528159</v>
      </c>
      <c r="AI206" s="75">
        <v>0.48683979419874274</v>
      </c>
      <c r="AJ206" s="75">
        <f t="shared" si="100"/>
        <v>4.3927563366538858E-2</v>
      </c>
      <c r="AK206" s="80">
        <f t="shared" si="104"/>
        <v>0.53076735756528159</v>
      </c>
      <c r="AL206" s="72"/>
      <c r="AM206" s="81"/>
      <c r="AN206" s="81"/>
      <c r="AO206" s="81"/>
      <c r="AP206" s="72"/>
      <c r="AQ206" s="81"/>
      <c r="AR206" s="81"/>
      <c r="AS206" s="82"/>
    </row>
    <row r="207" spans="1:45" s="11" customFormat="1" ht="115.5">
      <c r="A207" s="69" t="s">
        <v>129</v>
      </c>
      <c r="B207" s="70" t="s">
        <v>564</v>
      </c>
      <c r="C207" s="71" t="s">
        <v>487</v>
      </c>
      <c r="D207" s="71" t="s">
        <v>536</v>
      </c>
      <c r="E207" s="161">
        <v>166199474</v>
      </c>
      <c r="F207" s="161">
        <f t="shared" si="105"/>
        <v>116805655.12509599</v>
      </c>
      <c r="G207" s="161">
        <v>166199474</v>
      </c>
      <c r="H207" s="77">
        <f t="shared" si="106"/>
        <v>116805655.12509599</v>
      </c>
      <c r="I207" s="161">
        <v>166199474</v>
      </c>
      <c r="J207" s="72">
        <f t="shared" si="107"/>
        <v>116805655.12509599</v>
      </c>
      <c r="K207" s="62" t="s">
        <v>232</v>
      </c>
      <c r="L207" s="72">
        <v>0</v>
      </c>
      <c r="M207" s="72"/>
      <c r="N207" s="73">
        <f t="shared" si="101"/>
        <v>116805655.12509599</v>
      </c>
      <c r="O207" s="160">
        <v>73690290.150000006</v>
      </c>
      <c r="P207" s="90">
        <v>115864042.66</v>
      </c>
      <c r="Q207" s="85">
        <f t="shared" si="94"/>
        <v>0.99193863975089602</v>
      </c>
      <c r="R207" s="86">
        <v>0.99193863975089602</v>
      </c>
      <c r="S207" s="85">
        <f t="shared" si="95"/>
        <v>0</v>
      </c>
      <c r="T207" s="85">
        <f t="shared" si="86"/>
        <v>0.99193863975089602</v>
      </c>
      <c r="U207" s="90">
        <v>115864042.66</v>
      </c>
      <c r="V207" s="85">
        <f t="shared" si="96"/>
        <v>0.99193863975089602</v>
      </c>
      <c r="W207" s="86">
        <v>0.99193863975089602</v>
      </c>
      <c r="X207" s="85">
        <f t="shared" si="97"/>
        <v>0</v>
      </c>
      <c r="Y207" s="85">
        <f t="shared" si="102"/>
        <v>0.99193863975089602</v>
      </c>
      <c r="Z207" s="89">
        <v>29975083.260000002</v>
      </c>
      <c r="AA207" s="89">
        <v>0</v>
      </c>
      <c r="AB207" s="89">
        <v>20546507.050000001</v>
      </c>
      <c r="AC207" s="89">
        <v>2196478.25</v>
      </c>
      <c r="AD207" s="89">
        <v>0</v>
      </c>
      <c r="AE207" s="89">
        <f t="shared" si="59"/>
        <v>50521590.310000002</v>
      </c>
      <c r="AF207" s="90">
        <f t="shared" si="60"/>
        <v>32171561.510000002</v>
      </c>
      <c r="AG207" s="239">
        <f t="shared" si="108"/>
        <v>50521590.310000002</v>
      </c>
      <c r="AH207" s="75">
        <f t="shared" si="99"/>
        <v>0.43252692051504371</v>
      </c>
      <c r="AI207" s="75">
        <v>0.41684095455699355</v>
      </c>
      <c r="AJ207" s="75">
        <f t="shared" si="100"/>
        <v>1.5685965958050163E-2</v>
      </c>
      <c r="AK207" s="80">
        <f t="shared" si="104"/>
        <v>0.43252692051504371</v>
      </c>
      <c r="AL207" s="72"/>
      <c r="AM207" s="81"/>
      <c r="AN207" s="81"/>
      <c r="AO207" s="81"/>
      <c r="AP207" s="72"/>
      <c r="AQ207" s="81"/>
      <c r="AR207" s="81"/>
      <c r="AS207" s="82"/>
    </row>
    <row r="208" spans="1:45" s="11" customFormat="1" ht="66">
      <c r="A208" s="69" t="s">
        <v>130</v>
      </c>
      <c r="B208" s="70" t="s">
        <v>565</v>
      </c>
      <c r="C208" s="71" t="s">
        <v>487</v>
      </c>
      <c r="D208" s="71" t="s">
        <v>536</v>
      </c>
      <c r="E208" s="161">
        <v>64631943</v>
      </c>
      <c r="F208" s="161">
        <f t="shared" si="105"/>
        <v>45423588.068172</v>
      </c>
      <c r="G208" s="77">
        <v>64631943</v>
      </c>
      <c r="H208" s="77">
        <f t="shared" si="106"/>
        <v>45423588.068172</v>
      </c>
      <c r="I208" s="161">
        <v>64631943</v>
      </c>
      <c r="J208" s="72">
        <f t="shared" si="107"/>
        <v>45423588.068172</v>
      </c>
      <c r="K208" s="62" t="s">
        <v>232</v>
      </c>
      <c r="L208" s="72">
        <v>0</v>
      </c>
      <c r="M208" s="72"/>
      <c r="N208" s="73">
        <f t="shared" si="101"/>
        <v>45423588.068172</v>
      </c>
      <c r="O208" s="160">
        <v>10607790.289999999</v>
      </c>
      <c r="P208" s="90">
        <v>45423588</v>
      </c>
      <c r="Q208" s="85">
        <f t="shared" si="94"/>
        <v>0.99999999849919385</v>
      </c>
      <c r="R208" s="86">
        <v>0.99999999849919385</v>
      </c>
      <c r="S208" s="85">
        <f t="shared" si="95"/>
        <v>0</v>
      </c>
      <c r="T208" s="85">
        <f t="shared" si="86"/>
        <v>0.99999999849919385</v>
      </c>
      <c r="U208" s="90">
        <v>45423588</v>
      </c>
      <c r="V208" s="85">
        <f t="shared" si="96"/>
        <v>0.99999999849919385</v>
      </c>
      <c r="W208" s="86">
        <v>0.99999999849919385</v>
      </c>
      <c r="X208" s="85">
        <f t="shared" si="97"/>
        <v>0</v>
      </c>
      <c r="Y208" s="85">
        <f t="shared" si="102"/>
        <v>0.99999999849919385</v>
      </c>
      <c r="Z208" s="89">
        <v>406624.46</v>
      </c>
      <c r="AA208" s="89">
        <v>0</v>
      </c>
      <c r="AB208" s="89">
        <v>7312734.0599999996</v>
      </c>
      <c r="AC208" s="89">
        <v>0</v>
      </c>
      <c r="AD208" s="89">
        <v>0</v>
      </c>
      <c r="AE208" s="89">
        <f t="shared" si="59"/>
        <v>7719358.5199999996</v>
      </c>
      <c r="AF208" s="90">
        <f t="shared" si="60"/>
        <v>406624.46</v>
      </c>
      <c r="AG208" s="239">
        <f t="shared" si="108"/>
        <v>7719358.5199999996</v>
      </c>
      <c r="AH208" s="75">
        <f t="shared" si="99"/>
        <v>0.16994162831026777</v>
      </c>
      <c r="AI208" s="75">
        <v>8.9518348790442424E-3</v>
      </c>
      <c r="AJ208" s="75">
        <f t="shared" si="100"/>
        <v>0.16098979343122352</v>
      </c>
      <c r="AK208" s="80">
        <f t="shared" si="104"/>
        <v>0.16994162831026777</v>
      </c>
      <c r="AL208" s="72"/>
      <c r="AM208" s="81"/>
      <c r="AN208" s="81"/>
      <c r="AO208" s="81"/>
      <c r="AP208" s="72"/>
      <c r="AQ208" s="81"/>
      <c r="AR208" s="81"/>
      <c r="AS208" s="82"/>
    </row>
    <row r="209" spans="1:45" s="11" customFormat="1" ht="82.5">
      <c r="A209" s="69" t="s">
        <v>131</v>
      </c>
      <c r="B209" s="70" t="s">
        <v>566</v>
      </c>
      <c r="C209" s="71" t="s">
        <v>487</v>
      </c>
      <c r="D209" s="71" t="s">
        <v>536</v>
      </c>
      <c r="E209" s="161">
        <v>29096061</v>
      </c>
      <c r="F209" s="161">
        <f t="shared" si="105"/>
        <v>20448828.055043999</v>
      </c>
      <c r="G209" s="161">
        <v>29096061</v>
      </c>
      <c r="H209" s="77">
        <f t="shared" si="106"/>
        <v>20448828.055043999</v>
      </c>
      <c r="I209" s="161">
        <v>29096061</v>
      </c>
      <c r="J209" s="72">
        <f t="shared" si="107"/>
        <v>20448828.055043999</v>
      </c>
      <c r="K209" s="62" t="s">
        <v>232</v>
      </c>
      <c r="L209" s="72">
        <v>0</v>
      </c>
      <c r="M209" s="72"/>
      <c r="N209" s="73">
        <f t="shared" si="101"/>
        <v>20448828.055043999</v>
      </c>
      <c r="O209" s="160">
        <v>21322158.550000001</v>
      </c>
      <c r="P209" s="90">
        <v>20393340.420000002</v>
      </c>
      <c r="Q209" s="85">
        <f t="shared" si="94"/>
        <v>0.99728651270896129</v>
      </c>
      <c r="R209" s="86">
        <v>0.99728651270896129</v>
      </c>
      <c r="S209" s="85">
        <f t="shared" si="95"/>
        <v>0</v>
      </c>
      <c r="T209" s="85">
        <f t="shared" si="86"/>
        <v>0.99728651270896129</v>
      </c>
      <c r="U209" s="90">
        <v>20393340.420000002</v>
      </c>
      <c r="V209" s="85">
        <f t="shared" si="96"/>
        <v>0.99728651270896129</v>
      </c>
      <c r="W209" s="86">
        <v>0.99728651270896129</v>
      </c>
      <c r="X209" s="85">
        <f t="shared" si="97"/>
        <v>0</v>
      </c>
      <c r="Y209" s="85">
        <f t="shared" si="102"/>
        <v>0.99728651270896129</v>
      </c>
      <c r="Z209" s="89">
        <v>14274037.51</v>
      </c>
      <c r="AA209" s="89">
        <v>0</v>
      </c>
      <c r="AB209" s="89">
        <v>4078668.84</v>
      </c>
      <c r="AC209" s="89">
        <v>763901.400000002</v>
      </c>
      <c r="AD209" s="89">
        <v>0</v>
      </c>
      <c r="AE209" s="89">
        <f t="shared" si="59"/>
        <v>18352706.350000001</v>
      </c>
      <c r="AF209" s="90">
        <f t="shared" si="60"/>
        <v>15037938.910000002</v>
      </c>
      <c r="AG209" s="239">
        <f t="shared" si="108"/>
        <v>18352706.350000001</v>
      </c>
      <c r="AH209" s="75">
        <f t="shared" si="99"/>
        <v>0.89749428674339315</v>
      </c>
      <c r="AI209" s="75">
        <v>0.89749428674339315</v>
      </c>
      <c r="AJ209" s="75">
        <f>AH209-AI209</f>
        <v>0</v>
      </c>
      <c r="AK209" s="80">
        <f t="shared" si="104"/>
        <v>0.89749428674339315</v>
      </c>
      <c r="AL209" s="72"/>
      <c r="AM209" s="81"/>
      <c r="AN209" s="81"/>
      <c r="AO209" s="81"/>
      <c r="AP209" s="72"/>
      <c r="AQ209" s="81"/>
      <c r="AR209" s="81"/>
      <c r="AS209" s="82"/>
    </row>
    <row r="210" spans="1:45" s="11" customFormat="1" ht="115.5">
      <c r="A210" s="69" t="s">
        <v>139</v>
      </c>
      <c r="B210" s="70" t="s">
        <v>567</v>
      </c>
      <c r="C210" s="71" t="s">
        <v>487</v>
      </c>
      <c r="D210" s="71" t="s">
        <v>369</v>
      </c>
      <c r="E210" s="161">
        <v>15750000</v>
      </c>
      <c r="F210" s="161">
        <f t="shared" si="105"/>
        <v>11069163</v>
      </c>
      <c r="G210" s="77">
        <v>15750000</v>
      </c>
      <c r="H210" s="77">
        <f t="shared" si="106"/>
        <v>11069163</v>
      </c>
      <c r="I210" s="161">
        <v>15750000</v>
      </c>
      <c r="J210" s="72">
        <f t="shared" si="107"/>
        <v>11069163</v>
      </c>
      <c r="K210" s="62" t="s">
        <v>232</v>
      </c>
      <c r="L210" s="72">
        <v>0</v>
      </c>
      <c r="M210" s="72"/>
      <c r="N210" s="73">
        <f t="shared" si="101"/>
        <v>11069163</v>
      </c>
      <c r="O210" s="160">
        <v>0</v>
      </c>
      <c r="P210" s="90">
        <v>11069162.4</v>
      </c>
      <c r="Q210" s="85">
        <f t="shared" si="94"/>
        <v>0.99999994579535967</v>
      </c>
      <c r="R210" s="86">
        <v>0.99999994579535967</v>
      </c>
      <c r="S210" s="85">
        <f t="shared" si="95"/>
        <v>0</v>
      </c>
      <c r="T210" s="85">
        <f t="shared" si="86"/>
        <v>0.99999994579535967</v>
      </c>
      <c r="U210" s="90">
        <v>11069162.4</v>
      </c>
      <c r="V210" s="85">
        <f t="shared" si="96"/>
        <v>0.99999994579535967</v>
      </c>
      <c r="W210" s="86">
        <v>0.99999994579535967</v>
      </c>
      <c r="X210" s="85">
        <f t="shared" si="97"/>
        <v>0</v>
      </c>
      <c r="Y210" s="85">
        <f t="shared" si="102"/>
        <v>0.99999994579535967</v>
      </c>
      <c r="Z210" s="89">
        <v>97917.58</v>
      </c>
      <c r="AA210" s="89">
        <v>0</v>
      </c>
      <c r="AB210" s="89">
        <v>2213832.48</v>
      </c>
      <c r="AC210" s="89">
        <v>0</v>
      </c>
      <c r="AD210" s="89">
        <v>0</v>
      </c>
      <c r="AE210" s="89">
        <f t="shared" si="59"/>
        <v>2311750.06</v>
      </c>
      <c r="AF210" s="90">
        <f t="shared" si="60"/>
        <v>97917.58</v>
      </c>
      <c r="AG210" s="239">
        <f t="shared" si="108"/>
        <v>2311750.06</v>
      </c>
      <c r="AH210" s="75">
        <f t="shared" si="99"/>
        <v>0.20884596784779483</v>
      </c>
      <c r="AI210" s="75">
        <v>0</v>
      </c>
      <c r="AJ210" s="75">
        <f>AH210-AI210</f>
        <v>0.20884596784779483</v>
      </c>
      <c r="AK210" s="80">
        <f t="shared" si="104"/>
        <v>0.20884596784779483</v>
      </c>
      <c r="AL210" s="72"/>
      <c r="AM210" s="81"/>
      <c r="AN210" s="81"/>
      <c r="AO210" s="81"/>
      <c r="AP210" s="72"/>
      <c r="AQ210" s="81"/>
      <c r="AR210" s="81"/>
      <c r="AS210" s="82"/>
    </row>
    <row r="211" spans="1:45" s="168" customFormat="1" ht="82.5">
      <c r="A211" s="59" t="s">
        <v>568</v>
      </c>
      <c r="B211" s="60" t="s">
        <v>569</v>
      </c>
      <c r="C211" s="61" t="s">
        <v>487</v>
      </c>
      <c r="D211" s="61" t="s">
        <v>536</v>
      </c>
      <c r="E211" s="64"/>
      <c r="F211" s="62">
        <f>F212</f>
        <v>100079289.59999999</v>
      </c>
      <c r="G211" s="62"/>
      <c r="H211" s="62">
        <f>H212</f>
        <v>100079289.59999999</v>
      </c>
      <c r="I211" s="62"/>
      <c r="J211" s="62">
        <f>J212</f>
        <v>100079289.59999999</v>
      </c>
      <c r="K211" s="62" t="s">
        <v>232</v>
      </c>
      <c r="L211" s="62">
        <f>L212</f>
        <v>0</v>
      </c>
      <c r="M211" s="62">
        <f>M212</f>
        <v>0</v>
      </c>
      <c r="N211" s="41">
        <f t="shared" si="101"/>
        <v>100079289.59999999</v>
      </c>
      <c r="O211" s="162">
        <f t="shared" ref="O211" si="109">O212</f>
        <v>23923499</v>
      </c>
      <c r="P211" s="92">
        <f>P212</f>
        <v>100079289</v>
      </c>
      <c r="Q211" s="93">
        <f t="shared" si="94"/>
        <v>0.9999999940047537</v>
      </c>
      <c r="R211" s="93">
        <v>0.9999999940047537</v>
      </c>
      <c r="S211" s="93">
        <f t="shared" si="95"/>
        <v>0</v>
      </c>
      <c r="T211" s="93">
        <f t="shared" si="86"/>
        <v>0.9999999940047537</v>
      </c>
      <c r="U211" s="92">
        <f>U212</f>
        <v>100079289</v>
      </c>
      <c r="V211" s="93">
        <f t="shared" si="96"/>
        <v>0.9999999940047537</v>
      </c>
      <c r="W211" s="141">
        <v>0.9999999940047537</v>
      </c>
      <c r="X211" s="93">
        <f t="shared" si="97"/>
        <v>0</v>
      </c>
      <c r="Y211" s="93">
        <f t="shared" si="102"/>
        <v>0.9999999940047537</v>
      </c>
      <c r="Z211" s="92">
        <f>Z212</f>
        <v>0</v>
      </c>
      <c r="AA211" s="92">
        <f t="shared" ref="AA211:AD211" si="110">AA212</f>
        <v>0</v>
      </c>
      <c r="AB211" s="92">
        <f t="shared" si="110"/>
        <v>0</v>
      </c>
      <c r="AC211" s="92">
        <f t="shared" si="110"/>
        <v>0</v>
      </c>
      <c r="AD211" s="92">
        <f t="shared" si="110"/>
        <v>22274836</v>
      </c>
      <c r="AE211" s="92">
        <f t="shared" ref="AE211:AE245" si="111">AG211-AD211</f>
        <v>-22274836</v>
      </c>
      <c r="AF211" s="90">
        <f t="shared" ref="AF211:AF261" si="112">Z211+AA211+AC211</f>
        <v>0</v>
      </c>
      <c r="AG211" s="234">
        <f>AG212</f>
        <v>0</v>
      </c>
      <c r="AH211" s="65">
        <f t="shared" si="99"/>
        <v>0</v>
      </c>
      <c r="AI211" s="65">
        <v>0</v>
      </c>
      <c r="AJ211" s="65">
        <f t="shared" si="100"/>
        <v>0</v>
      </c>
      <c r="AK211" s="44">
        <f t="shared" si="104"/>
        <v>0</v>
      </c>
      <c r="AL211" s="167"/>
      <c r="AM211" s="67"/>
      <c r="AN211" s="67"/>
      <c r="AO211" s="67"/>
      <c r="AP211" s="167"/>
      <c r="AQ211" s="67"/>
      <c r="AR211" s="67"/>
      <c r="AS211" s="68"/>
    </row>
    <row r="212" spans="1:45" s="11" customFormat="1" ht="66">
      <c r="A212" s="169" t="s">
        <v>570</v>
      </c>
      <c r="B212" s="170" t="s">
        <v>571</v>
      </c>
      <c r="C212" s="171" t="s">
        <v>487</v>
      </c>
      <c r="D212" s="171" t="s">
        <v>536</v>
      </c>
      <c r="E212" s="172">
        <v>142400000</v>
      </c>
      <c r="F212" s="172">
        <f>E212*$E$5</f>
        <v>100079289.59999999</v>
      </c>
      <c r="G212" s="89">
        <v>142400000</v>
      </c>
      <c r="H212" s="89">
        <f>G212*$G$5</f>
        <v>100079289.59999999</v>
      </c>
      <c r="I212" s="89">
        <v>142400000</v>
      </c>
      <c r="J212" s="90">
        <f>I212*$I$5</f>
        <v>100079289.59999999</v>
      </c>
      <c r="K212" s="173" t="s">
        <v>232</v>
      </c>
      <c r="L212" s="90">
        <v>0</v>
      </c>
      <c r="M212" s="90"/>
      <c r="N212" s="174">
        <f t="shared" si="101"/>
        <v>100079289.59999999</v>
      </c>
      <c r="O212" s="160">
        <v>23923499</v>
      </c>
      <c r="P212" s="90">
        <v>100079289</v>
      </c>
      <c r="Q212" s="85">
        <f t="shared" si="94"/>
        <v>0.9999999940047537</v>
      </c>
      <c r="R212" s="86">
        <v>0.9999999940047537</v>
      </c>
      <c r="S212" s="85">
        <f t="shared" si="95"/>
        <v>0</v>
      </c>
      <c r="T212" s="85">
        <f t="shared" si="86"/>
        <v>0.9999999940047537</v>
      </c>
      <c r="U212" s="90">
        <v>100079289</v>
      </c>
      <c r="V212" s="85">
        <f t="shared" si="96"/>
        <v>0.9999999940047537</v>
      </c>
      <c r="W212" s="86">
        <v>0.9999999940047537</v>
      </c>
      <c r="X212" s="85">
        <f t="shared" si="97"/>
        <v>0</v>
      </c>
      <c r="Y212" s="85">
        <f t="shared" si="102"/>
        <v>0.9999999940047537</v>
      </c>
      <c r="Z212" s="89">
        <v>0</v>
      </c>
      <c r="AA212" s="89">
        <v>0</v>
      </c>
      <c r="AB212" s="89">
        <v>0</v>
      </c>
      <c r="AC212" s="89">
        <v>0</v>
      </c>
      <c r="AD212" s="89">
        <v>22274836</v>
      </c>
      <c r="AE212" s="89">
        <f>AG212-AD212</f>
        <v>-22274836</v>
      </c>
      <c r="AF212" s="90">
        <f t="shared" si="112"/>
        <v>0</v>
      </c>
      <c r="AG212" s="239">
        <f>SUM(Z212:AB212)</f>
        <v>0</v>
      </c>
      <c r="AH212" s="85">
        <f t="shared" si="99"/>
        <v>0</v>
      </c>
      <c r="AI212" s="85">
        <v>0</v>
      </c>
      <c r="AJ212" s="85">
        <f t="shared" si="100"/>
        <v>0</v>
      </c>
      <c r="AK212" s="175">
        <f t="shared" si="104"/>
        <v>0</v>
      </c>
      <c r="AL212" s="90"/>
      <c r="AM212" s="176"/>
      <c r="AN212" s="176"/>
      <c r="AO212" s="176"/>
      <c r="AP212" s="90"/>
      <c r="AQ212" s="176"/>
      <c r="AR212" s="176"/>
      <c r="AS212" s="177"/>
    </row>
    <row r="213" spans="1:45" s="159" customFormat="1" ht="99">
      <c r="A213" s="59" t="s">
        <v>572</v>
      </c>
      <c r="B213" s="60" t="s">
        <v>573</v>
      </c>
      <c r="C213" s="61" t="s">
        <v>380</v>
      </c>
      <c r="D213" s="61" t="s">
        <v>533</v>
      </c>
      <c r="E213" s="64"/>
      <c r="F213" s="62">
        <f>F214+F221+F227+F231</f>
        <v>226939884.24465597</v>
      </c>
      <c r="G213" s="62"/>
      <c r="H213" s="62">
        <f>H214+H221+H227+H231</f>
        <v>226939884.24465597</v>
      </c>
      <c r="I213" s="62"/>
      <c r="J213" s="62">
        <f>J214+J221+J227+J231</f>
        <v>226939884.24465597</v>
      </c>
      <c r="K213" s="62" t="s">
        <v>232</v>
      </c>
      <c r="L213" s="62">
        <f>L214+L221+L227+L231</f>
        <v>27000000</v>
      </c>
      <c r="M213" s="62">
        <f>M214+M221+M227+M231</f>
        <v>27000000</v>
      </c>
      <c r="N213" s="41">
        <f t="shared" si="101"/>
        <v>253939884.24465597</v>
      </c>
      <c r="O213" s="162">
        <f t="shared" ref="O213" si="113">O214+O221+O227+O231</f>
        <v>109212552.69</v>
      </c>
      <c r="P213" s="92">
        <f>P214+P221+P227+P231</f>
        <v>189053799.16999999</v>
      </c>
      <c r="Q213" s="93">
        <f t="shared" si="94"/>
        <v>0.83305673570445504</v>
      </c>
      <c r="R213" s="93">
        <v>0.79508855819048896</v>
      </c>
      <c r="S213" s="93">
        <f t="shared" si="95"/>
        <v>3.7968177513966084E-2</v>
      </c>
      <c r="T213" s="93">
        <f t="shared" si="86"/>
        <v>0.74448249723488846</v>
      </c>
      <c r="U213" s="92">
        <f>U214+U221+U227+U231</f>
        <v>175679803.62999997</v>
      </c>
      <c r="V213" s="93">
        <f t="shared" si="96"/>
        <v>0.77412484903096934</v>
      </c>
      <c r="W213" s="93">
        <v>0.7717842339303318</v>
      </c>
      <c r="X213" s="93">
        <f t="shared" si="97"/>
        <v>2.3406151006375442E-3</v>
      </c>
      <c r="Y213" s="93">
        <f t="shared" si="102"/>
        <v>0.69181650670023509</v>
      </c>
      <c r="Z213" s="92">
        <f t="shared" ref="Z213:AD213" si="114">Z214+Z221+Z227+Z231</f>
        <v>56762541.119999997</v>
      </c>
      <c r="AA213" s="92">
        <f t="shared" si="114"/>
        <v>37443.14</v>
      </c>
      <c r="AB213" s="92">
        <f t="shared" si="114"/>
        <v>35654958.309999995</v>
      </c>
      <c r="AC213" s="92">
        <f t="shared" si="114"/>
        <v>13567485.740000002</v>
      </c>
      <c r="AD213" s="92">
        <f t="shared" si="114"/>
        <v>3581977.15</v>
      </c>
      <c r="AE213" s="99">
        <f t="shared" si="111"/>
        <v>88872965.419999987</v>
      </c>
      <c r="AF213" s="90">
        <f t="shared" si="112"/>
        <v>70367470</v>
      </c>
      <c r="AG213" s="234">
        <f>AG214+AG221+AG227+AG231</f>
        <v>92454942.569999993</v>
      </c>
      <c r="AH213" s="65">
        <f t="shared" si="99"/>
        <v>0.40739838604274403</v>
      </c>
      <c r="AI213" s="65">
        <v>0.38168409946229953</v>
      </c>
      <c r="AJ213" s="65">
        <f t="shared" si="100"/>
        <v>2.5714286580444501E-2</v>
      </c>
      <c r="AK213" s="44">
        <f t="shared" si="104"/>
        <v>0.36408200643631528</v>
      </c>
      <c r="AL213" s="72"/>
      <c r="AM213" s="81"/>
      <c r="AN213" s="81"/>
      <c r="AO213" s="81"/>
      <c r="AP213" s="72"/>
      <c r="AQ213" s="81"/>
      <c r="AR213" s="81"/>
      <c r="AS213" s="82"/>
    </row>
    <row r="214" spans="1:45" s="159" customFormat="1" ht="33">
      <c r="A214" s="59" t="s">
        <v>574</v>
      </c>
      <c r="B214" s="60" t="s">
        <v>575</v>
      </c>
      <c r="C214" s="61" t="s">
        <v>380</v>
      </c>
      <c r="D214" s="61" t="s">
        <v>369</v>
      </c>
      <c r="E214" s="64"/>
      <c r="F214" s="62">
        <f>F215+F216+F217+F218</f>
        <v>136883295.841932</v>
      </c>
      <c r="G214" s="62"/>
      <c r="H214" s="62">
        <f>H215+H216+H217+H219+H220</f>
        <v>136883295.841932</v>
      </c>
      <c r="I214" s="62"/>
      <c r="J214" s="62">
        <f>J215+J216+J217+J218</f>
        <v>136883295.841932</v>
      </c>
      <c r="K214" s="62" t="s">
        <v>232</v>
      </c>
      <c r="L214" s="62">
        <f>L215+L216+L217+L218</f>
        <v>0</v>
      </c>
      <c r="M214" s="62">
        <f>M215+M216+M217+M218</f>
        <v>0</v>
      </c>
      <c r="N214" s="41">
        <f t="shared" si="101"/>
        <v>136883295.841932</v>
      </c>
      <c r="O214" s="162">
        <f t="shared" ref="O214" si="115">O215+O216+O217+O218</f>
        <v>71625231.609999999</v>
      </c>
      <c r="P214" s="92">
        <f>P215+P216+P217+P218</f>
        <v>96557323.98999998</v>
      </c>
      <c r="Q214" s="93">
        <f t="shared" si="94"/>
        <v>0.70539888301273057</v>
      </c>
      <c r="R214" s="93">
        <v>0.70614036683934167</v>
      </c>
      <c r="S214" s="93">
        <f t="shared" si="95"/>
        <v>-7.4148382661110013E-4</v>
      </c>
      <c r="T214" s="93">
        <f t="shared" si="86"/>
        <v>0.70539888301273057</v>
      </c>
      <c r="U214" s="92">
        <f>U215+U216+U217+U218</f>
        <v>96557323.98999998</v>
      </c>
      <c r="V214" s="93">
        <f t="shared" si="96"/>
        <v>0.70539888301273057</v>
      </c>
      <c r="W214" s="141">
        <v>0.70614036683934167</v>
      </c>
      <c r="X214" s="93">
        <f t="shared" si="97"/>
        <v>-7.4148382661110013E-4</v>
      </c>
      <c r="Y214" s="93">
        <f t="shared" si="102"/>
        <v>0.70539888301273057</v>
      </c>
      <c r="Z214" s="92">
        <f t="shared" ref="Z214:AD214" si="116">Z215+Z216+Z217+Z218</f>
        <v>34994652.670000002</v>
      </c>
      <c r="AA214" s="92">
        <f t="shared" si="116"/>
        <v>0</v>
      </c>
      <c r="AB214" s="92">
        <f t="shared" si="116"/>
        <v>28779901.640000001</v>
      </c>
      <c r="AC214" s="92">
        <f t="shared" si="116"/>
        <v>11244450.41</v>
      </c>
      <c r="AD214" s="92">
        <f t="shared" si="116"/>
        <v>3292696.84</v>
      </c>
      <c r="AE214" s="99">
        <f t="shared" si="111"/>
        <v>60481857.469999999</v>
      </c>
      <c r="AF214" s="90">
        <f t="shared" si="112"/>
        <v>46239103.079999998</v>
      </c>
      <c r="AG214" s="234">
        <f>AG215+AG216+AG217+AG218</f>
        <v>63774554.309999995</v>
      </c>
      <c r="AH214" s="65">
        <f t="shared" si="99"/>
        <v>0.46590457891695275</v>
      </c>
      <c r="AI214" s="65">
        <v>0.446998178511541</v>
      </c>
      <c r="AJ214" s="65">
        <f t="shared" si="100"/>
        <v>1.890640040541175E-2</v>
      </c>
      <c r="AK214" s="44">
        <f t="shared" si="104"/>
        <v>0.46590457891695275</v>
      </c>
      <c r="AL214" s="72"/>
      <c r="AM214" s="81"/>
      <c r="AN214" s="81"/>
      <c r="AO214" s="81"/>
      <c r="AP214" s="72"/>
      <c r="AQ214" s="81"/>
      <c r="AR214" s="81"/>
      <c r="AS214" s="82"/>
    </row>
    <row r="215" spans="1:45" s="11" customFormat="1" ht="132">
      <c r="A215" s="69" t="s">
        <v>99</v>
      </c>
      <c r="B215" s="70" t="s">
        <v>576</v>
      </c>
      <c r="C215" s="71" t="s">
        <v>380</v>
      </c>
      <c r="D215" s="71" t="s">
        <v>369</v>
      </c>
      <c r="E215" s="161">
        <v>143493781</v>
      </c>
      <c r="F215" s="161">
        <f>E215*$E$5</f>
        <v>100848003.261924</v>
      </c>
      <c r="G215" s="77">
        <v>143493781</v>
      </c>
      <c r="H215" s="77">
        <f>G215*$G$5</f>
        <v>100848003.261924</v>
      </c>
      <c r="I215" s="161">
        <v>143493781</v>
      </c>
      <c r="J215" s="72">
        <f>I215*$I$5</f>
        <v>100848003.261924</v>
      </c>
      <c r="K215" s="62" t="s">
        <v>232</v>
      </c>
      <c r="L215" s="72">
        <v>0</v>
      </c>
      <c r="M215" s="72"/>
      <c r="N215" s="73">
        <f t="shared" si="101"/>
        <v>100848003.261924</v>
      </c>
      <c r="O215" s="160">
        <v>51355130.579999998</v>
      </c>
      <c r="P215" s="90">
        <v>65122416.789999999</v>
      </c>
      <c r="Q215" s="85">
        <f t="shared" si="94"/>
        <v>0.64574820208252459</v>
      </c>
      <c r="R215" s="86">
        <v>0.64582435282177175</v>
      </c>
      <c r="S215" s="85">
        <f t="shared" si="95"/>
        <v>-7.6150739247160537E-5</v>
      </c>
      <c r="T215" s="85">
        <f t="shared" si="86"/>
        <v>0.64574820208252459</v>
      </c>
      <c r="U215" s="90">
        <v>65122416.789999999</v>
      </c>
      <c r="V215" s="85">
        <f t="shared" si="96"/>
        <v>0.64574820208252459</v>
      </c>
      <c r="W215" s="85">
        <v>0.64582435282177175</v>
      </c>
      <c r="X215" s="85">
        <f t="shared" si="97"/>
        <v>-7.6150739247160537E-5</v>
      </c>
      <c r="Y215" s="85">
        <f t="shared" si="102"/>
        <v>0.64574820208252459</v>
      </c>
      <c r="Z215" s="89">
        <v>23908048.719999999</v>
      </c>
      <c r="AA215" s="89"/>
      <c r="AB215" s="89">
        <v>28132305.690000001</v>
      </c>
      <c r="AC215" s="89">
        <v>11111877.859999999</v>
      </c>
      <c r="AD215" s="89">
        <v>3292696.84</v>
      </c>
      <c r="AE215" s="89">
        <f t="shared" si="111"/>
        <v>48747657.569999993</v>
      </c>
      <c r="AF215" s="90">
        <f t="shared" si="112"/>
        <v>35019926.579999998</v>
      </c>
      <c r="AG215" s="239">
        <f t="shared" ref="AG215:AG220" si="117">SUM(Z215:AB215)</f>
        <v>52040354.409999996</v>
      </c>
      <c r="AH215" s="75">
        <f t="shared" si="99"/>
        <v>0.51602761310841205</v>
      </c>
      <c r="AI215" s="75">
        <v>0.49855646818723909</v>
      </c>
      <c r="AJ215" s="75">
        <f t="shared" si="100"/>
        <v>1.7471144921172965E-2</v>
      </c>
      <c r="AK215" s="80">
        <f t="shared" si="104"/>
        <v>0.51602761310841205</v>
      </c>
      <c r="AL215" s="72"/>
      <c r="AM215" s="178"/>
      <c r="AN215" s="178"/>
      <c r="AO215" s="81"/>
      <c r="AP215" s="72"/>
      <c r="AQ215" s="81"/>
      <c r="AR215" s="81"/>
      <c r="AS215" s="82"/>
    </row>
    <row r="216" spans="1:45" s="11" customFormat="1" ht="99">
      <c r="A216" s="69" t="s">
        <v>100</v>
      </c>
      <c r="B216" s="70" t="s">
        <v>577</v>
      </c>
      <c r="C216" s="71" t="s">
        <v>380</v>
      </c>
      <c r="D216" s="71" t="s">
        <v>369</v>
      </c>
      <c r="E216" s="161">
        <v>3023602</v>
      </c>
      <c r="F216" s="161">
        <f>E216*$E$5</f>
        <v>2124999.5800080001</v>
      </c>
      <c r="G216" s="77">
        <v>3023602</v>
      </c>
      <c r="H216" s="77">
        <f>G216*$G$5</f>
        <v>2124999.5800080001</v>
      </c>
      <c r="I216" s="161">
        <v>3023602</v>
      </c>
      <c r="J216" s="72">
        <f>I216*$I$5</f>
        <v>2124999.5800080001</v>
      </c>
      <c r="K216" s="62" t="s">
        <v>232</v>
      </c>
      <c r="L216" s="72">
        <v>0</v>
      </c>
      <c r="M216" s="72"/>
      <c r="N216" s="73">
        <f t="shared" si="101"/>
        <v>2124999.5800080001</v>
      </c>
      <c r="O216" s="160">
        <v>0</v>
      </c>
      <c r="P216" s="90">
        <v>2124999</v>
      </c>
      <c r="Q216" s="85">
        <f t="shared" si="94"/>
        <v>0.99999972705500484</v>
      </c>
      <c r="R216" s="86">
        <v>0.99999972705500484</v>
      </c>
      <c r="S216" s="85">
        <f t="shared" si="95"/>
        <v>0</v>
      </c>
      <c r="T216" s="85">
        <f t="shared" si="86"/>
        <v>0.99999972705500484</v>
      </c>
      <c r="U216" s="90">
        <v>2124999</v>
      </c>
      <c r="V216" s="85">
        <f t="shared" si="96"/>
        <v>0.99999972705500484</v>
      </c>
      <c r="W216" s="85">
        <v>0.99999972705500484</v>
      </c>
      <c r="X216" s="85">
        <f t="shared" si="97"/>
        <v>0</v>
      </c>
      <c r="Y216" s="85">
        <f t="shared" si="102"/>
        <v>0.99999972705500484</v>
      </c>
      <c r="Z216" s="89">
        <v>0</v>
      </c>
      <c r="AA216" s="89">
        <v>0</v>
      </c>
      <c r="AB216" s="89">
        <v>0</v>
      </c>
      <c r="AC216" s="89">
        <v>0</v>
      </c>
      <c r="AD216" s="89">
        <v>0</v>
      </c>
      <c r="AE216" s="89">
        <f t="shared" si="111"/>
        <v>0</v>
      </c>
      <c r="AF216" s="90">
        <f t="shared" si="112"/>
        <v>0</v>
      </c>
      <c r="AG216" s="239">
        <f t="shared" si="117"/>
        <v>0</v>
      </c>
      <c r="AH216" s="75">
        <f t="shared" si="99"/>
        <v>0</v>
      </c>
      <c r="AI216" s="75">
        <v>0</v>
      </c>
      <c r="AJ216" s="75">
        <f t="shared" si="100"/>
        <v>0</v>
      </c>
      <c r="AK216" s="80">
        <f t="shared" si="104"/>
        <v>0</v>
      </c>
      <c r="AL216" s="72"/>
      <c r="AM216" s="81"/>
      <c r="AN216" s="81"/>
      <c r="AO216" s="81"/>
      <c r="AP216" s="72"/>
      <c r="AQ216" s="81"/>
      <c r="AR216" s="81"/>
      <c r="AS216" s="82"/>
    </row>
    <row r="217" spans="1:45" s="11" customFormat="1" ht="49.5">
      <c r="A217" s="69" t="s">
        <v>101</v>
      </c>
      <c r="B217" s="70" t="s">
        <v>578</v>
      </c>
      <c r="C217" s="71" t="s">
        <v>380</v>
      </c>
      <c r="D217" s="71" t="s">
        <v>369</v>
      </c>
      <c r="E217" s="161">
        <v>33250000</v>
      </c>
      <c r="F217" s="161">
        <f>E217*$E$5</f>
        <v>23368233</v>
      </c>
      <c r="G217" s="77">
        <v>33250000</v>
      </c>
      <c r="H217" s="77">
        <f>G217*$G$5</f>
        <v>23368233</v>
      </c>
      <c r="I217" s="161">
        <v>33250000</v>
      </c>
      <c r="J217" s="72">
        <f>I217*$I$5</f>
        <v>23368233</v>
      </c>
      <c r="K217" s="62" t="s">
        <v>232</v>
      </c>
      <c r="L217" s="72">
        <v>0</v>
      </c>
      <c r="M217" s="72"/>
      <c r="N217" s="73">
        <f t="shared" si="101"/>
        <v>23368233</v>
      </c>
      <c r="O217" s="160">
        <v>16440429.41</v>
      </c>
      <c r="P217" s="90">
        <v>22283297.129999999</v>
      </c>
      <c r="Q217" s="85">
        <f t="shared" si="94"/>
        <v>0.95357219050323572</v>
      </c>
      <c r="R217" s="86">
        <v>0.95357219050323572</v>
      </c>
      <c r="S217" s="85">
        <f t="shared" si="95"/>
        <v>0</v>
      </c>
      <c r="T217" s="85">
        <f>P217/N217</f>
        <v>0.95357219050323572</v>
      </c>
      <c r="U217" s="90">
        <v>22283297.129999999</v>
      </c>
      <c r="V217" s="85">
        <f t="shared" si="96"/>
        <v>0.95357219050323572</v>
      </c>
      <c r="W217" s="86">
        <v>0.95357219050323572</v>
      </c>
      <c r="X217" s="85">
        <f t="shared" si="97"/>
        <v>0</v>
      </c>
      <c r="Y217" s="85">
        <f t="shared" si="102"/>
        <v>0.95357219050323572</v>
      </c>
      <c r="Z217" s="89">
        <v>7420163.8499999996</v>
      </c>
      <c r="AA217" s="89">
        <v>0</v>
      </c>
      <c r="AB217" s="89">
        <v>0</v>
      </c>
      <c r="AC217" s="89">
        <v>0</v>
      </c>
      <c r="AD217" s="89">
        <v>0</v>
      </c>
      <c r="AE217" s="89">
        <f t="shared" si="111"/>
        <v>7420163.8499999996</v>
      </c>
      <c r="AF217" s="90">
        <f t="shared" si="112"/>
        <v>7420163.8499999996</v>
      </c>
      <c r="AG217" s="239">
        <f t="shared" si="117"/>
        <v>7420163.8499999996</v>
      </c>
      <c r="AH217" s="75">
        <f t="shared" si="99"/>
        <v>0.31753208939674643</v>
      </c>
      <c r="AI217" s="75">
        <v>0.31753208939674643</v>
      </c>
      <c r="AJ217" s="75">
        <f t="shared" si="100"/>
        <v>0</v>
      </c>
      <c r="AK217" s="80">
        <f t="shared" si="104"/>
        <v>0.31753208939674643</v>
      </c>
      <c r="AL217" s="72"/>
      <c r="AM217" s="81"/>
      <c r="AN217" s="81"/>
      <c r="AO217" s="81"/>
      <c r="AP217" s="72"/>
      <c r="AQ217" s="81"/>
      <c r="AR217" s="81"/>
      <c r="AS217" s="82"/>
    </row>
    <row r="218" spans="1:45" s="159" customFormat="1" ht="49.5">
      <c r="A218" s="94" t="s">
        <v>579</v>
      </c>
      <c r="B218" s="95" t="s">
        <v>580</v>
      </c>
      <c r="C218" s="96" t="s">
        <v>380</v>
      </c>
      <c r="D218" s="96" t="s">
        <v>369</v>
      </c>
      <c r="E218" s="100"/>
      <c r="F218" s="161">
        <f>F219+F220</f>
        <v>10542060</v>
      </c>
      <c r="G218" s="72"/>
      <c r="H218" s="72">
        <f>H219+H220</f>
        <v>10542060</v>
      </c>
      <c r="I218" s="72"/>
      <c r="J218" s="72">
        <f>J219+J220</f>
        <v>10542060</v>
      </c>
      <c r="K218" s="62" t="s">
        <v>232</v>
      </c>
      <c r="L218" s="72">
        <v>0</v>
      </c>
      <c r="M218" s="72">
        <v>0</v>
      </c>
      <c r="N218" s="73">
        <f t="shared" si="101"/>
        <v>10542060</v>
      </c>
      <c r="O218" s="163">
        <f t="shared" ref="O218" si="118">O219+O220</f>
        <v>3829671.62</v>
      </c>
      <c r="P218" s="98">
        <f>P219+P220</f>
        <v>7026611.0699999994</v>
      </c>
      <c r="Q218" s="85">
        <f t="shared" si="94"/>
        <v>0.6665311210522421</v>
      </c>
      <c r="R218" s="85">
        <v>0.67543043484859699</v>
      </c>
      <c r="S218" s="85">
        <f t="shared" si="95"/>
        <v>-8.8993137963548907E-3</v>
      </c>
      <c r="T218" s="85">
        <f t="shared" si="86"/>
        <v>0.6665311210522421</v>
      </c>
      <c r="U218" s="99">
        <f>U219+U220</f>
        <v>7026611.0699999994</v>
      </c>
      <c r="V218" s="85">
        <f t="shared" si="96"/>
        <v>0.6665311210522421</v>
      </c>
      <c r="W218" s="86">
        <v>0.67543043484859699</v>
      </c>
      <c r="X218" s="85">
        <f t="shared" si="97"/>
        <v>-8.8993137963548907E-3</v>
      </c>
      <c r="Y218" s="85">
        <f t="shared" si="102"/>
        <v>0.6665311210522421</v>
      </c>
      <c r="Z218" s="89">
        <f>Z219+Z220</f>
        <v>3666440.0999999996</v>
      </c>
      <c r="AA218" s="89">
        <f t="shared" ref="AA218:AD218" si="119">AA219+AA220</f>
        <v>0</v>
      </c>
      <c r="AB218" s="89">
        <f t="shared" si="119"/>
        <v>647595.94999999995</v>
      </c>
      <c r="AC218" s="89">
        <f t="shared" si="119"/>
        <v>132572.5500000001</v>
      </c>
      <c r="AD218" s="89">
        <f t="shared" si="119"/>
        <v>0</v>
      </c>
      <c r="AE218" s="99">
        <f t="shared" si="111"/>
        <v>4314036.05</v>
      </c>
      <c r="AF218" s="90">
        <f t="shared" si="112"/>
        <v>3799012.65</v>
      </c>
      <c r="AG218" s="239">
        <f t="shared" si="117"/>
        <v>4314036.05</v>
      </c>
      <c r="AH218" s="75">
        <f t="shared" si="99"/>
        <v>0.4092213523732553</v>
      </c>
      <c r="AI218" s="75">
        <v>0.33086471998831346</v>
      </c>
      <c r="AJ218" s="75">
        <f t="shared" si="100"/>
        <v>7.8356632384941838E-2</v>
      </c>
      <c r="AK218" s="80">
        <f t="shared" si="104"/>
        <v>0.4092213523732553</v>
      </c>
      <c r="AL218" s="72"/>
      <c r="AM218" s="81"/>
      <c r="AN218" s="81"/>
      <c r="AO218" s="81"/>
      <c r="AP218" s="72"/>
      <c r="AQ218" s="81"/>
      <c r="AR218" s="81"/>
      <c r="AS218" s="82"/>
    </row>
    <row r="219" spans="1:45" s="11" customFormat="1" ht="99">
      <c r="A219" s="69" t="s">
        <v>102</v>
      </c>
      <c r="B219" s="70" t="s">
        <v>581</v>
      </c>
      <c r="C219" s="71" t="s">
        <v>380</v>
      </c>
      <c r="D219" s="71" t="s">
        <v>369</v>
      </c>
      <c r="E219" s="161">
        <v>10000000</v>
      </c>
      <c r="F219" s="161">
        <f>E219*$E$5</f>
        <v>7028040</v>
      </c>
      <c r="G219" s="77">
        <v>10000000</v>
      </c>
      <c r="H219" s="77">
        <f>G219*$G$5</f>
        <v>7028040</v>
      </c>
      <c r="I219" s="161">
        <v>10000000</v>
      </c>
      <c r="J219" s="72">
        <f>I219*$I$5</f>
        <v>7028040</v>
      </c>
      <c r="K219" s="62" t="s">
        <v>232</v>
      </c>
      <c r="L219" s="72">
        <v>0</v>
      </c>
      <c r="M219" s="72"/>
      <c r="N219" s="73">
        <f t="shared" si="101"/>
        <v>7028040</v>
      </c>
      <c r="O219" s="160">
        <v>2092659.5</v>
      </c>
      <c r="P219" s="90">
        <v>4940450.5999999996</v>
      </c>
      <c r="Q219" s="85">
        <f t="shared" si="94"/>
        <v>0.7029627890564083</v>
      </c>
      <c r="R219" s="86">
        <v>0.7029627890564083</v>
      </c>
      <c r="S219" s="85">
        <f t="shared" si="95"/>
        <v>0</v>
      </c>
      <c r="T219" s="85">
        <f t="shared" si="86"/>
        <v>0.7029627890564083</v>
      </c>
      <c r="U219" s="90">
        <v>4940450.5999999996</v>
      </c>
      <c r="V219" s="85">
        <f t="shared" si="96"/>
        <v>0.7029627890564083</v>
      </c>
      <c r="W219" s="86">
        <v>0.7029627890564083</v>
      </c>
      <c r="X219" s="85">
        <f t="shared" si="97"/>
        <v>0</v>
      </c>
      <c r="Y219" s="85">
        <f t="shared" si="102"/>
        <v>0.7029627890564083</v>
      </c>
      <c r="Z219" s="89">
        <v>1863321.39</v>
      </c>
      <c r="AA219" s="89"/>
      <c r="AB219" s="89">
        <v>441825.6</v>
      </c>
      <c r="AC219" s="89">
        <v>87631.97</v>
      </c>
      <c r="AD219" s="89">
        <v>0</v>
      </c>
      <c r="AE219" s="89">
        <f t="shared" si="111"/>
        <v>2305146.9899999998</v>
      </c>
      <c r="AF219" s="90">
        <f t="shared" si="112"/>
        <v>1950953.3599999999</v>
      </c>
      <c r="AG219" s="239">
        <f t="shared" si="117"/>
        <v>2305146.9899999998</v>
      </c>
      <c r="AH219" s="75">
        <f t="shared" si="99"/>
        <v>0.32799286714361325</v>
      </c>
      <c r="AI219" s="75">
        <v>0.2326775388301717</v>
      </c>
      <c r="AJ219" s="75">
        <f t="shared" si="100"/>
        <v>9.5315328313441555E-2</v>
      </c>
      <c r="AK219" s="80">
        <f t="shared" si="104"/>
        <v>0.32799286714361325</v>
      </c>
      <c r="AL219" s="72"/>
      <c r="AM219" s="81"/>
      <c r="AN219" s="81"/>
      <c r="AO219" s="81"/>
      <c r="AP219" s="72"/>
      <c r="AQ219" s="81"/>
      <c r="AR219" s="81"/>
      <c r="AS219" s="82"/>
    </row>
    <row r="220" spans="1:45" s="11" customFormat="1" ht="115.5">
      <c r="A220" s="69" t="s">
        <v>582</v>
      </c>
      <c r="B220" s="70" t="s">
        <v>583</v>
      </c>
      <c r="C220" s="71" t="s">
        <v>380</v>
      </c>
      <c r="D220" s="71" t="s">
        <v>369</v>
      </c>
      <c r="E220" s="161">
        <v>5000000</v>
      </c>
      <c r="F220" s="161">
        <f>E220*$E$5</f>
        <v>3514020</v>
      </c>
      <c r="G220" s="77">
        <v>5000000</v>
      </c>
      <c r="H220" s="77">
        <f>G220*$G$5</f>
        <v>3514020</v>
      </c>
      <c r="I220" s="161">
        <v>5000000</v>
      </c>
      <c r="J220" s="72">
        <f>I220*$I$5</f>
        <v>3514020</v>
      </c>
      <c r="K220" s="62" t="s">
        <v>232</v>
      </c>
      <c r="L220" s="72">
        <v>0</v>
      </c>
      <c r="M220" s="72"/>
      <c r="N220" s="73">
        <f t="shared" si="101"/>
        <v>3514020</v>
      </c>
      <c r="O220" s="160">
        <v>1737012.12</v>
      </c>
      <c r="P220" s="90">
        <v>2086160.47</v>
      </c>
      <c r="Q220" s="85">
        <f t="shared" si="94"/>
        <v>0.59366778504390982</v>
      </c>
      <c r="R220" s="86">
        <v>0.62036572643297416</v>
      </c>
      <c r="S220" s="85">
        <f t="shared" si="95"/>
        <v>-2.6697941389064339E-2</v>
      </c>
      <c r="T220" s="85">
        <f t="shared" si="86"/>
        <v>0.59366778504390982</v>
      </c>
      <c r="U220" s="90">
        <v>2086160.47</v>
      </c>
      <c r="V220" s="85">
        <f t="shared" si="96"/>
        <v>0.59366778504390982</v>
      </c>
      <c r="W220" s="85">
        <v>0.62036572643297416</v>
      </c>
      <c r="X220" s="85">
        <f t="shared" si="97"/>
        <v>-2.6697941389064339E-2</v>
      </c>
      <c r="Y220" s="85">
        <f t="shared" si="102"/>
        <v>0.59366778504390982</v>
      </c>
      <c r="Z220" s="89">
        <v>1803118.71</v>
      </c>
      <c r="AA220" s="89"/>
      <c r="AB220" s="89">
        <v>205770.35</v>
      </c>
      <c r="AC220" s="89">
        <v>44940.580000000104</v>
      </c>
      <c r="AD220" s="89">
        <v>0</v>
      </c>
      <c r="AE220" s="89">
        <f t="shared" si="111"/>
        <v>2008889.06</v>
      </c>
      <c r="AF220" s="90">
        <f t="shared" si="112"/>
        <v>1848059.29</v>
      </c>
      <c r="AG220" s="239">
        <f t="shared" si="117"/>
        <v>2008889.06</v>
      </c>
      <c r="AH220" s="75">
        <f t="shared" si="99"/>
        <v>0.57167832283253939</v>
      </c>
      <c r="AI220" s="75">
        <v>0.52723908230459704</v>
      </c>
      <c r="AJ220" s="75">
        <f t="shared" si="100"/>
        <v>4.4439240527942347E-2</v>
      </c>
      <c r="AK220" s="80">
        <f t="shared" si="104"/>
        <v>0.57167832283253939</v>
      </c>
      <c r="AL220" s="72"/>
      <c r="AM220" s="81"/>
      <c r="AN220" s="81"/>
      <c r="AO220" s="81"/>
      <c r="AP220" s="72"/>
      <c r="AQ220" s="81"/>
      <c r="AR220" s="81"/>
      <c r="AS220" s="82"/>
    </row>
    <row r="221" spans="1:45" s="159" customFormat="1" ht="33">
      <c r="A221" s="59" t="s">
        <v>584</v>
      </c>
      <c r="B221" s="60" t="s">
        <v>585</v>
      </c>
      <c r="C221" s="61" t="s">
        <v>380</v>
      </c>
      <c r="D221" s="61" t="s">
        <v>298</v>
      </c>
      <c r="E221" s="64"/>
      <c r="F221" s="62">
        <f>F222+F226</f>
        <v>12109723.357535999</v>
      </c>
      <c r="G221" s="62"/>
      <c r="H221" s="62">
        <f>H222+H226</f>
        <v>12109723.357535999</v>
      </c>
      <c r="I221" s="62"/>
      <c r="J221" s="62">
        <f>J222+J226</f>
        <v>12109723.357535999</v>
      </c>
      <c r="K221" s="62" t="s">
        <v>232</v>
      </c>
      <c r="L221" s="62">
        <f>L222+L226</f>
        <v>0</v>
      </c>
      <c r="M221" s="62">
        <f>M222+M226</f>
        <v>0</v>
      </c>
      <c r="N221" s="41">
        <f t="shared" si="101"/>
        <v>12109723.357535999</v>
      </c>
      <c r="O221" s="162">
        <f t="shared" ref="O221" si="120">O222+O226</f>
        <v>9757659</v>
      </c>
      <c r="P221" s="92">
        <f>P222+P226</f>
        <v>11675183.879999999</v>
      </c>
      <c r="Q221" s="93">
        <f t="shared" si="94"/>
        <v>0.9641164818793666</v>
      </c>
      <c r="R221" s="93">
        <v>0.9641164818793666</v>
      </c>
      <c r="S221" s="93">
        <f t="shared" si="95"/>
        <v>0</v>
      </c>
      <c r="T221" s="93">
        <f t="shared" si="86"/>
        <v>0.9641164818793666</v>
      </c>
      <c r="U221" s="92">
        <f>U222+U226</f>
        <v>11675183.879999999</v>
      </c>
      <c r="V221" s="93">
        <f t="shared" si="96"/>
        <v>0.9641164818793666</v>
      </c>
      <c r="W221" s="141">
        <v>0.9641164818793666</v>
      </c>
      <c r="X221" s="93">
        <f t="shared" si="97"/>
        <v>0</v>
      </c>
      <c r="Y221" s="93">
        <f t="shared" si="102"/>
        <v>0.9641164818793666</v>
      </c>
      <c r="Z221" s="92">
        <f t="shared" ref="Z221:AD221" si="121">Z222+Z226</f>
        <v>5463500.5099999998</v>
      </c>
      <c r="AA221" s="92">
        <f t="shared" si="121"/>
        <v>0</v>
      </c>
      <c r="AB221" s="92">
        <f t="shared" si="121"/>
        <v>1912448.65</v>
      </c>
      <c r="AC221" s="92">
        <f t="shared" si="121"/>
        <v>1417099.3499999992</v>
      </c>
      <c r="AD221" s="92">
        <f t="shared" si="121"/>
        <v>171917.71</v>
      </c>
      <c r="AE221" s="99">
        <f t="shared" si="111"/>
        <v>7204031.4500000002</v>
      </c>
      <c r="AF221" s="90">
        <f t="shared" si="112"/>
        <v>6880599.8599999994</v>
      </c>
      <c r="AG221" s="234">
        <f>AG222+AG226</f>
        <v>7375949.1600000001</v>
      </c>
      <c r="AH221" s="65">
        <f t="shared" si="99"/>
        <v>0.60909311816853973</v>
      </c>
      <c r="AI221" s="65">
        <v>0.58294630286553306</v>
      </c>
      <c r="AJ221" s="65">
        <f t="shared" si="100"/>
        <v>2.6146815303006665E-2</v>
      </c>
      <c r="AK221" s="44">
        <f t="shared" si="104"/>
        <v>0.60909311816853973</v>
      </c>
      <c r="AL221" s="72"/>
      <c r="AM221" s="81"/>
      <c r="AN221" s="81"/>
      <c r="AO221" s="81"/>
      <c r="AP221" s="72"/>
      <c r="AQ221" s="81"/>
      <c r="AR221" s="81"/>
      <c r="AS221" s="82"/>
    </row>
    <row r="222" spans="1:45" s="159" customFormat="1" ht="82.5">
      <c r="A222" s="94" t="s">
        <v>586</v>
      </c>
      <c r="B222" s="95" t="s">
        <v>587</v>
      </c>
      <c r="C222" s="96" t="s">
        <v>380</v>
      </c>
      <c r="D222" s="96" t="s">
        <v>298</v>
      </c>
      <c r="E222" s="100"/>
      <c r="F222" s="72">
        <f>F223+F224+F225</f>
        <v>12109723.357535999</v>
      </c>
      <c r="G222" s="72"/>
      <c r="H222" s="72">
        <f>H223+H224+H225</f>
        <v>12109723.357535999</v>
      </c>
      <c r="I222" s="72"/>
      <c r="J222" s="72">
        <f>J223+J224+J225</f>
        <v>12109723.357535999</v>
      </c>
      <c r="K222" s="62" t="s">
        <v>232</v>
      </c>
      <c r="L222" s="72">
        <f>L223+L224+L225</f>
        <v>0</v>
      </c>
      <c r="M222" s="72">
        <f>M223+M224+M225</f>
        <v>0</v>
      </c>
      <c r="N222" s="73">
        <f t="shared" si="101"/>
        <v>12109723.357535999</v>
      </c>
      <c r="O222" s="163">
        <f t="shared" ref="O222" si="122">O223+O224+O225</f>
        <v>9757659</v>
      </c>
      <c r="P222" s="98">
        <f>P223+P224+P225</f>
        <v>11675183.879999999</v>
      </c>
      <c r="Q222" s="85">
        <f t="shared" si="94"/>
        <v>0.9641164818793666</v>
      </c>
      <c r="R222" s="85">
        <v>0.9641164818793666</v>
      </c>
      <c r="S222" s="85">
        <f>Q222-R222</f>
        <v>0</v>
      </c>
      <c r="T222" s="85">
        <f t="shared" si="86"/>
        <v>0.9641164818793666</v>
      </c>
      <c r="U222" s="99">
        <f>U223+U224+U225</f>
        <v>11675183.879999999</v>
      </c>
      <c r="V222" s="85">
        <f t="shared" si="96"/>
        <v>0.9641164818793666</v>
      </c>
      <c r="W222" s="86">
        <v>0.9641164818793666</v>
      </c>
      <c r="X222" s="85">
        <f t="shared" si="97"/>
        <v>0</v>
      </c>
      <c r="Y222" s="85">
        <f t="shared" si="102"/>
        <v>0.9641164818793666</v>
      </c>
      <c r="Z222" s="99">
        <f t="shared" ref="Z222:AB222" si="123">Z223+Z224+Z225</f>
        <v>5463500.5099999998</v>
      </c>
      <c r="AA222" s="99">
        <f t="shared" si="123"/>
        <v>0</v>
      </c>
      <c r="AB222" s="99">
        <f t="shared" si="123"/>
        <v>1912448.65</v>
      </c>
      <c r="AC222" s="99">
        <f>AC223+AC224+AC225</f>
        <v>1417099.3499999992</v>
      </c>
      <c r="AD222" s="99">
        <f>AD223+AD224+AD225</f>
        <v>171917.71</v>
      </c>
      <c r="AE222" s="99">
        <f>AG222-AD222</f>
        <v>7204031.4500000002</v>
      </c>
      <c r="AF222" s="90">
        <f t="shared" si="112"/>
        <v>6880599.8599999994</v>
      </c>
      <c r="AG222" s="238">
        <f>AG223+AG224+AG225</f>
        <v>7375949.1600000001</v>
      </c>
      <c r="AH222" s="75">
        <f t="shared" si="99"/>
        <v>0.60909311816853973</v>
      </c>
      <c r="AI222" s="75">
        <v>0.58294630286553306</v>
      </c>
      <c r="AJ222" s="75">
        <f t="shared" si="100"/>
        <v>2.6146815303006665E-2</v>
      </c>
      <c r="AK222" s="80">
        <f t="shared" si="104"/>
        <v>0.60909311816853973</v>
      </c>
      <c r="AL222" s="72"/>
      <c r="AM222" s="81"/>
      <c r="AN222" s="81"/>
      <c r="AO222" s="81"/>
      <c r="AP222" s="72"/>
      <c r="AQ222" s="81"/>
      <c r="AR222" s="81"/>
      <c r="AS222" s="82"/>
    </row>
    <row r="223" spans="1:45" s="11" customFormat="1" ht="165">
      <c r="A223" s="69" t="s">
        <v>74</v>
      </c>
      <c r="B223" s="70" t="s">
        <v>588</v>
      </c>
      <c r="C223" s="71" t="s">
        <v>380</v>
      </c>
      <c r="D223" s="71" t="s">
        <v>298</v>
      </c>
      <c r="E223" s="161">
        <v>11049900</v>
      </c>
      <c r="F223" s="77">
        <f>E223*$E$5</f>
        <v>7765913.9195999997</v>
      </c>
      <c r="G223" s="77">
        <v>11049900</v>
      </c>
      <c r="H223" s="77">
        <f>G223*$G$5</f>
        <v>7765913.9195999997</v>
      </c>
      <c r="I223" s="161">
        <v>11049900</v>
      </c>
      <c r="J223" s="72">
        <f>I223*$I$5</f>
        <v>7765913.9195999997</v>
      </c>
      <c r="K223" s="62" t="s">
        <v>232</v>
      </c>
      <c r="L223" s="72">
        <v>0</v>
      </c>
      <c r="M223" s="72"/>
      <c r="N223" s="73">
        <f t="shared" si="101"/>
        <v>7765913.9195999997</v>
      </c>
      <c r="O223" s="160">
        <v>6362886.1299999999</v>
      </c>
      <c r="P223" s="90">
        <v>7387592.3499999996</v>
      </c>
      <c r="Q223" s="85">
        <f t="shared" si="94"/>
        <v>0.95128434675986129</v>
      </c>
      <c r="R223" s="86">
        <v>0.95128434675986129</v>
      </c>
      <c r="S223" s="85">
        <f t="shared" si="95"/>
        <v>0</v>
      </c>
      <c r="T223" s="85">
        <f t="shared" si="86"/>
        <v>0.95128434675986129</v>
      </c>
      <c r="U223" s="90">
        <v>7387592.3499999996</v>
      </c>
      <c r="V223" s="85">
        <f t="shared" si="96"/>
        <v>0.95128434675986129</v>
      </c>
      <c r="W223" s="85">
        <v>0.95128434675986129</v>
      </c>
      <c r="X223" s="85">
        <f t="shared" si="97"/>
        <v>0</v>
      </c>
      <c r="Y223" s="85">
        <f t="shared" si="102"/>
        <v>0.95128434675986129</v>
      </c>
      <c r="Z223" s="89">
        <v>3984021.58</v>
      </c>
      <c r="AA223" s="89"/>
      <c r="AB223" s="89">
        <v>994844.9</v>
      </c>
      <c r="AC223" s="89">
        <v>763657.03999999899</v>
      </c>
      <c r="AD223" s="89">
        <v>139998.29999999999</v>
      </c>
      <c r="AE223" s="89">
        <f t="shared" si="111"/>
        <v>4838868.1800000006</v>
      </c>
      <c r="AF223" s="90">
        <f t="shared" si="112"/>
        <v>4747678.6199999992</v>
      </c>
      <c r="AG223" s="239">
        <f>SUM(Z223:AB223)</f>
        <v>4978866.4800000004</v>
      </c>
      <c r="AH223" s="75">
        <f t="shared" si="99"/>
        <v>0.64111790724773421</v>
      </c>
      <c r="AI223" s="75">
        <v>0.63890109153509156</v>
      </c>
      <c r="AJ223" s="75">
        <f t="shared" si="100"/>
        <v>2.2168157126426502E-3</v>
      </c>
      <c r="AK223" s="80">
        <f t="shared" si="104"/>
        <v>0.64111790724773421</v>
      </c>
      <c r="AL223" s="72"/>
      <c r="AM223" s="81"/>
      <c r="AN223" s="81"/>
      <c r="AO223" s="81"/>
      <c r="AP223" s="72"/>
      <c r="AQ223" s="81"/>
      <c r="AR223" s="81"/>
      <c r="AS223" s="82"/>
    </row>
    <row r="224" spans="1:45" s="11" customFormat="1" ht="66">
      <c r="A224" s="69" t="s">
        <v>75</v>
      </c>
      <c r="B224" s="70" t="s">
        <v>589</v>
      </c>
      <c r="C224" s="71" t="s">
        <v>380</v>
      </c>
      <c r="D224" s="71" t="s">
        <v>298</v>
      </c>
      <c r="E224" s="161">
        <v>6180684</v>
      </c>
      <c r="F224" s="77">
        <f>E224*$E$5</f>
        <v>4343809.4379359996</v>
      </c>
      <c r="G224" s="77">
        <v>6180684</v>
      </c>
      <c r="H224" s="77">
        <f>G224*$G$5</f>
        <v>4343809.4379359996</v>
      </c>
      <c r="I224" s="161">
        <v>6180684</v>
      </c>
      <c r="J224" s="72">
        <f>I224*$I$5</f>
        <v>4343809.4379359996</v>
      </c>
      <c r="K224" s="62" t="s">
        <v>232</v>
      </c>
      <c r="L224" s="72">
        <v>0</v>
      </c>
      <c r="M224" s="72"/>
      <c r="N224" s="73">
        <f t="shared" si="101"/>
        <v>4343809.4379359996</v>
      </c>
      <c r="O224" s="160">
        <v>3394772.87</v>
      </c>
      <c r="P224" s="90">
        <v>4287591.53</v>
      </c>
      <c r="Q224" s="85">
        <f t="shared" si="94"/>
        <v>0.9870579249068735</v>
      </c>
      <c r="R224" s="86">
        <v>0.9870579249068735</v>
      </c>
      <c r="S224" s="85">
        <f t="shared" si="95"/>
        <v>0</v>
      </c>
      <c r="T224" s="85">
        <f t="shared" si="86"/>
        <v>0.9870579249068735</v>
      </c>
      <c r="U224" s="90">
        <v>4287591.53</v>
      </c>
      <c r="V224" s="85">
        <f t="shared" si="96"/>
        <v>0.9870579249068735</v>
      </c>
      <c r="W224" s="85">
        <v>0.9870579249068735</v>
      </c>
      <c r="X224" s="85">
        <f t="shared" si="97"/>
        <v>0</v>
      </c>
      <c r="Y224" s="85">
        <f t="shared" si="102"/>
        <v>0.9870579249068735</v>
      </c>
      <c r="Z224" s="89">
        <v>1479478.9300000002</v>
      </c>
      <c r="AA224" s="89"/>
      <c r="AB224" s="89">
        <v>917603.75</v>
      </c>
      <c r="AC224" s="89">
        <v>653442.31000000006</v>
      </c>
      <c r="AD224" s="89">
        <v>31919.41</v>
      </c>
      <c r="AE224" s="89">
        <f t="shared" si="111"/>
        <v>2365163.27</v>
      </c>
      <c r="AF224" s="90">
        <f t="shared" si="112"/>
        <v>2132921.2400000002</v>
      </c>
      <c r="AG224" s="239">
        <f>SUM(Z224:AB224)</f>
        <v>2397082.6800000002</v>
      </c>
      <c r="AH224" s="75">
        <f t="shared" si="99"/>
        <v>0.55183882125800521</v>
      </c>
      <c r="AI224" s="75">
        <v>0.48290966948972003</v>
      </c>
      <c r="AJ224" s="75">
        <f t="shared" si="100"/>
        <v>6.892915176828518E-2</v>
      </c>
      <c r="AK224" s="80">
        <f t="shared" si="104"/>
        <v>0.55183882125800521</v>
      </c>
      <c r="AL224" s="72"/>
      <c r="AM224" s="81"/>
      <c r="AN224" s="81"/>
      <c r="AO224" s="81"/>
      <c r="AP224" s="72"/>
      <c r="AQ224" s="81"/>
      <c r="AR224" s="81"/>
      <c r="AS224" s="82"/>
    </row>
    <row r="225" spans="1:45" s="11" customFormat="1" ht="115.5">
      <c r="A225" s="69" t="s">
        <v>76</v>
      </c>
      <c r="B225" s="70" t="s">
        <v>590</v>
      </c>
      <c r="C225" s="71" t="s">
        <v>380</v>
      </c>
      <c r="D225" s="71" t="s">
        <v>298</v>
      </c>
      <c r="E225" s="161">
        <v>0</v>
      </c>
      <c r="F225" s="77">
        <f>E225*$E$5</f>
        <v>0</v>
      </c>
      <c r="G225" s="77">
        <v>0</v>
      </c>
      <c r="H225" s="77">
        <f>G225*$G$5</f>
        <v>0</v>
      </c>
      <c r="I225" s="161">
        <v>0</v>
      </c>
      <c r="J225" s="72">
        <f>I225*$I$5</f>
        <v>0</v>
      </c>
      <c r="K225" s="62" t="s">
        <v>232</v>
      </c>
      <c r="L225" s="72">
        <v>0</v>
      </c>
      <c r="M225" s="72"/>
      <c r="N225" s="73">
        <f t="shared" si="101"/>
        <v>0</v>
      </c>
      <c r="O225" s="160">
        <v>0</v>
      </c>
      <c r="P225" s="90">
        <v>0</v>
      </c>
      <c r="Q225" s="85"/>
      <c r="R225" s="86"/>
      <c r="S225" s="85"/>
      <c r="T225" s="85" t="e">
        <f t="shared" si="86"/>
        <v>#DIV/0!</v>
      </c>
      <c r="U225" s="90">
        <v>0</v>
      </c>
      <c r="V225" s="85"/>
      <c r="W225" s="86"/>
      <c r="X225" s="85"/>
      <c r="Y225" s="85" t="e">
        <f t="shared" si="102"/>
        <v>#DIV/0!</v>
      </c>
      <c r="Z225" s="89">
        <v>0</v>
      </c>
      <c r="AA225" s="89">
        <v>0</v>
      </c>
      <c r="AB225" s="89">
        <v>0</v>
      </c>
      <c r="AC225" s="89">
        <v>0</v>
      </c>
      <c r="AD225" s="89">
        <v>0</v>
      </c>
      <c r="AE225" s="89">
        <f t="shared" si="111"/>
        <v>0</v>
      </c>
      <c r="AF225" s="90">
        <f t="shared" si="112"/>
        <v>0</v>
      </c>
      <c r="AG225" s="239">
        <f>SUM(Z225:AB225)</f>
        <v>0</v>
      </c>
      <c r="AH225" s="75"/>
      <c r="AI225" s="75"/>
      <c r="AJ225" s="75"/>
      <c r="AK225" s="80" t="e">
        <f t="shared" si="104"/>
        <v>#DIV/0!</v>
      </c>
      <c r="AL225" s="72"/>
      <c r="AM225" s="81"/>
      <c r="AN225" s="81"/>
      <c r="AO225" s="81"/>
      <c r="AP225" s="72"/>
      <c r="AQ225" s="81"/>
      <c r="AR225" s="81"/>
      <c r="AS225" s="82"/>
    </row>
    <row r="226" spans="1:45" s="11" customFormat="1" ht="49.5">
      <c r="A226" s="69" t="s">
        <v>77</v>
      </c>
      <c r="B226" s="70" t="s">
        <v>591</v>
      </c>
      <c r="C226" s="71" t="s">
        <v>380</v>
      </c>
      <c r="D226" s="71" t="s">
        <v>298</v>
      </c>
      <c r="E226" s="161">
        <v>0</v>
      </c>
      <c r="F226" s="77">
        <f>E226*$E$5</f>
        <v>0</v>
      </c>
      <c r="G226" s="77">
        <v>0</v>
      </c>
      <c r="H226" s="77">
        <f>G226*$G$5</f>
        <v>0</v>
      </c>
      <c r="I226" s="161">
        <v>0</v>
      </c>
      <c r="J226" s="72">
        <f>I226*$I$5</f>
        <v>0</v>
      </c>
      <c r="K226" s="62" t="s">
        <v>232</v>
      </c>
      <c r="L226" s="72">
        <v>0</v>
      </c>
      <c r="M226" s="72"/>
      <c r="N226" s="73">
        <f t="shared" si="101"/>
        <v>0</v>
      </c>
      <c r="O226" s="160">
        <v>0</v>
      </c>
      <c r="P226" s="90">
        <v>0</v>
      </c>
      <c r="Q226" s="85"/>
      <c r="R226" s="86"/>
      <c r="S226" s="85"/>
      <c r="T226" s="85" t="e">
        <f t="shared" si="86"/>
        <v>#DIV/0!</v>
      </c>
      <c r="U226" s="90">
        <v>0</v>
      </c>
      <c r="V226" s="85"/>
      <c r="W226" s="86"/>
      <c r="X226" s="85"/>
      <c r="Y226" s="85" t="e">
        <f t="shared" si="102"/>
        <v>#DIV/0!</v>
      </c>
      <c r="Z226" s="89">
        <v>0</v>
      </c>
      <c r="AA226" s="89">
        <v>0</v>
      </c>
      <c r="AB226" s="89">
        <v>0</v>
      </c>
      <c r="AC226" s="89">
        <v>0</v>
      </c>
      <c r="AD226" s="89">
        <v>0</v>
      </c>
      <c r="AE226" s="89">
        <f t="shared" si="111"/>
        <v>0</v>
      </c>
      <c r="AF226" s="90">
        <f t="shared" si="112"/>
        <v>0</v>
      </c>
      <c r="AG226" s="239">
        <f>SUM(Z226:AB226)</f>
        <v>0</v>
      </c>
      <c r="AH226" s="75"/>
      <c r="AI226" s="75"/>
      <c r="AJ226" s="75"/>
      <c r="AK226" s="80" t="e">
        <f t="shared" si="104"/>
        <v>#DIV/0!</v>
      </c>
      <c r="AL226" s="72"/>
      <c r="AM226" s="81"/>
      <c r="AN226" s="81"/>
      <c r="AO226" s="81"/>
      <c r="AP226" s="72"/>
      <c r="AQ226" s="81"/>
      <c r="AR226" s="81"/>
      <c r="AS226" s="82"/>
    </row>
    <row r="227" spans="1:45" s="159" customFormat="1" ht="82.5">
      <c r="A227" s="59" t="s">
        <v>592</v>
      </c>
      <c r="B227" s="60" t="s">
        <v>593</v>
      </c>
      <c r="C227" s="61" t="s">
        <v>380</v>
      </c>
      <c r="D227" s="61" t="s">
        <v>594</v>
      </c>
      <c r="E227" s="64"/>
      <c r="F227" s="62">
        <f>F228+F229+F230</f>
        <v>25335213.425843999</v>
      </c>
      <c r="G227" s="62"/>
      <c r="H227" s="62">
        <f>H228+H229+H230</f>
        <v>25335213.425843999</v>
      </c>
      <c r="I227" s="62"/>
      <c r="J227" s="62">
        <f>J228+J229+J230</f>
        <v>25335213.425843999</v>
      </c>
      <c r="K227" s="62" t="s">
        <v>232</v>
      </c>
      <c r="L227" s="62">
        <f>L228+L229+L230</f>
        <v>12000000</v>
      </c>
      <c r="M227" s="62">
        <f>M228+M229+M230</f>
        <v>12000000</v>
      </c>
      <c r="N227" s="41">
        <f t="shared" si="101"/>
        <v>37335213.425843999</v>
      </c>
      <c r="O227" s="162">
        <f t="shared" ref="O227" si="124">O228+O229+O230</f>
        <v>12337360.879999999</v>
      </c>
      <c r="P227" s="92">
        <f>P228+P229+P230</f>
        <v>32263636.369999997</v>
      </c>
      <c r="Q227" s="93">
        <f t="shared" ref="Q227:Q247" si="125">P227/J227</f>
        <v>1.2734700840170716</v>
      </c>
      <c r="R227" s="93">
        <v>0.95775450090536007</v>
      </c>
      <c r="S227" s="93">
        <f t="shared" si="95"/>
        <v>0.31571558311171155</v>
      </c>
      <c r="T227" s="93">
        <f t="shared" si="86"/>
        <v>0.86416102680336149</v>
      </c>
      <c r="U227" s="92">
        <f>U228+U229+U230</f>
        <v>24264577.300000001</v>
      </c>
      <c r="V227" s="93">
        <f t="shared" ref="V227:V245" si="126">U227/J227</f>
        <v>0.95774118386735752</v>
      </c>
      <c r="W227" s="93">
        <v>0.95775450090536007</v>
      </c>
      <c r="X227" s="93">
        <f t="shared" si="97"/>
        <v>-1.3317038002558235E-5</v>
      </c>
      <c r="Y227" s="93">
        <f t="shared" si="102"/>
        <v>0.64991130553451437</v>
      </c>
      <c r="Z227" s="92">
        <f t="shared" ref="Z227:AC227" si="127">Z228+Z229+Z230</f>
        <v>7680039.9399999995</v>
      </c>
      <c r="AA227" s="92">
        <f t="shared" si="127"/>
        <v>37443.14</v>
      </c>
      <c r="AB227" s="92">
        <f t="shared" si="127"/>
        <v>3977828.5500000003</v>
      </c>
      <c r="AC227" s="92">
        <f t="shared" si="127"/>
        <v>331083.510000001</v>
      </c>
      <c r="AD227" s="92">
        <f>AD228+AD229+AD230</f>
        <v>92364.94</v>
      </c>
      <c r="AE227" s="99">
        <f t="shared" si="111"/>
        <v>11602946.690000001</v>
      </c>
      <c r="AF227" s="90">
        <f t="shared" si="112"/>
        <v>8048566.5899999999</v>
      </c>
      <c r="AG227" s="234">
        <f>AG228+AG229+AG230</f>
        <v>11695311.630000001</v>
      </c>
      <c r="AH227" s="65">
        <f t="shared" ref="AH227:AH245" si="128">AG227/J227</f>
        <v>0.4616227790711967</v>
      </c>
      <c r="AI227" s="65">
        <v>0.37718027432333184</v>
      </c>
      <c r="AJ227" s="65">
        <f t="shared" si="100"/>
        <v>8.4442504747864855E-2</v>
      </c>
      <c r="AK227" s="44">
        <f t="shared" si="104"/>
        <v>0.31325150057678069</v>
      </c>
      <c r="AL227" s="72"/>
      <c r="AM227" s="81"/>
      <c r="AN227" s="81"/>
      <c r="AO227" s="81"/>
      <c r="AP227" s="72"/>
      <c r="AQ227" s="81"/>
      <c r="AR227" s="81"/>
      <c r="AS227" s="82"/>
    </row>
    <row r="228" spans="1:45" s="11" customFormat="1" ht="115.5">
      <c r="A228" s="69" t="s">
        <v>114</v>
      </c>
      <c r="B228" s="70" t="s">
        <v>595</v>
      </c>
      <c r="C228" s="71" t="s">
        <v>380</v>
      </c>
      <c r="D228" s="71" t="s">
        <v>594</v>
      </c>
      <c r="E228" s="161">
        <v>21186764</v>
      </c>
      <c r="F228" s="77">
        <f>E228*$E$5</f>
        <v>14890142.486256</v>
      </c>
      <c r="G228" s="77">
        <v>21186764</v>
      </c>
      <c r="H228" s="77">
        <f>G228*$G$5</f>
        <v>14890142.486256</v>
      </c>
      <c r="I228" s="161">
        <v>21186764</v>
      </c>
      <c r="J228" s="72">
        <f>I228*$I$5</f>
        <v>14890142.486256</v>
      </c>
      <c r="K228" s="62" t="s">
        <v>232</v>
      </c>
      <c r="L228" s="72">
        <v>0</v>
      </c>
      <c r="M228" s="72"/>
      <c r="N228" s="73">
        <f t="shared" si="101"/>
        <v>14890142.486256</v>
      </c>
      <c r="O228" s="160">
        <v>6124509.04</v>
      </c>
      <c r="P228" s="90">
        <v>14889924.199999999</v>
      </c>
      <c r="Q228" s="85">
        <f t="shared" si="125"/>
        <v>0.99998534021711327</v>
      </c>
      <c r="R228" s="86">
        <v>0.99998534021711327</v>
      </c>
      <c r="S228" s="85">
        <f t="shared" si="95"/>
        <v>0</v>
      </c>
      <c r="T228" s="85">
        <f t="shared" si="86"/>
        <v>0.99998534021711327</v>
      </c>
      <c r="U228" s="90">
        <v>14889924.199999999</v>
      </c>
      <c r="V228" s="85">
        <f t="shared" si="126"/>
        <v>0.99998534021711327</v>
      </c>
      <c r="W228" s="85">
        <v>0.99998534021711327</v>
      </c>
      <c r="X228" s="85">
        <f t="shared" si="97"/>
        <v>0</v>
      </c>
      <c r="Y228" s="85">
        <f t="shared" si="102"/>
        <v>0.99998534021711327</v>
      </c>
      <c r="Z228" s="89">
        <v>3849325.22</v>
      </c>
      <c r="AA228" s="89"/>
      <c r="AB228" s="89">
        <v>2928628.7</v>
      </c>
      <c r="AC228" s="89">
        <v>0</v>
      </c>
      <c r="AD228" s="89">
        <v>0</v>
      </c>
      <c r="AE228" s="89">
        <f t="shared" si="111"/>
        <v>6777953.9199999999</v>
      </c>
      <c r="AF228" s="90">
        <f t="shared" si="112"/>
        <v>3849325.22</v>
      </c>
      <c r="AG228" s="239">
        <f>SUM(Z228:AB228)</f>
        <v>6777953.9199999999</v>
      </c>
      <c r="AH228" s="75">
        <f t="shared" si="128"/>
        <v>0.45519738486426392</v>
      </c>
      <c r="AI228" s="75">
        <v>0.33777500951669059</v>
      </c>
      <c r="AJ228" s="75">
        <f t="shared" si="100"/>
        <v>0.11742237534757333</v>
      </c>
      <c r="AK228" s="80">
        <f t="shared" si="104"/>
        <v>0.45519738486426392</v>
      </c>
      <c r="AL228" s="72"/>
      <c r="AM228" s="81"/>
      <c r="AN228" s="81"/>
      <c r="AO228" s="81"/>
      <c r="AP228" s="72"/>
      <c r="AQ228" s="81"/>
      <c r="AR228" s="81"/>
      <c r="AS228" s="82"/>
    </row>
    <row r="229" spans="1:45" s="11" customFormat="1" ht="82.5">
      <c r="A229" s="69" t="s">
        <v>115</v>
      </c>
      <c r="B229" s="70" t="s">
        <v>596</v>
      </c>
      <c r="C229" s="71" t="s">
        <v>380</v>
      </c>
      <c r="D229" s="71" t="s">
        <v>594</v>
      </c>
      <c r="E229" s="161">
        <v>9170511</v>
      </c>
      <c r="F229" s="77">
        <f>E229*$E$5</f>
        <v>6445071.8128439998</v>
      </c>
      <c r="G229" s="77">
        <v>9170511</v>
      </c>
      <c r="H229" s="77">
        <f>G229*$G$5</f>
        <v>6445071.8128439998</v>
      </c>
      <c r="I229" s="161">
        <v>9170511</v>
      </c>
      <c r="J229" s="72">
        <f>I229*$I$5</f>
        <v>6445071.8128439998</v>
      </c>
      <c r="K229" s="62" t="s">
        <v>232</v>
      </c>
      <c r="L229" s="72">
        <v>8000000</v>
      </c>
      <c r="M229" s="72">
        <v>8000000</v>
      </c>
      <c r="N229" s="73">
        <f t="shared" si="101"/>
        <v>14445071.812844001</v>
      </c>
      <c r="O229" s="160">
        <v>4436236.7699999996</v>
      </c>
      <c r="P229" s="90">
        <v>14218934.529999999</v>
      </c>
      <c r="Q229" s="85">
        <f t="shared" si="125"/>
        <v>2.2061716211856526</v>
      </c>
      <c r="R229" s="86">
        <v>0.96511148837847049</v>
      </c>
      <c r="S229" s="85">
        <f t="shared" si="95"/>
        <v>1.2410601328071822</v>
      </c>
      <c r="T229" s="85">
        <f t="shared" si="86"/>
        <v>0.98434502190269979</v>
      </c>
      <c r="U229" s="90">
        <v>6219875.46</v>
      </c>
      <c r="V229" s="85">
        <f t="shared" si="126"/>
        <v>0.96505913985392378</v>
      </c>
      <c r="W229" s="85">
        <v>0.96511148837847049</v>
      </c>
      <c r="X229" s="85">
        <f t="shared" si="97"/>
        <v>-5.2348524546719233E-5</v>
      </c>
      <c r="Y229" s="85">
        <f t="shared" si="102"/>
        <v>0.43058806079936041</v>
      </c>
      <c r="Z229" s="89">
        <v>2136490.13</v>
      </c>
      <c r="AA229" s="89"/>
      <c r="AB229" s="89">
        <v>1049199.8500000001</v>
      </c>
      <c r="AC229" s="89">
        <v>331083.510000001</v>
      </c>
      <c r="AD229" s="89">
        <v>87066</v>
      </c>
      <c r="AE229" s="89">
        <f t="shared" si="111"/>
        <v>3098623.98</v>
      </c>
      <c r="AF229" s="90">
        <f t="shared" si="112"/>
        <v>2467573.6400000011</v>
      </c>
      <c r="AG229" s="239">
        <f>SUM(Z229:AB229)</f>
        <v>3185689.98</v>
      </c>
      <c r="AH229" s="75">
        <f t="shared" si="128"/>
        <v>0.49428308520184805</v>
      </c>
      <c r="AI229" s="75">
        <v>0.45672246725534643</v>
      </c>
      <c r="AJ229" s="75">
        <f t="shared" si="100"/>
        <v>3.7560617946501618E-2</v>
      </c>
      <c r="AK229" s="80">
        <f t="shared" si="104"/>
        <v>0.22053818916756143</v>
      </c>
      <c r="AL229" s="72"/>
      <c r="AM229" s="81"/>
      <c r="AN229" s="81"/>
      <c r="AO229" s="81"/>
      <c r="AP229" s="72"/>
      <c r="AQ229" s="81"/>
      <c r="AR229" s="81"/>
      <c r="AS229" s="82"/>
    </row>
    <row r="230" spans="1:45" s="11" customFormat="1" ht="165">
      <c r="A230" s="69" t="s">
        <v>116</v>
      </c>
      <c r="B230" s="70" t="s">
        <v>597</v>
      </c>
      <c r="C230" s="71" t="s">
        <v>380</v>
      </c>
      <c r="D230" s="71" t="s">
        <v>594</v>
      </c>
      <c r="E230" s="161">
        <v>5691486</v>
      </c>
      <c r="F230" s="77">
        <f>E230*$E$5</f>
        <v>3999999.1267439998</v>
      </c>
      <c r="G230" s="77">
        <v>5691486</v>
      </c>
      <c r="H230" s="77">
        <f>G230*$G$5</f>
        <v>3999999.1267439998</v>
      </c>
      <c r="I230" s="161">
        <v>5691486</v>
      </c>
      <c r="J230" s="72">
        <f>I230*$I$5</f>
        <v>3999999.1267439998</v>
      </c>
      <c r="K230" s="62" t="s">
        <v>232</v>
      </c>
      <c r="L230" s="72">
        <v>4000000</v>
      </c>
      <c r="M230" s="72">
        <v>4000000</v>
      </c>
      <c r="N230" s="73">
        <f t="shared" si="101"/>
        <v>7999999.1267440002</v>
      </c>
      <c r="O230" s="160">
        <v>1776615.0699999998</v>
      </c>
      <c r="P230" s="90">
        <v>3154777.64</v>
      </c>
      <c r="Q230" s="85">
        <f t="shared" si="125"/>
        <v>0.78869458218306909</v>
      </c>
      <c r="R230" s="86">
        <v>0.78869458218306909</v>
      </c>
      <c r="S230" s="85">
        <f t="shared" si="95"/>
        <v>0</v>
      </c>
      <c r="T230" s="85">
        <f t="shared" si="86"/>
        <v>0.39434724804576254</v>
      </c>
      <c r="U230" s="90">
        <v>3154777.64</v>
      </c>
      <c r="V230" s="85">
        <f t="shared" si="126"/>
        <v>0.78869458218306909</v>
      </c>
      <c r="W230" s="86">
        <v>0.78869458218306909</v>
      </c>
      <c r="X230" s="85">
        <f t="shared" si="97"/>
        <v>0</v>
      </c>
      <c r="Y230" s="85">
        <f t="shared" si="102"/>
        <v>0.39434724804576254</v>
      </c>
      <c r="Z230" s="89">
        <v>1694224.59</v>
      </c>
      <c r="AA230" s="89">
        <v>37443.14</v>
      </c>
      <c r="AB230" s="89"/>
      <c r="AC230" s="89">
        <v>0</v>
      </c>
      <c r="AD230" s="89">
        <v>5298.94</v>
      </c>
      <c r="AE230" s="89">
        <f t="shared" si="111"/>
        <v>1726368.79</v>
      </c>
      <c r="AF230" s="90">
        <f t="shared" si="112"/>
        <v>1731667.73</v>
      </c>
      <c r="AG230" s="239">
        <f>SUM(Z230:AB230)</f>
        <v>1731667.73</v>
      </c>
      <c r="AH230" s="75">
        <f t="shared" si="128"/>
        <v>0.43291702701184787</v>
      </c>
      <c r="AI230" s="75">
        <v>0.39570399388772171</v>
      </c>
      <c r="AJ230" s="75">
        <f t="shared" si="100"/>
        <v>3.721303312412616E-2</v>
      </c>
      <c r="AK230" s="80">
        <f t="shared" si="104"/>
        <v>0.21645848987795938</v>
      </c>
      <c r="AL230" s="72"/>
      <c r="AM230" s="81"/>
      <c r="AN230" s="81"/>
      <c r="AO230" s="81"/>
      <c r="AP230" s="72"/>
      <c r="AQ230" s="81"/>
      <c r="AR230" s="81"/>
      <c r="AS230" s="82"/>
    </row>
    <row r="231" spans="1:45" s="159" customFormat="1" ht="66">
      <c r="A231" s="59" t="s">
        <v>598</v>
      </c>
      <c r="B231" s="60" t="s">
        <v>599</v>
      </c>
      <c r="C231" s="61" t="s">
        <v>380</v>
      </c>
      <c r="D231" s="61" t="s">
        <v>298</v>
      </c>
      <c r="E231" s="64"/>
      <c r="F231" s="62">
        <f>F232+F233</f>
        <v>52611651.619343996</v>
      </c>
      <c r="G231" s="62"/>
      <c r="H231" s="62">
        <f>H232+H233</f>
        <v>52611651.619343996</v>
      </c>
      <c r="I231" s="62"/>
      <c r="J231" s="62">
        <f>J232+J233</f>
        <v>52611651.619343996</v>
      </c>
      <c r="K231" s="62" t="s">
        <v>232</v>
      </c>
      <c r="L231" s="62">
        <f>L232+L233</f>
        <v>15000000</v>
      </c>
      <c r="M231" s="62">
        <f>M232+M233</f>
        <v>15000000</v>
      </c>
      <c r="N231" s="41">
        <f t="shared" si="101"/>
        <v>67611651.619343996</v>
      </c>
      <c r="O231" s="162">
        <f t="shared" ref="O231" si="129">O232+O233</f>
        <v>15492301.199999999</v>
      </c>
      <c r="P231" s="92">
        <f>P232+P233</f>
        <v>48557654.93</v>
      </c>
      <c r="Q231" s="93">
        <f t="shared" si="125"/>
        <v>0.92294488835523569</v>
      </c>
      <c r="R231" s="93">
        <v>0.90927360342382813</v>
      </c>
      <c r="S231" s="93">
        <f t="shared" si="95"/>
        <v>1.3671284931407568E-2</v>
      </c>
      <c r="T231" s="93">
        <f t="shared" si="86"/>
        <v>0.7181847176782683</v>
      </c>
      <c r="U231" s="92">
        <f>U232+U233</f>
        <v>43182718.460000001</v>
      </c>
      <c r="V231" s="93">
        <f t="shared" si="126"/>
        <v>0.82078241474789182</v>
      </c>
      <c r="W231" s="141">
        <v>0.80875061113564295</v>
      </c>
      <c r="X231" s="93">
        <f t="shared" si="97"/>
        <v>1.203180361224887E-2</v>
      </c>
      <c r="Y231" s="93">
        <f t="shared" si="102"/>
        <v>0.63868752538571671</v>
      </c>
      <c r="Z231" s="92">
        <f t="shared" ref="Z231:AD231" si="130">Z232+Z233</f>
        <v>8624348</v>
      </c>
      <c r="AA231" s="92">
        <f t="shared" si="130"/>
        <v>0</v>
      </c>
      <c r="AB231" s="92">
        <f t="shared" si="130"/>
        <v>984779.47</v>
      </c>
      <c r="AC231" s="92">
        <f t="shared" si="130"/>
        <v>574852.47000000102</v>
      </c>
      <c r="AD231" s="92">
        <f t="shared" si="130"/>
        <v>24997.66</v>
      </c>
      <c r="AE231" s="99">
        <f t="shared" si="111"/>
        <v>9584129.8100000005</v>
      </c>
      <c r="AF231" s="90">
        <f t="shared" si="112"/>
        <v>9199200.4700000007</v>
      </c>
      <c r="AG231" s="234">
        <f>AG232+AG233</f>
        <v>9609127.4700000007</v>
      </c>
      <c r="AH231" s="65">
        <f t="shared" si="128"/>
        <v>0.1826425739211533</v>
      </c>
      <c r="AI231" s="65">
        <v>0.16759595942352101</v>
      </c>
      <c r="AJ231" s="65">
        <f t="shared" si="100"/>
        <v>1.5046614497632282E-2</v>
      </c>
      <c r="AK231" s="44">
        <f t="shared" si="104"/>
        <v>0.14212235967995177</v>
      </c>
      <c r="AL231" s="72"/>
      <c r="AM231" s="81"/>
      <c r="AN231" s="81"/>
      <c r="AO231" s="81"/>
      <c r="AP231" s="72"/>
      <c r="AQ231" s="81"/>
      <c r="AR231" s="81"/>
      <c r="AS231" s="82"/>
    </row>
    <row r="232" spans="1:45" s="11" customFormat="1" ht="82.5">
      <c r="A232" s="69" t="s">
        <v>78</v>
      </c>
      <c r="B232" s="70" t="s">
        <v>600</v>
      </c>
      <c r="C232" s="71" t="s">
        <v>380</v>
      </c>
      <c r="D232" s="71" t="s">
        <v>298</v>
      </c>
      <c r="E232" s="161">
        <v>67956285</v>
      </c>
      <c r="F232" s="77">
        <f>E232*$E$5</f>
        <v>47759948.923139997</v>
      </c>
      <c r="G232" s="77">
        <v>67956285</v>
      </c>
      <c r="H232" s="77">
        <f>G232*$G$5</f>
        <v>47759948.923139997</v>
      </c>
      <c r="I232" s="161">
        <v>67956285</v>
      </c>
      <c r="J232" s="72">
        <f>I232*$I$5</f>
        <v>47759948.923139997</v>
      </c>
      <c r="K232" s="62" t="s">
        <v>232</v>
      </c>
      <c r="L232" s="72">
        <v>15000000</v>
      </c>
      <c r="M232" s="72">
        <f>L232</f>
        <v>15000000</v>
      </c>
      <c r="N232" s="73">
        <f t="shared" si="101"/>
        <v>62759948.923139997</v>
      </c>
      <c r="O232" s="160">
        <v>12586021.629999999</v>
      </c>
      <c r="P232" s="90">
        <v>44299079.869999997</v>
      </c>
      <c r="Q232" s="85">
        <f t="shared" si="125"/>
        <v>0.92753616510960746</v>
      </c>
      <c r="R232" s="86">
        <v>0.91219312692547405</v>
      </c>
      <c r="S232" s="85">
        <f t="shared" si="95"/>
        <v>1.5343038184133406E-2</v>
      </c>
      <c r="T232" s="85">
        <f t="shared" si="86"/>
        <v>0.70584952075489404</v>
      </c>
      <c r="U232" s="90">
        <v>38924143.399999999</v>
      </c>
      <c r="V232" s="85">
        <f t="shared" si="126"/>
        <v>0.81499549889889022</v>
      </c>
      <c r="W232" s="86">
        <v>0.80145848902812067</v>
      </c>
      <c r="X232" s="85">
        <f t="shared" si="97"/>
        <v>1.3537009870769556E-2</v>
      </c>
      <c r="Y232" s="85">
        <f t="shared" si="102"/>
        <v>0.62020674120798103</v>
      </c>
      <c r="Z232" s="89">
        <v>7087848.3900000006</v>
      </c>
      <c r="AA232" s="89"/>
      <c r="AB232" s="89">
        <v>471066.31</v>
      </c>
      <c r="AC232" s="89">
        <v>132547.640000001</v>
      </c>
      <c r="AD232" s="89">
        <v>0</v>
      </c>
      <c r="AE232" s="89">
        <f t="shared" si="111"/>
        <v>7558914.7000000002</v>
      </c>
      <c r="AF232" s="90">
        <f t="shared" si="112"/>
        <v>7220396.0300000012</v>
      </c>
      <c r="AG232" s="239">
        <f>SUM(Z232:AB232)</f>
        <v>7558914.7000000002</v>
      </c>
      <c r="AH232" s="75">
        <f t="shared" si="128"/>
        <v>0.15826890251002046</v>
      </c>
      <c r="AI232" s="75">
        <v>0.14501964231884357</v>
      </c>
      <c r="AJ232" s="75">
        <f t="shared" si="100"/>
        <v>1.3249260191176893E-2</v>
      </c>
      <c r="AK232" s="80">
        <f t="shared" si="104"/>
        <v>0.12044169617246103</v>
      </c>
      <c r="AL232" s="72"/>
      <c r="AM232" s="81"/>
      <c r="AN232" s="81"/>
      <c r="AO232" s="81"/>
      <c r="AP232" s="72"/>
      <c r="AQ232" s="81"/>
      <c r="AR232" s="81"/>
      <c r="AS232" s="82"/>
    </row>
    <row r="233" spans="1:45" s="11" customFormat="1" ht="85.5">
      <c r="A233" s="69" t="s">
        <v>601</v>
      </c>
      <c r="B233" s="70" t="s">
        <v>602</v>
      </c>
      <c r="C233" s="71" t="s">
        <v>380</v>
      </c>
      <c r="D233" s="71" t="s">
        <v>298</v>
      </c>
      <c r="E233" s="161">
        <v>6903351</v>
      </c>
      <c r="F233" s="77">
        <f>E233*$E$5</f>
        <v>4851702.6962040002</v>
      </c>
      <c r="G233" s="77">
        <v>6903351</v>
      </c>
      <c r="H233" s="77">
        <f>G233*$G$5</f>
        <v>4851702.6962040002</v>
      </c>
      <c r="I233" s="161">
        <v>6903351</v>
      </c>
      <c r="J233" s="72">
        <f>I233*$I$5</f>
        <v>4851702.6962040002</v>
      </c>
      <c r="K233" s="62" t="s">
        <v>232</v>
      </c>
      <c r="L233" s="72">
        <v>0</v>
      </c>
      <c r="M233" s="72"/>
      <c r="N233" s="73">
        <f t="shared" si="101"/>
        <v>4851702.6962040002</v>
      </c>
      <c r="O233" s="160">
        <v>2906279.57</v>
      </c>
      <c r="P233" s="90">
        <v>4258575.0599999996</v>
      </c>
      <c r="Q233" s="85">
        <f t="shared" si="125"/>
        <v>0.87774856100146714</v>
      </c>
      <c r="R233" s="86">
        <v>0.88053394189683287</v>
      </c>
      <c r="S233" s="85">
        <f t="shared" si="95"/>
        <v>-2.78538089536573E-3</v>
      </c>
      <c r="T233" s="85">
        <f t="shared" si="86"/>
        <v>0.87774856100146714</v>
      </c>
      <c r="U233" s="90">
        <v>4258575.0599999996</v>
      </c>
      <c r="V233" s="85">
        <f t="shared" si="126"/>
        <v>0.87774856100146714</v>
      </c>
      <c r="W233" s="85">
        <v>0.88053394189683287</v>
      </c>
      <c r="X233" s="85">
        <f t="shared" si="97"/>
        <v>-2.78538089536573E-3</v>
      </c>
      <c r="Y233" s="85">
        <f t="shared" si="102"/>
        <v>0.87774856100146714</v>
      </c>
      <c r="Z233" s="89">
        <v>1536499.6099999999</v>
      </c>
      <c r="AA233" s="89"/>
      <c r="AB233" s="89">
        <v>513713.16</v>
      </c>
      <c r="AC233" s="89">
        <v>442304.83</v>
      </c>
      <c r="AD233" s="89">
        <v>24997.66</v>
      </c>
      <c r="AE233" s="89">
        <f t="shared" si="111"/>
        <v>2025215.1099999999</v>
      </c>
      <c r="AF233" s="90">
        <f t="shared" si="112"/>
        <v>1978804.44</v>
      </c>
      <c r="AG233" s="239">
        <f>SUM(Z233:AB233)</f>
        <v>2050212.7699999998</v>
      </c>
      <c r="AH233" s="75">
        <f t="shared" si="128"/>
        <v>0.42257592815901474</v>
      </c>
      <c r="AI233" s="75">
        <v>0.38983623656078886</v>
      </c>
      <c r="AJ233" s="75">
        <f t="shared" si="100"/>
        <v>3.2739691598225873E-2</v>
      </c>
      <c r="AK233" s="80">
        <f t="shared" si="104"/>
        <v>0.42257592815901474</v>
      </c>
      <c r="AL233" s="72"/>
      <c r="AM233" s="81"/>
      <c r="AN233" s="81"/>
      <c r="AO233" s="81"/>
      <c r="AP233" s="72"/>
      <c r="AQ233" s="81"/>
      <c r="AR233" s="81"/>
      <c r="AS233" s="82"/>
    </row>
    <row r="234" spans="1:45" s="159" customFormat="1" ht="132">
      <c r="A234" s="59" t="s">
        <v>603</v>
      </c>
      <c r="B234" s="60" t="s">
        <v>604</v>
      </c>
      <c r="C234" s="61" t="s">
        <v>487</v>
      </c>
      <c r="D234" s="61" t="s">
        <v>533</v>
      </c>
      <c r="E234" s="64"/>
      <c r="F234" s="62">
        <f>F235+F243</f>
        <v>471307462.12600803</v>
      </c>
      <c r="G234" s="62"/>
      <c r="H234" s="62">
        <f>H235+H243</f>
        <v>471307462.12600803</v>
      </c>
      <c r="I234" s="62"/>
      <c r="J234" s="62">
        <f>J235+J243</f>
        <v>471307462.12600803</v>
      </c>
      <c r="K234" s="62" t="s">
        <v>232</v>
      </c>
      <c r="L234" s="72">
        <f>L235+L243</f>
        <v>11912839</v>
      </c>
      <c r="M234" s="72">
        <f>M235+M243</f>
        <v>11899804</v>
      </c>
      <c r="N234" s="41">
        <f t="shared" si="101"/>
        <v>483207266.12600803</v>
      </c>
      <c r="O234" s="162">
        <f t="shared" ref="O234" si="131">O235+O243</f>
        <v>301779201.22999996</v>
      </c>
      <c r="P234" s="92">
        <f>P235+P243</f>
        <v>424057167.83000004</v>
      </c>
      <c r="Q234" s="93">
        <f t="shared" si="125"/>
        <v>0.89974634799358377</v>
      </c>
      <c r="R234" s="93">
        <v>0.90037036692736716</v>
      </c>
      <c r="S234" s="93">
        <f t="shared" si="95"/>
        <v>-6.2401893378338791E-4</v>
      </c>
      <c r="T234" s="93">
        <f t="shared" si="86"/>
        <v>0.87758855786621559</v>
      </c>
      <c r="U234" s="92">
        <f>U235+U243</f>
        <v>404144269.28000003</v>
      </c>
      <c r="V234" s="93">
        <f t="shared" si="126"/>
        <v>0.85749601217208959</v>
      </c>
      <c r="W234" s="141">
        <v>0.85784930311989016</v>
      </c>
      <c r="X234" s="93">
        <f t="shared" si="97"/>
        <v>-3.5329094780056636E-4</v>
      </c>
      <c r="Y234" s="93">
        <f t="shared" si="102"/>
        <v>0.83637870870635789</v>
      </c>
      <c r="Z234" s="92">
        <f t="shared" ref="Z234:AD234" si="132">Z235+Z243</f>
        <v>149732805.53</v>
      </c>
      <c r="AA234" s="92">
        <f t="shared" si="132"/>
        <v>9941639.7599999998</v>
      </c>
      <c r="AB234" s="92">
        <f t="shared" si="132"/>
        <v>131405127.58</v>
      </c>
      <c r="AC234" s="92">
        <f t="shared" si="132"/>
        <v>61386469.320000105</v>
      </c>
      <c r="AD234" s="92">
        <f t="shared" si="132"/>
        <v>3350747.6</v>
      </c>
      <c r="AE234" s="99">
        <f t="shared" si="111"/>
        <v>287728825.27000004</v>
      </c>
      <c r="AF234" s="90">
        <f t="shared" si="112"/>
        <v>221060914.6100001</v>
      </c>
      <c r="AG234" s="234">
        <f>AG235+AG243</f>
        <v>291079572.87000006</v>
      </c>
      <c r="AH234" s="65">
        <f t="shared" si="128"/>
        <v>0.61760017878133544</v>
      </c>
      <c r="AI234" s="65">
        <v>0.59129625029253607</v>
      </c>
      <c r="AJ234" s="65">
        <f t="shared" si="100"/>
        <v>2.6303928488799366E-2</v>
      </c>
      <c r="AK234" s="44">
        <f t="shared" si="104"/>
        <v>0.60239071983262349</v>
      </c>
      <c r="AL234" s="72"/>
      <c r="AM234" s="81"/>
      <c r="AN234" s="81"/>
      <c r="AO234" s="81"/>
      <c r="AP234" s="72"/>
      <c r="AQ234" s="81"/>
      <c r="AR234" s="81"/>
      <c r="AS234" s="82"/>
    </row>
    <row r="235" spans="1:45" s="159" customFormat="1" ht="66">
      <c r="A235" s="59" t="s">
        <v>605</v>
      </c>
      <c r="B235" s="60" t="s">
        <v>606</v>
      </c>
      <c r="C235" s="61" t="s">
        <v>487</v>
      </c>
      <c r="D235" s="61" t="s">
        <v>369</v>
      </c>
      <c r="E235" s="64"/>
      <c r="F235" s="62">
        <f>F236+F237+F241+F242</f>
        <v>394611362.60073602</v>
      </c>
      <c r="G235" s="62"/>
      <c r="H235" s="62">
        <f>H236+H237+H241+H242</f>
        <v>394611362.60073602</v>
      </c>
      <c r="I235" s="62"/>
      <c r="J235" s="62">
        <f>J236+J237+J241+J242</f>
        <v>394611362.60073602</v>
      </c>
      <c r="K235" s="62" t="s">
        <v>232</v>
      </c>
      <c r="L235" s="62">
        <f>L236+L237+L241+L242</f>
        <v>11912839</v>
      </c>
      <c r="M235" s="62">
        <f>M236+M237+M241+M242</f>
        <v>11899804</v>
      </c>
      <c r="N235" s="41">
        <f t="shared" si="101"/>
        <v>406511166.60073602</v>
      </c>
      <c r="O235" s="179">
        <f t="shared" ref="O235" si="133">O236+O237+O241+O242</f>
        <v>276580824.39999998</v>
      </c>
      <c r="P235" s="173">
        <f>P236+P237+P241+P242</f>
        <v>352419407.30000001</v>
      </c>
      <c r="Q235" s="93">
        <f t="shared" si="125"/>
        <v>0.89307972527028978</v>
      </c>
      <c r="R235" s="93">
        <v>0.89349877810472966</v>
      </c>
      <c r="S235" s="93">
        <f t="shared" si="95"/>
        <v>-4.1905283443988139E-4</v>
      </c>
      <c r="T235" s="93">
        <f t="shared" si="86"/>
        <v>0.86693659671626333</v>
      </c>
      <c r="U235" s="173">
        <f>U236+U237+U241+U242</f>
        <v>348559420.41000003</v>
      </c>
      <c r="V235" s="93">
        <f t="shared" si="126"/>
        <v>0.8832979823813869</v>
      </c>
      <c r="W235" s="141">
        <v>0.88371703521582678</v>
      </c>
      <c r="X235" s="93">
        <f t="shared" si="97"/>
        <v>-4.1905283443988139E-4</v>
      </c>
      <c r="Y235" s="93">
        <f t="shared" si="102"/>
        <v>0.85744119484999393</v>
      </c>
      <c r="Z235" s="173">
        <f t="shared" ref="Z235:AD235" si="134">Z236+Z237+Z241+Z242</f>
        <v>136445788.31</v>
      </c>
      <c r="AA235" s="173">
        <f t="shared" si="134"/>
        <v>727566.69</v>
      </c>
      <c r="AB235" s="173">
        <f t="shared" si="134"/>
        <v>131405127.58</v>
      </c>
      <c r="AC235" s="173">
        <f t="shared" si="134"/>
        <v>58837863.260000102</v>
      </c>
      <c r="AD235" s="173">
        <f t="shared" si="134"/>
        <v>3350747.6</v>
      </c>
      <c r="AE235" s="99">
        <f t="shared" si="111"/>
        <v>265227734.98000005</v>
      </c>
      <c r="AF235" s="90">
        <f t="shared" si="112"/>
        <v>196011218.26000011</v>
      </c>
      <c r="AG235" s="244">
        <f>AG236+AG237+AG241+AG242</f>
        <v>268578482.58000004</v>
      </c>
      <c r="AH235" s="65">
        <f t="shared" si="128"/>
        <v>0.68061517744927469</v>
      </c>
      <c r="AI235" s="65">
        <v>0.65081990667321188</v>
      </c>
      <c r="AJ235" s="65">
        <f t="shared" si="100"/>
        <v>2.979527077606281E-2</v>
      </c>
      <c r="AK235" s="44">
        <f t="shared" si="104"/>
        <v>0.66069152497301598</v>
      </c>
      <c r="AL235" s="72"/>
      <c r="AM235" s="81"/>
      <c r="AN235" s="81"/>
      <c r="AO235" s="81"/>
      <c r="AP235" s="72"/>
      <c r="AQ235" s="81"/>
      <c r="AR235" s="81"/>
      <c r="AS235" s="82"/>
    </row>
    <row r="236" spans="1:45" s="11" customFormat="1" ht="132">
      <c r="A236" s="69" t="s">
        <v>607</v>
      </c>
      <c r="B236" s="70" t="s">
        <v>608</v>
      </c>
      <c r="C236" s="71" t="s">
        <v>487</v>
      </c>
      <c r="D236" s="71" t="s">
        <v>369</v>
      </c>
      <c r="E236" s="161">
        <v>429510102</v>
      </c>
      <c r="F236" s="77">
        <f>E236*$E$5</f>
        <v>301861417.726008</v>
      </c>
      <c r="G236" s="77">
        <v>429510102</v>
      </c>
      <c r="H236" s="77">
        <f>G236*$G$5</f>
        <v>301861417.726008</v>
      </c>
      <c r="I236" s="161">
        <v>429510102</v>
      </c>
      <c r="J236" s="72">
        <f>I236*$I$5</f>
        <v>301861417.726008</v>
      </c>
      <c r="K236" s="62" t="s">
        <v>232</v>
      </c>
      <c r="L236" s="72">
        <v>11000000</v>
      </c>
      <c r="M236" s="72">
        <f>L236</f>
        <v>11000000</v>
      </c>
      <c r="N236" s="73">
        <f t="shared" si="101"/>
        <v>312861417.726008</v>
      </c>
      <c r="O236" s="160">
        <v>238922295.56</v>
      </c>
      <c r="P236" s="90">
        <v>297739088.58999997</v>
      </c>
      <c r="Q236" s="85">
        <f>P236/J236</f>
        <v>0.98634363686799564</v>
      </c>
      <c r="R236" s="86">
        <v>0.98689070482800212</v>
      </c>
      <c r="S236" s="85">
        <f>Q236-R236</f>
        <v>-5.470679600064754E-4</v>
      </c>
      <c r="T236" s="85">
        <f t="shared" si="86"/>
        <v>0.95166444860499999</v>
      </c>
      <c r="U236" s="90">
        <v>297739088.58999997</v>
      </c>
      <c r="V236" s="85">
        <f>U236/J236</f>
        <v>0.98634363686799564</v>
      </c>
      <c r="W236" s="85">
        <v>0.98689070482800212</v>
      </c>
      <c r="X236" s="85">
        <f>V236-W236</f>
        <v>-5.470679600064754E-4</v>
      </c>
      <c r="Y236" s="85">
        <f t="shared" si="102"/>
        <v>0.95166444860499999</v>
      </c>
      <c r="Z236" s="89">
        <v>118517162.7</v>
      </c>
      <c r="AA236" s="89"/>
      <c r="AB236" s="89">
        <v>118454104.17</v>
      </c>
      <c r="AC236" s="89">
        <v>49971213.3400001</v>
      </c>
      <c r="AD236" s="89">
        <v>3233550.27</v>
      </c>
      <c r="AE236" s="89">
        <f t="shared" si="111"/>
        <v>233737716.59999999</v>
      </c>
      <c r="AF236" s="90">
        <f t="shared" si="112"/>
        <v>168488376.04000011</v>
      </c>
      <c r="AG236" s="239">
        <f>SUM(Z236:AB236)</f>
        <v>236971266.87</v>
      </c>
      <c r="AH236" s="75">
        <f t="shared" si="128"/>
        <v>0.78503330652575432</v>
      </c>
      <c r="AI236" s="75">
        <v>0.7512489504234563</v>
      </c>
      <c r="AJ236" s="75">
        <f t="shared" si="100"/>
        <v>3.3784356102298019E-2</v>
      </c>
      <c r="AK236" s="80">
        <f t="shared" si="104"/>
        <v>0.75743205599589247</v>
      </c>
      <c r="AL236" s="72"/>
      <c r="AM236" s="81"/>
      <c r="AN236" s="81"/>
      <c r="AO236" s="81"/>
      <c r="AP236" s="72"/>
      <c r="AQ236" s="81"/>
      <c r="AR236" s="81"/>
      <c r="AS236" s="82"/>
    </row>
    <row r="237" spans="1:45" s="159" customFormat="1" ht="82.5">
      <c r="A237" s="94" t="s">
        <v>609</v>
      </c>
      <c r="B237" s="95" t="s">
        <v>610</v>
      </c>
      <c r="C237" s="96" t="s">
        <v>487</v>
      </c>
      <c r="D237" s="96" t="s">
        <v>369</v>
      </c>
      <c r="E237" s="100"/>
      <c r="F237" s="72">
        <f>F238+F239+F240</f>
        <v>81013118.074727997</v>
      </c>
      <c r="G237" s="72"/>
      <c r="H237" s="72">
        <f>H238+H239+H240</f>
        <v>81013118.074727997</v>
      </c>
      <c r="I237" s="72"/>
      <c r="J237" s="72">
        <f>J238+J239+J240</f>
        <v>81013118.074727997</v>
      </c>
      <c r="K237" s="62" t="s">
        <v>232</v>
      </c>
      <c r="L237" s="72">
        <f>L238+L239+L240</f>
        <v>782839</v>
      </c>
      <c r="M237" s="72">
        <f>M238+M239+M240</f>
        <v>782839</v>
      </c>
      <c r="N237" s="73">
        <f t="shared" si="101"/>
        <v>81795957.074727997</v>
      </c>
      <c r="O237" s="163">
        <f t="shared" ref="O237" si="135">O238+O239+O240</f>
        <v>31755864.98</v>
      </c>
      <c r="P237" s="98">
        <v>43261883.990000002</v>
      </c>
      <c r="Q237" s="85">
        <f t="shared" si="125"/>
        <v>0.53401084933052989</v>
      </c>
      <c r="R237" s="85">
        <v>0.53401361801793912</v>
      </c>
      <c r="S237" s="85">
        <f>Q237-R237</f>
        <v>-2.7686874092269775E-6</v>
      </c>
      <c r="T237" s="85">
        <f t="shared" si="86"/>
        <v>0.52890002803532654</v>
      </c>
      <c r="U237" s="99">
        <v>39401897.100000001</v>
      </c>
      <c r="V237" s="85">
        <f t="shared" si="126"/>
        <v>0.48636440660949459</v>
      </c>
      <c r="W237" s="85">
        <v>0.48636717529690382</v>
      </c>
      <c r="X237" s="85">
        <f t="shared" si="97"/>
        <v>-2.7686874092269775E-6</v>
      </c>
      <c r="Y237" s="85">
        <f t="shared" si="102"/>
        <v>0.48170959188120765</v>
      </c>
      <c r="Z237" s="99">
        <f t="shared" ref="Z237:AD237" si="136">Z238+Z239+Z240</f>
        <v>14776203.450000001</v>
      </c>
      <c r="AA237" s="99">
        <f t="shared" si="136"/>
        <v>727566.69</v>
      </c>
      <c r="AB237" s="99">
        <f>AB238+AB239+AB240</f>
        <v>12951023.41</v>
      </c>
      <c r="AC237" s="99">
        <f t="shared" si="136"/>
        <v>8866649.9199999999</v>
      </c>
      <c r="AD237" s="99">
        <f t="shared" si="136"/>
        <v>117197.33</v>
      </c>
      <c r="AE237" s="99">
        <f t="shared" si="111"/>
        <v>28337596.220000006</v>
      </c>
      <c r="AF237" s="90">
        <f t="shared" si="112"/>
        <v>24370420.060000002</v>
      </c>
      <c r="AG237" s="241">
        <f>AG238+AG239+AG240</f>
        <v>28454793.550000004</v>
      </c>
      <c r="AH237" s="75">
        <f t="shared" si="128"/>
        <v>0.35123686417985761</v>
      </c>
      <c r="AI237" s="75">
        <v>0.33735498792664831</v>
      </c>
      <c r="AJ237" s="75">
        <f t="shared" si="100"/>
        <v>1.3881876253209302E-2</v>
      </c>
      <c r="AK237" s="80">
        <f t="shared" si="104"/>
        <v>0.34787530542620804</v>
      </c>
      <c r="AL237" s="72"/>
      <c r="AM237" s="81"/>
      <c r="AN237" s="81"/>
      <c r="AO237" s="81"/>
      <c r="AP237" s="72"/>
      <c r="AQ237" s="81"/>
      <c r="AR237" s="81"/>
      <c r="AS237" s="82"/>
    </row>
    <row r="238" spans="1:45" s="11" customFormat="1" ht="82.5">
      <c r="A238" s="69" t="s">
        <v>124</v>
      </c>
      <c r="B238" s="70" t="s">
        <v>611</v>
      </c>
      <c r="C238" s="71" t="s">
        <v>487</v>
      </c>
      <c r="D238" s="71" t="s">
        <v>369</v>
      </c>
      <c r="E238" s="161">
        <v>19600000</v>
      </c>
      <c r="F238" s="77">
        <f>E238*$E$5</f>
        <v>13774958.4</v>
      </c>
      <c r="G238" s="161">
        <v>19600000</v>
      </c>
      <c r="H238" s="77">
        <f>G238*$G$5</f>
        <v>13774958.4</v>
      </c>
      <c r="I238" s="161">
        <v>19600000</v>
      </c>
      <c r="J238" s="72">
        <f>I238*$I$5</f>
        <v>13774958.4</v>
      </c>
      <c r="K238" s="62" t="s">
        <v>232</v>
      </c>
      <c r="L238" s="72">
        <v>782839</v>
      </c>
      <c r="M238" s="72">
        <f>L238</f>
        <v>782839</v>
      </c>
      <c r="N238" s="73">
        <f t="shared" si="101"/>
        <v>14557797.4</v>
      </c>
      <c r="O238" s="160">
        <v>5364292.75</v>
      </c>
      <c r="P238" s="90">
        <v>10664149.109999999</v>
      </c>
      <c r="Q238" s="85">
        <f t="shared" si="125"/>
        <v>0.7741692425002169</v>
      </c>
      <c r="R238" s="86">
        <v>0.77418552567098864</v>
      </c>
      <c r="S238" s="85">
        <f t="shared" si="95"/>
        <v>-1.6283170771735911E-5</v>
      </c>
      <c r="T238" s="85">
        <f t="shared" si="86"/>
        <v>0.73253864008301139</v>
      </c>
      <c r="U238" s="90">
        <v>6804162.2199999997</v>
      </c>
      <c r="V238" s="85">
        <f t="shared" si="126"/>
        <v>0.49395156213321117</v>
      </c>
      <c r="W238" s="86">
        <v>0.49396784530398286</v>
      </c>
      <c r="X238" s="85">
        <f t="shared" si="97"/>
        <v>-1.62831707716804E-5</v>
      </c>
      <c r="Y238" s="85">
        <f t="shared" si="102"/>
        <v>0.46738953929939975</v>
      </c>
      <c r="Z238" s="89">
        <v>2829527.04</v>
      </c>
      <c r="AA238" s="89"/>
      <c r="AB238" s="89">
        <v>2167677.0099999998</v>
      </c>
      <c r="AC238" s="89">
        <v>1425129.5</v>
      </c>
      <c r="AD238" s="89">
        <v>112615.38</v>
      </c>
      <c r="AE238" s="89">
        <f t="shared" si="111"/>
        <v>4884588.67</v>
      </c>
      <c r="AF238" s="90">
        <f t="shared" si="112"/>
        <v>4254656.54</v>
      </c>
      <c r="AG238" s="239">
        <f>SUM(Z238:AB238)</f>
        <v>4997204.05</v>
      </c>
      <c r="AH238" s="75">
        <f t="shared" si="128"/>
        <v>0.36277452932271648</v>
      </c>
      <c r="AI238" s="75">
        <v>0.32249052672275219</v>
      </c>
      <c r="AJ238" s="75">
        <f t="shared" si="100"/>
        <v>4.0284002599964286E-2</v>
      </c>
      <c r="AK238" s="80">
        <f t="shared" si="104"/>
        <v>0.3432664923609941</v>
      </c>
      <c r="AL238" s="72"/>
      <c r="AM238" s="81"/>
      <c r="AN238" s="81"/>
      <c r="AO238" s="81"/>
      <c r="AP238" s="72"/>
      <c r="AQ238" s="81"/>
      <c r="AR238" s="81"/>
      <c r="AS238" s="82"/>
    </row>
    <row r="239" spans="1:45" s="11" customFormat="1" ht="82.5">
      <c r="A239" s="69" t="s">
        <v>125</v>
      </c>
      <c r="B239" s="70" t="s">
        <v>612</v>
      </c>
      <c r="C239" s="71" t="s">
        <v>487</v>
      </c>
      <c r="D239" s="71" t="s">
        <v>369</v>
      </c>
      <c r="E239" s="161">
        <v>40100000</v>
      </c>
      <c r="F239" s="77">
        <f>E239*$E$5</f>
        <v>28182440.399999999</v>
      </c>
      <c r="G239" s="161">
        <v>40100000</v>
      </c>
      <c r="H239" s="77">
        <f>G239*$G$5</f>
        <v>28182440.399999999</v>
      </c>
      <c r="I239" s="161">
        <v>40100000</v>
      </c>
      <c r="J239" s="72">
        <f>I239*$I$5</f>
        <v>28182440.399999999</v>
      </c>
      <c r="K239" s="62" t="s">
        <v>232</v>
      </c>
      <c r="L239" s="72">
        <v>0</v>
      </c>
      <c r="M239" s="72"/>
      <c r="N239" s="73">
        <f t="shared" si="101"/>
        <v>28182440.399999999</v>
      </c>
      <c r="O239" s="160">
        <v>21627848.82</v>
      </c>
      <c r="P239" s="90">
        <v>27987493.890000001</v>
      </c>
      <c r="Q239" s="85">
        <f t="shared" si="125"/>
        <v>0.99308269591869702</v>
      </c>
      <c r="R239" s="86">
        <v>0.99308269591869702</v>
      </c>
      <c r="S239" s="85">
        <f t="shared" si="95"/>
        <v>0</v>
      </c>
      <c r="T239" s="85">
        <f t="shared" si="86"/>
        <v>0.99308269591869702</v>
      </c>
      <c r="U239" s="90">
        <v>27987493.890000001</v>
      </c>
      <c r="V239" s="85">
        <f t="shared" si="126"/>
        <v>0.99308269591869702</v>
      </c>
      <c r="W239" s="85">
        <v>0.99308269591869702</v>
      </c>
      <c r="X239" s="85">
        <f t="shared" si="97"/>
        <v>0</v>
      </c>
      <c r="Y239" s="85">
        <f t="shared" si="102"/>
        <v>0.99308269591869702</v>
      </c>
      <c r="Z239" s="89">
        <v>9893938.4400000013</v>
      </c>
      <c r="AA239" s="89"/>
      <c r="AB239" s="89">
        <v>10783346.4</v>
      </c>
      <c r="AC239" s="89">
        <v>6754273.0199999996</v>
      </c>
      <c r="AD239" s="89">
        <v>4581.95</v>
      </c>
      <c r="AE239" s="89">
        <f t="shared" si="111"/>
        <v>20672702.890000004</v>
      </c>
      <c r="AF239" s="90">
        <f t="shared" si="112"/>
        <v>16648211.460000001</v>
      </c>
      <c r="AG239" s="239">
        <f>SUM(Z239:AB239)</f>
        <v>20677284.840000004</v>
      </c>
      <c r="AH239" s="75">
        <f t="shared" si="128"/>
        <v>0.7336939082110151</v>
      </c>
      <c r="AI239" s="75">
        <v>0.71376312854723534</v>
      </c>
      <c r="AJ239" s="75">
        <f t="shared" si="100"/>
        <v>1.9930779663779763E-2</v>
      </c>
      <c r="AK239" s="80">
        <f t="shared" si="104"/>
        <v>0.7336939082110151</v>
      </c>
      <c r="AL239" s="72"/>
      <c r="AM239" s="81"/>
      <c r="AN239" s="81"/>
      <c r="AO239" s="81"/>
      <c r="AP239" s="72"/>
      <c r="AQ239" s="81"/>
      <c r="AR239" s="81"/>
      <c r="AS239" s="82"/>
    </row>
    <row r="240" spans="1:45" s="11" customFormat="1" ht="82.5">
      <c r="A240" s="69" t="s">
        <v>126</v>
      </c>
      <c r="B240" s="70" t="s">
        <v>613</v>
      </c>
      <c r="C240" s="71" t="s">
        <v>487</v>
      </c>
      <c r="D240" s="71" t="s">
        <v>369</v>
      </c>
      <c r="E240" s="161">
        <v>55571282</v>
      </c>
      <c r="F240" s="77">
        <f>E240*$E$5</f>
        <v>39055719.274728</v>
      </c>
      <c r="G240" s="161">
        <v>55571282</v>
      </c>
      <c r="H240" s="77">
        <f>G240*$G$5</f>
        <v>39055719.274728</v>
      </c>
      <c r="I240" s="161">
        <v>55571282</v>
      </c>
      <c r="J240" s="72">
        <f>I240*$I$5</f>
        <v>39055719.274728</v>
      </c>
      <c r="K240" s="62" t="s">
        <v>232</v>
      </c>
      <c r="L240" s="72">
        <v>0</v>
      </c>
      <c r="M240" s="72"/>
      <c r="N240" s="73">
        <f t="shared" si="101"/>
        <v>39055719.274728</v>
      </c>
      <c r="O240" s="160">
        <v>4763723.41</v>
      </c>
      <c r="P240" s="90">
        <v>4610240.99</v>
      </c>
      <c r="Q240" s="85">
        <f t="shared" si="125"/>
        <v>0.11804265996409838</v>
      </c>
      <c r="R240" s="86">
        <v>0.11804265996409838</v>
      </c>
      <c r="S240" s="85">
        <f>Q240-R240</f>
        <v>0</v>
      </c>
      <c r="T240" s="85">
        <f t="shared" si="86"/>
        <v>0.11804265996409838</v>
      </c>
      <c r="U240" s="90">
        <v>4610240.99</v>
      </c>
      <c r="V240" s="85">
        <f t="shared" si="126"/>
        <v>0.11804265996409838</v>
      </c>
      <c r="W240" s="86">
        <v>0.11804265996409838</v>
      </c>
      <c r="X240" s="85">
        <f t="shared" si="97"/>
        <v>0</v>
      </c>
      <c r="Y240" s="85">
        <f t="shared" si="102"/>
        <v>0.11804265996409838</v>
      </c>
      <c r="Z240" s="89">
        <v>2052737.97</v>
      </c>
      <c r="AA240" s="89">
        <v>727566.69</v>
      </c>
      <c r="AB240" s="89">
        <v>0</v>
      </c>
      <c r="AC240" s="89">
        <v>687247.4</v>
      </c>
      <c r="AD240" s="89">
        <v>0</v>
      </c>
      <c r="AE240" s="89">
        <f t="shared" si="111"/>
        <v>2780304.66</v>
      </c>
      <c r="AF240" s="90">
        <f t="shared" si="112"/>
        <v>3467552.06</v>
      </c>
      <c r="AG240" s="239">
        <f>SUM(Z240:AB240)</f>
        <v>2780304.66</v>
      </c>
      <c r="AH240" s="75">
        <f t="shared" si="128"/>
        <v>7.1188156603713276E-2</v>
      </c>
      <c r="AI240" s="75">
        <v>7.0983177406078055E-2</v>
      </c>
      <c r="AJ240" s="75">
        <f t="shared" si="100"/>
        <v>2.0497919763522165E-4</v>
      </c>
      <c r="AK240" s="80">
        <f t="shared" si="104"/>
        <v>7.1188156603713276E-2</v>
      </c>
      <c r="AL240" s="72"/>
      <c r="AM240" s="81"/>
      <c r="AN240" s="81"/>
      <c r="AO240" s="81"/>
      <c r="AP240" s="72"/>
      <c r="AQ240" s="81"/>
      <c r="AR240" s="81"/>
      <c r="AS240" s="82"/>
    </row>
    <row r="241" spans="1:45" s="11" customFormat="1" ht="82.5">
      <c r="A241" s="69" t="s">
        <v>140</v>
      </c>
      <c r="B241" s="70" t="s">
        <v>614</v>
      </c>
      <c r="C241" s="71" t="s">
        <v>487</v>
      </c>
      <c r="D241" s="71" t="s">
        <v>369</v>
      </c>
      <c r="E241" s="161">
        <v>6500000</v>
      </c>
      <c r="F241" s="77">
        <f>E241*$E$5</f>
        <v>4568226</v>
      </c>
      <c r="G241" s="161">
        <v>6500000</v>
      </c>
      <c r="H241" s="77">
        <f>G241*$G$5</f>
        <v>4568226</v>
      </c>
      <c r="I241" s="161">
        <v>6500000</v>
      </c>
      <c r="J241" s="72">
        <f>I241*$I$5</f>
        <v>4568226</v>
      </c>
      <c r="K241" s="62" t="s">
        <v>232</v>
      </c>
      <c r="L241" s="72">
        <v>0</v>
      </c>
      <c r="M241" s="72"/>
      <c r="N241" s="73">
        <f t="shared" si="101"/>
        <v>4568226</v>
      </c>
      <c r="O241" s="160">
        <v>1891071.71</v>
      </c>
      <c r="P241" s="90">
        <v>4408072</v>
      </c>
      <c r="Q241" s="85">
        <f t="shared" si="125"/>
        <v>0.96494175200613985</v>
      </c>
      <c r="R241" s="86">
        <v>0.96494175200613985</v>
      </c>
      <c r="S241" s="85">
        <f t="shared" si="95"/>
        <v>0</v>
      </c>
      <c r="T241" s="85">
        <f t="shared" si="86"/>
        <v>0.96494175200613985</v>
      </c>
      <c r="U241" s="90">
        <v>4408072</v>
      </c>
      <c r="V241" s="85">
        <f t="shared" si="126"/>
        <v>0.96494175200613985</v>
      </c>
      <c r="W241" s="86">
        <v>0.96494175200613985</v>
      </c>
      <c r="X241" s="85">
        <f t="shared" si="97"/>
        <v>0</v>
      </c>
      <c r="Y241" s="85">
        <f t="shared" si="102"/>
        <v>0.96494175200613985</v>
      </c>
      <c r="Z241" s="89">
        <v>321947.71000000002</v>
      </c>
      <c r="AA241" s="89"/>
      <c r="AB241" s="89"/>
      <c r="AC241" s="89">
        <v>0</v>
      </c>
      <c r="AD241" s="89">
        <v>0</v>
      </c>
      <c r="AE241" s="89">
        <f t="shared" si="111"/>
        <v>321947.71000000002</v>
      </c>
      <c r="AF241" s="90">
        <f t="shared" si="112"/>
        <v>321947.71000000002</v>
      </c>
      <c r="AG241" s="239">
        <f>SUM(Z241:AB241)</f>
        <v>321947.71000000002</v>
      </c>
      <c r="AH241" s="75">
        <f t="shared" si="128"/>
        <v>7.047543400873775E-2</v>
      </c>
      <c r="AI241" s="75">
        <v>7.047543400873775E-2</v>
      </c>
      <c r="AJ241" s="75">
        <f t="shared" si="100"/>
        <v>0</v>
      </c>
      <c r="AK241" s="80">
        <f t="shared" si="104"/>
        <v>7.047543400873775E-2</v>
      </c>
      <c r="AL241" s="72"/>
      <c r="AM241" s="81"/>
      <c r="AN241" s="81"/>
      <c r="AO241" s="81"/>
      <c r="AP241" s="72"/>
      <c r="AQ241" s="81"/>
      <c r="AR241" s="81"/>
      <c r="AS241" s="82"/>
    </row>
    <row r="242" spans="1:45" s="11" customFormat="1" ht="82.5">
      <c r="A242" s="69" t="s">
        <v>141</v>
      </c>
      <c r="B242" s="70" t="s">
        <v>615</v>
      </c>
      <c r="C242" s="71" t="s">
        <v>487</v>
      </c>
      <c r="D242" s="71" t="s">
        <v>369</v>
      </c>
      <c r="E242" s="161">
        <v>10200000</v>
      </c>
      <c r="F242" s="77">
        <f>E242*$E$5</f>
        <v>7168600.7999999998</v>
      </c>
      <c r="G242" s="161">
        <v>10200000</v>
      </c>
      <c r="H242" s="77">
        <f>G242*$G$5</f>
        <v>7168600.7999999998</v>
      </c>
      <c r="I242" s="161">
        <v>10200000</v>
      </c>
      <c r="J242" s="72">
        <f>I242*$I$5</f>
        <v>7168600.7999999998</v>
      </c>
      <c r="K242" s="62" t="s">
        <v>232</v>
      </c>
      <c r="L242" s="72">
        <v>130000</v>
      </c>
      <c r="M242" s="72">
        <f>L242*0.899730769230769</f>
        <v>116964.99999999997</v>
      </c>
      <c r="N242" s="73">
        <f t="shared" si="101"/>
        <v>7285565.7999999998</v>
      </c>
      <c r="O242" s="160">
        <f>3900410.15+111182</f>
        <v>4011592.15</v>
      </c>
      <c r="P242" s="90">
        <v>7010362.7199999997</v>
      </c>
      <c r="Q242" s="85">
        <f t="shared" si="125"/>
        <v>0.97792622515679772</v>
      </c>
      <c r="R242" s="86">
        <v>0.97792622515679772</v>
      </c>
      <c r="S242" s="85">
        <f t="shared" si="95"/>
        <v>0</v>
      </c>
      <c r="T242" s="85">
        <f t="shared" si="86"/>
        <v>0.9622262583916269</v>
      </c>
      <c r="U242" s="90">
        <v>7010362.7199999997</v>
      </c>
      <c r="V242" s="85">
        <f t="shared" si="126"/>
        <v>0.97792622515679772</v>
      </c>
      <c r="W242" s="86">
        <v>0.97792622515679772</v>
      </c>
      <c r="X242" s="85">
        <f>V242-W242</f>
        <v>0</v>
      </c>
      <c r="Y242" s="85">
        <f t="shared" si="102"/>
        <v>0.9622262583916269</v>
      </c>
      <c r="Z242" s="89">
        <v>2830474.45</v>
      </c>
      <c r="AA242" s="89"/>
      <c r="AB242" s="89"/>
      <c r="AC242" s="89">
        <v>0</v>
      </c>
      <c r="AD242" s="89">
        <v>0</v>
      </c>
      <c r="AE242" s="89">
        <f t="shared" si="111"/>
        <v>2830474.45</v>
      </c>
      <c r="AF242" s="90">
        <f t="shared" si="112"/>
        <v>2830474.45</v>
      </c>
      <c r="AG242" s="239">
        <f>SUM(Z242:AB242)</f>
        <v>2830474.45</v>
      </c>
      <c r="AH242" s="75">
        <f t="shared" si="128"/>
        <v>0.39484336329622377</v>
      </c>
      <c r="AI242" s="75">
        <v>0.33419768052923238</v>
      </c>
      <c r="AJ242" s="75">
        <f t="shared" si="100"/>
        <v>6.0645682766991393E-2</v>
      </c>
      <c r="AK242" s="80">
        <f t="shared" si="104"/>
        <v>0.388504411009506</v>
      </c>
      <c r="AL242" s="72"/>
      <c r="AM242" s="81"/>
      <c r="AN242" s="81"/>
      <c r="AO242" s="81"/>
      <c r="AP242" s="72"/>
      <c r="AQ242" s="81"/>
      <c r="AR242" s="81"/>
      <c r="AS242" s="82"/>
    </row>
    <row r="243" spans="1:45" s="159" customFormat="1" ht="49.5">
      <c r="A243" s="59" t="s">
        <v>616</v>
      </c>
      <c r="B243" s="60" t="s">
        <v>617</v>
      </c>
      <c r="C243" s="61" t="s">
        <v>487</v>
      </c>
      <c r="D243" s="61" t="s">
        <v>533</v>
      </c>
      <c r="E243" s="64"/>
      <c r="F243" s="62">
        <f>F244+F247+F248+F249</f>
        <v>76696099.525271997</v>
      </c>
      <c r="G243" s="62"/>
      <c r="H243" s="62">
        <f>H244+H247+H248+H249</f>
        <v>76696099.525271997</v>
      </c>
      <c r="I243" s="62"/>
      <c r="J243" s="62">
        <f>J244+J247+J248+J249</f>
        <v>76696099.525271997</v>
      </c>
      <c r="K243" s="62" t="s">
        <v>232</v>
      </c>
      <c r="L243" s="62">
        <f>L244+L247+L248+L249</f>
        <v>0</v>
      </c>
      <c r="M243" s="62">
        <f>M244+M247+M248+M249</f>
        <v>0</v>
      </c>
      <c r="N243" s="41">
        <f t="shared" si="101"/>
        <v>76696099.525271997</v>
      </c>
      <c r="O243" s="162">
        <f>O245+O247+O248+O249</f>
        <v>25198376.829999998</v>
      </c>
      <c r="P243" s="92">
        <f>P245+P247+P248+P249</f>
        <v>71637760.530000001</v>
      </c>
      <c r="Q243" s="93">
        <f t="shared" si="125"/>
        <v>0.93404698509335238</v>
      </c>
      <c r="R243" s="93">
        <v>0.93572558114708748</v>
      </c>
      <c r="S243" s="93">
        <f t="shared" si="95"/>
        <v>-1.6785960537351041E-3</v>
      </c>
      <c r="T243" s="93">
        <f t="shared" si="86"/>
        <v>0.93404698509335238</v>
      </c>
      <c r="U243" s="92">
        <f>U245+U247+U248+U249</f>
        <v>55584848.869999997</v>
      </c>
      <c r="V243" s="93">
        <f t="shared" si="126"/>
        <v>0.72474153462894586</v>
      </c>
      <c r="W243" s="141">
        <v>0.7247564721551969</v>
      </c>
      <c r="X243" s="93">
        <f t="shared" si="97"/>
        <v>-1.4937526251035393E-5</v>
      </c>
      <c r="Y243" s="93">
        <f t="shared" si="102"/>
        <v>0.72474153462894586</v>
      </c>
      <c r="Z243" s="92">
        <f>Z245+Z247+Z248+Z249</f>
        <v>13287017.219999999</v>
      </c>
      <c r="AA243" s="92">
        <f>AA245+AA247+AA248+AA249</f>
        <v>9214073.0700000003</v>
      </c>
      <c r="AB243" s="92">
        <f>AB245+AB247+AB248+AB249</f>
        <v>0</v>
      </c>
      <c r="AC243" s="92">
        <f>AC245+AC247+AC248+AC249</f>
        <v>2548606.06</v>
      </c>
      <c r="AD243" s="92">
        <f>AD245+AD247+AD248+AD249</f>
        <v>0</v>
      </c>
      <c r="AE243" s="92">
        <f t="shared" si="111"/>
        <v>22501090.289999999</v>
      </c>
      <c r="AF243" s="90">
        <f t="shared" si="112"/>
        <v>25049696.349999998</v>
      </c>
      <c r="AG243" s="234">
        <f>AG245+AG247+AG248+AG249</f>
        <v>22501090.289999999</v>
      </c>
      <c r="AH243" s="65">
        <f t="shared" si="128"/>
        <v>0.2933798515084291</v>
      </c>
      <c r="AI243" s="65">
        <v>0.28503933114351515</v>
      </c>
      <c r="AJ243" s="65">
        <f t="shared" si="100"/>
        <v>8.3405203649139503E-3</v>
      </c>
      <c r="AK243" s="44">
        <f t="shared" si="104"/>
        <v>0.2933798515084291</v>
      </c>
      <c r="AL243" s="72"/>
      <c r="AM243" s="81"/>
      <c r="AN243" s="81"/>
      <c r="AO243" s="81"/>
      <c r="AP243" s="72"/>
      <c r="AQ243" s="81"/>
      <c r="AR243" s="81"/>
      <c r="AS243" s="82"/>
    </row>
    <row r="244" spans="1:45" s="159" customFormat="1" ht="99">
      <c r="A244" s="69" t="s">
        <v>618</v>
      </c>
      <c r="B244" s="70" t="s">
        <v>619</v>
      </c>
      <c r="C244" s="71" t="s">
        <v>487</v>
      </c>
      <c r="D244" s="71" t="s">
        <v>298</v>
      </c>
      <c r="E244" s="100"/>
      <c r="F244" s="100">
        <f>F245+F246</f>
        <v>55330599.293399997</v>
      </c>
      <c r="G244" s="100"/>
      <c r="H244" s="100">
        <f t="shared" ref="H244" si="137">H245+H246</f>
        <v>55330599.293399997</v>
      </c>
      <c r="I244" s="100"/>
      <c r="J244" s="100">
        <f>J245+J246</f>
        <v>55330599.293399997</v>
      </c>
      <c r="K244" s="62" t="s">
        <v>232</v>
      </c>
      <c r="L244" s="100">
        <f>L245+L246</f>
        <v>0</v>
      </c>
      <c r="M244" s="100">
        <f>M245+M246</f>
        <v>0</v>
      </c>
      <c r="N244" s="73">
        <f t="shared" si="101"/>
        <v>55330599.293399997</v>
      </c>
      <c r="O244" s="180">
        <f t="shared" ref="O244" si="138">O245+O246</f>
        <v>13541638.85</v>
      </c>
      <c r="P244" s="99">
        <v>50277421.640000001</v>
      </c>
      <c r="Q244" s="85">
        <f t="shared" si="125"/>
        <v>0.90867299978797167</v>
      </c>
      <c r="R244" s="86">
        <v>0.91099977324866244</v>
      </c>
      <c r="S244" s="85">
        <f t="shared" si="95"/>
        <v>-2.3267734606907675E-3</v>
      </c>
      <c r="T244" s="85">
        <f t="shared" si="86"/>
        <v>0.90867299978797167</v>
      </c>
      <c r="U244" s="89">
        <v>34224509.979999997</v>
      </c>
      <c r="V244" s="85">
        <f t="shared" si="126"/>
        <v>0.61854580317336993</v>
      </c>
      <c r="W244" s="86">
        <v>0.61856650871451058</v>
      </c>
      <c r="X244" s="85">
        <f t="shared" si="97"/>
        <v>-2.0705541140642048E-5</v>
      </c>
      <c r="Y244" s="85">
        <f t="shared" si="102"/>
        <v>0.61854580317336993</v>
      </c>
      <c r="Z244" s="99">
        <f>Z245+Z246</f>
        <v>6660772.6499999994</v>
      </c>
      <c r="AA244" s="99">
        <f>AA245+AA246</f>
        <v>5849488.2599999998</v>
      </c>
      <c r="AB244" s="99">
        <f t="shared" ref="AB244:AC244" si="139">AB245+AB246</f>
        <v>0</v>
      </c>
      <c r="AC244" s="99">
        <f t="shared" si="139"/>
        <v>1848606.06</v>
      </c>
      <c r="AD244" s="99">
        <v>0</v>
      </c>
      <c r="AE244" s="99">
        <f t="shared" si="111"/>
        <v>12510260.91</v>
      </c>
      <c r="AF244" s="90">
        <f t="shared" si="112"/>
        <v>14358866.970000001</v>
      </c>
      <c r="AG244" s="239">
        <f t="shared" ref="AG244:AG249" si="140">SUM(Z244:AB244)</f>
        <v>12510260.91</v>
      </c>
      <c r="AH244" s="75">
        <f t="shared" si="128"/>
        <v>0.2261002242838939</v>
      </c>
      <c r="AI244" s="75">
        <v>0.22190316817089961</v>
      </c>
      <c r="AJ244" s="75">
        <f t="shared" si="100"/>
        <v>4.1970561129942852E-3</v>
      </c>
      <c r="AK244" s="80">
        <f t="shared" si="104"/>
        <v>0.2261002242838939</v>
      </c>
      <c r="AL244" s="72"/>
      <c r="AM244" s="81"/>
      <c r="AN244" s="81"/>
      <c r="AO244" s="81"/>
      <c r="AP244" s="72"/>
      <c r="AQ244" s="81"/>
      <c r="AR244" s="81"/>
      <c r="AS244" s="82"/>
    </row>
    <row r="245" spans="1:45" s="11" customFormat="1" ht="115.5">
      <c r="A245" s="69" t="s">
        <v>620</v>
      </c>
      <c r="B245" s="70" t="s">
        <v>621</v>
      </c>
      <c r="C245" s="71" t="s">
        <v>487</v>
      </c>
      <c r="D245" s="71" t="s">
        <v>298</v>
      </c>
      <c r="E245" s="161">
        <v>77896838</v>
      </c>
      <c r="F245" s="77">
        <f>E245*$E$5</f>
        <v>54746209.333751999</v>
      </c>
      <c r="G245" s="161">
        <v>77896838</v>
      </c>
      <c r="H245" s="77">
        <f>G245*$G$5</f>
        <v>54746209.333751999</v>
      </c>
      <c r="I245" s="161">
        <v>77896838</v>
      </c>
      <c r="J245" s="72">
        <f>I245*$I$5</f>
        <v>54746209.333751999</v>
      </c>
      <c r="K245" s="62" t="s">
        <v>232</v>
      </c>
      <c r="L245" s="72">
        <v>0</v>
      </c>
      <c r="M245" s="72"/>
      <c r="N245" s="73">
        <f t="shared" si="101"/>
        <v>54746209.333751999</v>
      </c>
      <c r="O245" s="160">
        <v>13541638.85</v>
      </c>
      <c r="P245" s="90">
        <v>50277421.640000001</v>
      </c>
      <c r="Q245" s="85">
        <f t="shared" si="125"/>
        <v>0.91837265541968927</v>
      </c>
      <c r="R245" s="86">
        <v>0.92072426608948266</v>
      </c>
      <c r="S245" s="85">
        <f t="shared" si="95"/>
        <v>-2.3516106697933914E-3</v>
      </c>
      <c r="T245" s="85">
        <f t="shared" si="86"/>
        <v>0.91837265541968927</v>
      </c>
      <c r="U245" s="90">
        <v>34224509.979999997</v>
      </c>
      <c r="V245" s="85">
        <f t="shared" si="126"/>
        <v>0.62514848784059984</v>
      </c>
      <c r="W245" s="86">
        <v>0.62516941440362495</v>
      </c>
      <c r="X245" s="85">
        <f t="shared" si="97"/>
        <v>-2.0926563025103206E-5</v>
      </c>
      <c r="Y245" s="85">
        <f t="shared" si="102"/>
        <v>0.62514848784059984</v>
      </c>
      <c r="Z245" s="89">
        <v>6660772.6499999994</v>
      </c>
      <c r="AA245" s="89">
        <v>5849488.2599999998</v>
      </c>
      <c r="AB245" s="89"/>
      <c r="AC245" s="89">
        <v>1848606.06</v>
      </c>
      <c r="AD245" s="89">
        <f t="shared" ref="AD245" si="141">AD244</f>
        <v>0</v>
      </c>
      <c r="AE245" s="89">
        <f t="shared" si="111"/>
        <v>12510260.91</v>
      </c>
      <c r="AF245" s="90">
        <f>Z245+AA245+AC245</f>
        <v>14358866.970000001</v>
      </c>
      <c r="AG245" s="239">
        <f>SUM(Z245:AB245)</f>
        <v>12510260.91</v>
      </c>
      <c r="AH245" s="75">
        <f t="shared" si="128"/>
        <v>0.22851373752168089</v>
      </c>
      <c r="AI245" s="75">
        <v>0.22427187981452398</v>
      </c>
      <c r="AJ245" s="75">
        <f t="shared" si="100"/>
        <v>4.2418577071569041E-3</v>
      </c>
      <c r="AK245" s="80">
        <f t="shared" si="104"/>
        <v>0.22851373752168089</v>
      </c>
      <c r="AL245" s="72"/>
      <c r="AM245" s="81"/>
      <c r="AN245" s="81"/>
      <c r="AO245" s="81"/>
      <c r="AP245" s="72"/>
      <c r="AQ245" s="81"/>
      <c r="AR245" s="81"/>
      <c r="AS245" s="82"/>
    </row>
    <row r="246" spans="1:45" s="11" customFormat="1" ht="115.5">
      <c r="A246" s="69" t="s">
        <v>147</v>
      </c>
      <c r="B246" s="70" t="s">
        <v>622</v>
      </c>
      <c r="C246" s="71" t="s">
        <v>487</v>
      </c>
      <c r="D246" s="71" t="s">
        <v>298</v>
      </c>
      <c r="E246" s="161">
        <v>831512</v>
      </c>
      <c r="F246" s="77">
        <f>E246*$E$5</f>
        <v>584389.95964799996</v>
      </c>
      <c r="G246" s="161">
        <v>831512</v>
      </c>
      <c r="H246" s="77">
        <f>G246*$G$5</f>
        <v>584389.95964799996</v>
      </c>
      <c r="I246" s="161">
        <v>831512</v>
      </c>
      <c r="J246" s="72">
        <f>I246*$I$5</f>
        <v>584389.95964799996</v>
      </c>
      <c r="K246" s="62" t="s">
        <v>232</v>
      </c>
      <c r="L246" s="72">
        <v>0</v>
      </c>
      <c r="M246" s="72"/>
      <c r="N246" s="73">
        <f t="shared" si="101"/>
        <v>584389.95964799996</v>
      </c>
      <c r="O246" s="160">
        <v>0</v>
      </c>
      <c r="P246" s="90">
        <v>0</v>
      </c>
      <c r="Q246" s="85">
        <f t="shared" si="125"/>
        <v>0</v>
      </c>
      <c r="R246" s="86">
        <v>0</v>
      </c>
      <c r="S246" s="85">
        <f t="shared" si="95"/>
        <v>0</v>
      </c>
      <c r="T246" s="85">
        <f t="shared" si="86"/>
        <v>0</v>
      </c>
      <c r="U246" s="90">
        <v>0</v>
      </c>
      <c r="V246" s="85">
        <v>0</v>
      </c>
      <c r="W246" s="86">
        <v>0</v>
      </c>
      <c r="X246" s="85">
        <v>0</v>
      </c>
      <c r="Y246" s="85">
        <f t="shared" si="102"/>
        <v>0</v>
      </c>
      <c r="Z246" s="89">
        <v>0</v>
      </c>
      <c r="AA246" s="89">
        <v>0</v>
      </c>
      <c r="AB246" s="89">
        <v>0</v>
      </c>
      <c r="AC246" s="89">
        <v>0</v>
      </c>
      <c r="AD246" s="89">
        <v>0</v>
      </c>
      <c r="AE246" s="89">
        <v>0</v>
      </c>
      <c r="AF246" s="90">
        <f t="shared" si="112"/>
        <v>0</v>
      </c>
      <c r="AG246" s="239">
        <f t="shared" si="140"/>
        <v>0</v>
      </c>
      <c r="AH246" s="75">
        <v>0</v>
      </c>
      <c r="AI246" s="75">
        <v>0</v>
      </c>
      <c r="AJ246" s="75">
        <v>0</v>
      </c>
      <c r="AK246" s="80">
        <f t="shared" si="104"/>
        <v>0</v>
      </c>
      <c r="AL246" s="72"/>
      <c r="AM246" s="81"/>
      <c r="AN246" s="81"/>
      <c r="AO246" s="81"/>
      <c r="AP246" s="72"/>
      <c r="AQ246" s="81"/>
      <c r="AR246" s="81"/>
      <c r="AS246" s="82"/>
    </row>
    <row r="247" spans="1:45" s="11" customFormat="1" ht="115.5">
      <c r="A247" s="69" t="s">
        <v>133</v>
      </c>
      <c r="B247" s="70" t="s">
        <v>623</v>
      </c>
      <c r="C247" s="71" t="s">
        <v>487</v>
      </c>
      <c r="D247" s="71" t="s">
        <v>298</v>
      </c>
      <c r="E247" s="161">
        <v>30400368</v>
      </c>
      <c r="F247" s="77">
        <f>E247*$E$5</f>
        <v>21365500.231872</v>
      </c>
      <c r="G247" s="161">
        <v>30400368</v>
      </c>
      <c r="H247" s="77">
        <f>G247*$G$5</f>
        <v>21365500.231872</v>
      </c>
      <c r="I247" s="161">
        <v>30400368</v>
      </c>
      <c r="J247" s="72">
        <f>I247*$I$5</f>
        <v>21365500.231872</v>
      </c>
      <c r="K247" s="62" t="s">
        <v>232</v>
      </c>
      <c r="L247" s="72">
        <v>0</v>
      </c>
      <c r="M247" s="72"/>
      <c r="N247" s="73">
        <f t="shared" si="101"/>
        <v>21365500.231872</v>
      </c>
      <c r="O247" s="160">
        <v>11656737.98</v>
      </c>
      <c r="P247" s="90">
        <v>21360338.890000001</v>
      </c>
      <c r="Q247" s="85">
        <f t="shared" si="125"/>
        <v>0.99975842635014467</v>
      </c>
      <c r="R247" s="86">
        <v>0.99975842635014467</v>
      </c>
      <c r="S247" s="85">
        <f t="shared" si="95"/>
        <v>0</v>
      </c>
      <c r="T247" s="85">
        <f t="shared" si="86"/>
        <v>0.99975842635014467</v>
      </c>
      <c r="U247" s="90">
        <v>21360338.890000001</v>
      </c>
      <c r="V247" s="85">
        <f>U247/J247</f>
        <v>0.99975842635014467</v>
      </c>
      <c r="W247" s="85">
        <v>0.99975842635014467</v>
      </c>
      <c r="X247" s="85">
        <f t="shared" si="97"/>
        <v>0</v>
      </c>
      <c r="Y247" s="85">
        <f t="shared" si="102"/>
        <v>0.99975842635014467</v>
      </c>
      <c r="Z247" s="89">
        <v>6626244.5700000003</v>
      </c>
      <c r="AA247" s="89">
        <v>3364584.81</v>
      </c>
      <c r="AB247" s="89">
        <v>0</v>
      </c>
      <c r="AC247" s="89">
        <v>700000</v>
      </c>
      <c r="AD247" s="89">
        <v>0</v>
      </c>
      <c r="AE247" s="89">
        <f t="shared" ref="AE247:AE261" si="142">AG247-AD247</f>
        <v>9990829.3800000008</v>
      </c>
      <c r="AF247" s="90">
        <f t="shared" si="112"/>
        <v>10690829.380000001</v>
      </c>
      <c r="AG247" s="239">
        <f t="shared" si="140"/>
        <v>9990829.3800000008</v>
      </c>
      <c r="AH247" s="75">
        <f>AG247/J247</f>
        <v>0.46761504629300343</v>
      </c>
      <c r="AI247" s="75">
        <v>0.4485441260909025</v>
      </c>
      <c r="AJ247" s="75">
        <f t="shared" si="100"/>
        <v>1.9070920202100938E-2</v>
      </c>
      <c r="AK247" s="80">
        <f t="shared" si="104"/>
        <v>0.46761504629300343</v>
      </c>
      <c r="AL247" s="72"/>
      <c r="AM247" s="81"/>
      <c r="AN247" s="81"/>
      <c r="AO247" s="81"/>
      <c r="AP247" s="72"/>
      <c r="AQ247" s="81"/>
      <c r="AR247" s="81"/>
      <c r="AS247" s="82"/>
    </row>
    <row r="248" spans="1:45" s="11" customFormat="1" ht="49.5">
      <c r="A248" s="69" t="s">
        <v>134</v>
      </c>
      <c r="B248" s="70" t="s">
        <v>624</v>
      </c>
      <c r="C248" s="71" t="s">
        <v>487</v>
      </c>
      <c r="D248" s="71" t="s">
        <v>298</v>
      </c>
      <c r="E248" s="161">
        <v>0</v>
      </c>
      <c r="F248" s="77">
        <f>E248*$E$5</f>
        <v>0</v>
      </c>
      <c r="G248" s="161">
        <v>0</v>
      </c>
      <c r="H248" s="77">
        <f>G248*$G$5</f>
        <v>0</v>
      </c>
      <c r="I248" s="161">
        <v>0</v>
      </c>
      <c r="J248" s="72">
        <f>I248*$I$5</f>
        <v>0</v>
      </c>
      <c r="K248" s="62" t="s">
        <v>232</v>
      </c>
      <c r="L248" s="72">
        <v>0</v>
      </c>
      <c r="M248" s="72"/>
      <c r="N248" s="73">
        <f t="shared" si="101"/>
        <v>0</v>
      </c>
      <c r="O248" s="160">
        <v>0</v>
      </c>
      <c r="P248" s="90">
        <v>0</v>
      </c>
      <c r="Q248" s="85"/>
      <c r="R248" s="86"/>
      <c r="S248" s="85"/>
      <c r="T248" s="85" t="e">
        <f t="shared" si="86"/>
        <v>#DIV/0!</v>
      </c>
      <c r="U248" s="90">
        <v>0</v>
      </c>
      <c r="V248" s="85"/>
      <c r="W248" s="86"/>
      <c r="X248" s="85"/>
      <c r="Y248" s="85" t="e">
        <f t="shared" si="102"/>
        <v>#DIV/0!</v>
      </c>
      <c r="Z248" s="89">
        <v>0</v>
      </c>
      <c r="AA248" s="89">
        <v>0</v>
      </c>
      <c r="AB248" s="89">
        <v>0</v>
      </c>
      <c r="AC248" s="89">
        <v>0</v>
      </c>
      <c r="AD248" s="89">
        <v>0</v>
      </c>
      <c r="AE248" s="89">
        <f t="shared" si="142"/>
        <v>0</v>
      </c>
      <c r="AF248" s="90">
        <f t="shared" si="112"/>
        <v>0</v>
      </c>
      <c r="AG248" s="239">
        <f t="shared" si="140"/>
        <v>0</v>
      </c>
      <c r="AH248" s="75"/>
      <c r="AI248" s="75"/>
      <c r="AJ248" s="75"/>
      <c r="AK248" s="80" t="e">
        <f t="shared" si="104"/>
        <v>#DIV/0!</v>
      </c>
      <c r="AL248" s="72"/>
      <c r="AM248" s="81"/>
      <c r="AN248" s="81"/>
      <c r="AO248" s="81"/>
      <c r="AP248" s="72"/>
      <c r="AQ248" s="81"/>
      <c r="AR248" s="81"/>
      <c r="AS248" s="82"/>
    </row>
    <row r="249" spans="1:45" s="11" customFormat="1" ht="99">
      <c r="A249" s="69" t="s">
        <v>135</v>
      </c>
      <c r="B249" s="70" t="s">
        <v>625</v>
      </c>
      <c r="C249" s="71" t="s">
        <v>487</v>
      </c>
      <c r="D249" s="71" t="s">
        <v>298</v>
      </c>
      <c r="E249" s="161">
        <v>0</v>
      </c>
      <c r="F249" s="77">
        <f>E249*$E$5</f>
        <v>0</v>
      </c>
      <c r="G249" s="161">
        <v>0</v>
      </c>
      <c r="H249" s="77">
        <f>G249*$G$5</f>
        <v>0</v>
      </c>
      <c r="I249" s="161">
        <v>0</v>
      </c>
      <c r="J249" s="72">
        <f>I249*$I$5</f>
        <v>0</v>
      </c>
      <c r="K249" s="62" t="s">
        <v>232</v>
      </c>
      <c r="L249" s="72">
        <v>0</v>
      </c>
      <c r="M249" s="72"/>
      <c r="N249" s="73">
        <f t="shared" si="101"/>
        <v>0</v>
      </c>
      <c r="O249" s="160">
        <v>0</v>
      </c>
      <c r="P249" s="90">
        <v>0</v>
      </c>
      <c r="Q249" s="85"/>
      <c r="R249" s="86"/>
      <c r="S249" s="85"/>
      <c r="T249" s="85" t="e">
        <f t="shared" si="86"/>
        <v>#DIV/0!</v>
      </c>
      <c r="U249" s="90">
        <v>0</v>
      </c>
      <c r="V249" s="85"/>
      <c r="W249" s="86"/>
      <c r="X249" s="85"/>
      <c r="Y249" s="85" t="e">
        <f t="shared" si="102"/>
        <v>#DIV/0!</v>
      </c>
      <c r="Z249" s="89">
        <v>0</v>
      </c>
      <c r="AA249" s="89">
        <v>0</v>
      </c>
      <c r="AB249" s="89">
        <v>0</v>
      </c>
      <c r="AC249" s="89">
        <v>0</v>
      </c>
      <c r="AD249" s="89">
        <v>0</v>
      </c>
      <c r="AE249" s="89">
        <f t="shared" si="142"/>
        <v>0</v>
      </c>
      <c r="AF249" s="90">
        <f t="shared" si="112"/>
        <v>0</v>
      </c>
      <c r="AG249" s="239">
        <f t="shared" si="140"/>
        <v>0</v>
      </c>
      <c r="AH249" s="75"/>
      <c r="AI249" s="75"/>
      <c r="AJ249" s="75"/>
      <c r="AK249" s="80" t="e">
        <f t="shared" si="104"/>
        <v>#DIV/0!</v>
      </c>
      <c r="AL249" s="72"/>
      <c r="AM249" s="81"/>
      <c r="AN249" s="81"/>
      <c r="AO249" s="81"/>
      <c r="AP249" s="72"/>
      <c r="AQ249" s="81"/>
      <c r="AR249" s="81"/>
      <c r="AS249" s="82"/>
    </row>
    <row r="250" spans="1:45" s="159" customFormat="1" ht="49.5">
      <c r="A250" s="59" t="s">
        <v>626</v>
      </c>
      <c r="B250" s="60" t="s">
        <v>627</v>
      </c>
      <c r="C250" s="61" t="s">
        <v>380</v>
      </c>
      <c r="D250" s="61" t="s">
        <v>533</v>
      </c>
      <c r="E250" s="64"/>
      <c r="F250" s="62">
        <f>F251+F254</f>
        <v>192923990.024028</v>
      </c>
      <c r="G250" s="62"/>
      <c r="H250" s="62">
        <f>H251+H254</f>
        <v>192923990.024028</v>
      </c>
      <c r="I250" s="62"/>
      <c r="J250" s="62">
        <f>J251+J254</f>
        <v>192923990.024028</v>
      </c>
      <c r="K250" s="62" t="s">
        <v>232</v>
      </c>
      <c r="L250" s="62">
        <f>L251+L254</f>
        <v>43561543</v>
      </c>
      <c r="M250" s="62">
        <f>M251+M254</f>
        <v>43561543</v>
      </c>
      <c r="N250" s="41">
        <f t="shared" si="101"/>
        <v>236485533.024028</v>
      </c>
      <c r="O250" s="162">
        <f t="shared" ref="O250" si="143">O251+O254</f>
        <v>159074958.99000001</v>
      </c>
      <c r="P250" s="92">
        <f>P251+P254</f>
        <v>184928551.69</v>
      </c>
      <c r="Q250" s="93">
        <f>P250/J250</f>
        <v>0.95855653652491735</v>
      </c>
      <c r="R250" s="93">
        <v>0.89841485347889016</v>
      </c>
      <c r="S250" s="93">
        <f t="shared" ref="S250:S261" si="144">Q250-R250</f>
        <v>6.0141683046027183E-2</v>
      </c>
      <c r="T250" s="93">
        <f t="shared" si="86"/>
        <v>0.78198674280515257</v>
      </c>
      <c r="U250" s="92">
        <f>U251+U254</f>
        <v>180652059.44</v>
      </c>
      <c r="V250" s="93">
        <f>U250/J250</f>
        <v>0.9363898155822945</v>
      </c>
      <c r="W250" s="141">
        <v>0.89841485347889016</v>
      </c>
      <c r="X250" s="93">
        <f t="shared" si="97"/>
        <v>3.7974962103404342E-2</v>
      </c>
      <c r="Y250" s="93">
        <f t="shared" si="102"/>
        <v>0.76390321695342323</v>
      </c>
      <c r="Z250" s="92">
        <f t="shared" ref="Z250:AD250" si="145">Z251+Z254</f>
        <v>59215312.680000007</v>
      </c>
      <c r="AA250" s="92">
        <f t="shared" si="145"/>
        <v>0</v>
      </c>
      <c r="AB250" s="92">
        <f t="shared" si="145"/>
        <v>89705228.890000015</v>
      </c>
      <c r="AC250" s="92">
        <f t="shared" si="145"/>
        <v>53336643.020000003</v>
      </c>
      <c r="AD250" s="92">
        <f t="shared" si="145"/>
        <v>3753024.69</v>
      </c>
      <c r="AE250" s="92">
        <f t="shared" si="142"/>
        <v>145167516.88</v>
      </c>
      <c r="AF250" s="90">
        <f t="shared" si="112"/>
        <v>112551955.70000002</v>
      </c>
      <c r="AG250" s="234">
        <f>AG251+AG254</f>
        <v>148920541.56999999</v>
      </c>
      <c r="AH250" s="65">
        <f>AG250/J250</f>
        <v>0.77191302933063155</v>
      </c>
      <c r="AI250" s="65">
        <v>0.72896465324236981</v>
      </c>
      <c r="AJ250" s="65">
        <f t="shared" si="100"/>
        <v>4.2948376088261742E-2</v>
      </c>
      <c r="AK250" s="44">
        <f t="shared" si="104"/>
        <v>0.62972368612023721</v>
      </c>
      <c r="AL250" s="72"/>
      <c r="AM250" s="81"/>
      <c r="AN250" s="81"/>
      <c r="AO250" s="81"/>
      <c r="AP250" s="72"/>
      <c r="AQ250" s="81"/>
      <c r="AR250" s="81"/>
      <c r="AS250" s="82"/>
    </row>
    <row r="251" spans="1:45" s="159" customFormat="1" ht="115.5">
      <c r="A251" s="59" t="s">
        <v>628</v>
      </c>
      <c r="B251" s="60" t="s">
        <v>629</v>
      </c>
      <c r="C251" s="61" t="s">
        <v>380</v>
      </c>
      <c r="D251" s="61" t="s">
        <v>533</v>
      </c>
      <c r="E251" s="64"/>
      <c r="F251" s="62">
        <f>F252+F253</f>
        <v>184862251.14194399</v>
      </c>
      <c r="G251" s="62"/>
      <c r="H251" s="62">
        <f>H252+H253</f>
        <v>184862251.14194399</v>
      </c>
      <c r="I251" s="62"/>
      <c r="J251" s="62">
        <f>J252+J253</f>
        <v>184862251.14194399</v>
      </c>
      <c r="K251" s="62" t="s">
        <v>232</v>
      </c>
      <c r="L251" s="62">
        <f>L252+L253</f>
        <v>25685543</v>
      </c>
      <c r="M251" s="62">
        <f>M252+M253</f>
        <v>25685543</v>
      </c>
      <c r="N251" s="41">
        <f t="shared" si="101"/>
        <v>210547794.14194399</v>
      </c>
      <c r="O251" s="162">
        <f t="shared" ref="O251" si="146">O252+O253</f>
        <v>156964587.99000001</v>
      </c>
      <c r="P251" s="92">
        <f>P252+P253</f>
        <v>180084989.03</v>
      </c>
      <c r="Q251" s="93">
        <f>P251/J251</f>
        <v>0.97415771969434783</v>
      </c>
      <c r="R251" s="93">
        <v>0.91360979927869956</v>
      </c>
      <c r="S251" s="93">
        <f t="shared" si="144"/>
        <v>6.0547920415648271E-2</v>
      </c>
      <c r="T251" s="93">
        <f t="shared" si="86"/>
        <v>0.85531643664997492</v>
      </c>
      <c r="U251" s="92">
        <f>U252+U253</f>
        <v>175808496.78</v>
      </c>
      <c r="V251" s="93">
        <f>U251/J251</f>
        <v>0.95102432050883023</v>
      </c>
      <c r="W251" s="141">
        <v>0.91360979927869956</v>
      </c>
      <c r="X251" s="93">
        <f t="shared" si="97"/>
        <v>3.7414521230130671E-2</v>
      </c>
      <c r="Y251" s="93">
        <f t="shared" si="102"/>
        <v>0.83500517066199242</v>
      </c>
      <c r="Z251" s="92">
        <f t="shared" ref="Z251:AD251" si="147">Z252+Z253</f>
        <v>58686882.090000004</v>
      </c>
      <c r="AA251" s="92">
        <f t="shared" si="147"/>
        <v>0</v>
      </c>
      <c r="AB251" s="92">
        <f t="shared" si="147"/>
        <v>87093636.600000009</v>
      </c>
      <c r="AC251" s="92">
        <f t="shared" si="147"/>
        <v>52997719.240000002</v>
      </c>
      <c r="AD251" s="92">
        <f t="shared" si="147"/>
        <v>3753024.69</v>
      </c>
      <c r="AE251" s="92">
        <f t="shared" si="142"/>
        <v>142027494</v>
      </c>
      <c r="AF251" s="90">
        <f t="shared" si="112"/>
        <v>111684601.33000001</v>
      </c>
      <c r="AG251" s="234">
        <f>AG252+AG253</f>
        <v>145780518.69</v>
      </c>
      <c r="AH251" s="65">
        <f>AG251/J251</f>
        <v>0.78858997869751346</v>
      </c>
      <c r="AI251" s="65">
        <v>0.74894398280204799</v>
      </c>
      <c r="AJ251" s="65">
        <f t="shared" si="100"/>
        <v>3.9645995895465469E-2</v>
      </c>
      <c r="AK251" s="44">
        <f t="shared" si="104"/>
        <v>0.69238682496820581</v>
      </c>
      <c r="AL251" s="72"/>
      <c r="AM251" s="81"/>
      <c r="AN251" s="81"/>
      <c r="AO251" s="81"/>
      <c r="AP251" s="72"/>
      <c r="AQ251" s="81"/>
      <c r="AR251" s="81"/>
      <c r="AS251" s="82"/>
    </row>
    <row r="252" spans="1:45" s="11" customFormat="1" ht="132">
      <c r="A252" s="69" t="s">
        <v>107</v>
      </c>
      <c r="B252" s="70" t="s">
        <v>630</v>
      </c>
      <c r="C252" s="71" t="s">
        <v>380</v>
      </c>
      <c r="D252" s="71" t="s">
        <v>369</v>
      </c>
      <c r="E252" s="161">
        <v>253035286</v>
      </c>
      <c r="F252" s="77">
        <f>E252*$E$5</f>
        <v>177834211.14194399</v>
      </c>
      <c r="G252" s="161">
        <v>253035286</v>
      </c>
      <c r="H252" s="77">
        <f>G252*$G$5</f>
        <v>177834211.14194399</v>
      </c>
      <c r="I252" s="161">
        <v>253035286</v>
      </c>
      <c r="J252" s="72">
        <f>I252*$I$5</f>
        <v>177834211.14194399</v>
      </c>
      <c r="K252" s="62" t="s">
        <v>232</v>
      </c>
      <c r="L252" s="72">
        <v>25685543</v>
      </c>
      <c r="M252" s="72">
        <f>L252</f>
        <v>25685543</v>
      </c>
      <c r="N252" s="73">
        <f t="shared" si="101"/>
        <v>203519754.14194399</v>
      </c>
      <c r="O252" s="160">
        <v>155422838.99000001</v>
      </c>
      <c r="P252" s="90">
        <v>173056949.03</v>
      </c>
      <c r="Q252" s="85">
        <f>P252/J252</f>
        <v>0.97313642813006962</v>
      </c>
      <c r="R252" s="86">
        <v>0.91019564301271139</v>
      </c>
      <c r="S252" s="85">
        <f t="shared" si="144"/>
        <v>6.2940785117358233E-2</v>
      </c>
      <c r="T252" s="85">
        <f t="shared" si="86"/>
        <v>0.85032015569998265</v>
      </c>
      <c r="U252" s="90">
        <v>168780456.78</v>
      </c>
      <c r="V252" s="85">
        <f>U252/J252</f>
        <v>0.94908879284921477</v>
      </c>
      <c r="W252" s="85">
        <v>0.91019564301271139</v>
      </c>
      <c r="X252" s="85">
        <f t="shared" si="97"/>
        <v>3.8893149836503382E-2</v>
      </c>
      <c r="Y252" s="85">
        <f t="shared" si="102"/>
        <v>0.82930749150907868</v>
      </c>
      <c r="Z252" s="89">
        <v>58127278.920000002</v>
      </c>
      <c r="AA252" s="89"/>
      <c r="AB252" s="89">
        <v>86116942.650000006</v>
      </c>
      <c r="AC252" s="89">
        <v>52983335.630000003</v>
      </c>
      <c r="AD252" s="89">
        <v>3753024.69</v>
      </c>
      <c r="AE252" s="89">
        <f t="shared" si="142"/>
        <v>140491196.88</v>
      </c>
      <c r="AF252" s="90">
        <f t="shared" si="112"/>
        <v>111110614.55000001</v>
      </c>
      <c r="AG252" s="239">
        <f>SUM(Z252:AB252)</f>
        <v>144244221.56999999</v>
      </c>
      <c r="AH252" s="75">
        <f>AG252/J252</f>
        <v>0.81111626747041887</v>
      </c>
      <c r="AI252" s="75">
        <v>0.77305022361681675</v>
      </c>
      <c r="AJ252" s="75">
        <f t="shared" si="100"/>
        <v>3.8066043853602127E-2</v>
      </c>
      <c r="AK252" s="80">
        <f t="shared" si="104"/>
        <v>0.70874801405959575</v>
      </c>
      <c r="AL252" s="72"/>
      <c r="AM252" s="81"/>
      <c r="AN252" s="81"/>
      <c r="AO252" s="81"/>
      <c r="AP252" s="72"/>
      <c r="AQ252" s="81"/>
      <c r="AR252" s="81"/>
      <c r="AS252" s="82"/>
    </row>
    <row r="253" spans="1:45" s="11" customFormat="1" ht="49.5">
      <c r="A253" s="69" t="s">
        <v>108</v>
      </c>
      <c r="B253" s="70" t="s">
        <v>631</v>
      </c>
      <c r="C253" s="71" t="s">
        <v>380</v>
      </c>
      <c r="D253" s="71" t="s">
        <v>369</v>
      </c>
      <c r="E253" s="161">
        <v>10000000</v>
      </c>
      <c r="F253" s="77">
        <f>E253*$E$5</f>
        <v>7028040</v>
      </c>
      <c r="G253" s="161">
        <v>10000000</v>
      </c>
      <c r="H253" s="77">
        <f>G253*$G$5</f>
        <v>7028040</v>
      </c>
      <c r="I253" s="161">
        <v>10000000</v>
      </c>
      <c r="J253" s="72">
        <f>I253*$I$5</f>
        <v>7028040</v>
      </c>
      <c r="K253" s="62" t="s">
        <v>232</v>
      </c>
      <c r="L253" s="72">
        <v>0</v>
      </c>
      <c r="M253" s="72"/>
      <c r="N253" s="73">
        <f t="shared" si="101"/>
        <v>7028040</v>
      </c>
      <c r="O253" s="160">
        <v>1541749</v>
      </c>
      <c r="P253" s="90">
        <v>7028040</v>
      </c>
      <c r="Q253" s="85">
        <f>P253/J253</f>
        <v>1</v>
      </c>
      <c r="R253" s="86">
        <v>1</v>
      </c>
      <c r="S253" s="85">
        <f t="shared" si="144"/>
        <v>0</v>
      </c>
      <c r="T253" s="85">
        <f t="shared" si="86"/>
        <v>1</v>
      </c>
      <c r="U253" s="90">
        <v>7028040</v>
      </c>
      <c r="V253" s="85">
        <f>U253/J253</f>
        <v>1</v>
      </c>
      <c r="W253" s="85">
        <v>1</v>
      </c>
      <c r="X253" s="85">
        <f t="shared" si="97"/>
        <v>0</v>
      </c>
      <c r="Y253" s="85">
        <f t="shared" si="102"/>
        <v>1</v>
      </c>
      <c r="Z253" s="89">
        <v>559603.17000000004</v>
      </c>
      <c r="AA253" s="89"/>
      <c r="AB253" s="89">
        <v>976693.95</v>
      </c>
      <c r="AC253" s="89">
        <v>14383.61</v>
      </c>
      <c r="AD253" s="89">
        <v>0</v>
      </c>
      <c r="AE253" s="89">
        <f t="shared" si="142"/>
        <v>1536297.12</v>
      </c>
      <c r="AF253" s="90">
        <f t="shared" si="112"/>
        <v>573986.78</v>
      </c>
      <c r="AG253" s="239">
        <f>SUM(Z253:AB253)</f>
        <v>1536297.12</v>
      </c>
      <c r="AH253" s="75">
        <f>AG253/J253</f>
        <v>0.21859538648044122</v>
      </c>
      <c r="AI253" s="75">
        <v>0.1389710289070637</v>
      </c>
      <c r="AJ253" s="75">
        <f t="shared" si="100"/>
        <v>7.9624357573377519E-2</v>
      </c>
      <c r="AK253" s="80">
        <f t="shared" si="104"/>
        <v>0.21859538648044122</v>
      </c>
      <c r="AL253" s="72"/>
      <c r="AM253" s="81"/>
      <c r="AN253" s="81"/>
      <c r="AO253" s="81"/>
      <c r="AP253" s="72"/>
      <c r="AQ253" s="81"/>
      <c r="AR253" s="81"/>
      <c r="AS253" s="82"/>
    </row>
    <row r="254" spans="1:45" s="159" customFormat="1" ht="82.5">
      <c r="A254" s="59" t="s">
        <v>632</v>
      </c>
      <c r="B254" s="60" t="s">
        <v>633</v>
      </c>
      <c r="C254" s="61" t="s">
        <v>380</v>
      </c>
      <c r="D254" s="61" t="s">
        <v>634</v>
      </c>
      <c r="E254" s="64"/>
      <c r="F254" s="62">
        <f>F255</f>
        <v>8061738.8820839999</v>
      </c>
      <c r="G254" s="62"/>
      <c r="H254" s="62">
        <f>H255</f>
        <v>8061738.8820839999</v>
      </c>
      <c r="I254" s="62"/>
      <c r="J254" s="62">
        <f>J255</f>
        <v>8061738.8820839999</v>
      </c>
      <c r="K254" s="62" t="s">
        <v>232</v>
      </c>
      <c r="L254" s="181">
        <f>L255</f>
        <v>17876000</v>
      </c>
      <c r="M254" s="181">
        <f>M255</f>
        <v>17876000</v>
      </c>
      <c r="N254" s="41">
        <f t="shared" si="101"/>
        <v>25937738.882084001</v>
      </c>
      <c r="O254" s="162">
        <f t="shared" ref="O254:AJ254" si="148">O255</f>
        <v>2110371</v>
      </c>
      <c r="P254" s="92">
        <f t="shared" si="148"/>
        <v>4843562.66</v>
      </c>
      <c r="Q254" s="93">
        <f t="shared" si="148"/>
        <v>0.60080867550350558</v>
      </c>
      <c r="R254" s="93">
        <v>0.54998234684250125</v>
      </c>
      <c r="S254" s="93">
        <f t="shared" si="148"/>
        <v>5.0826328661004339E-2</v>
      </c>
      <c r="T254" s="93">
        <f t="shared" si="86"/>
        <v>0.18673804536391561</v>
      </c>
      <c r="U254" s="92">
        <f t="shared" si="148"/>
        <v>4843562.66</v>
      </c>
      <c r="V254" s="93">
        <f t="shared" si="148"/>
        <v>0.60080867550350558</v>
      </c>
      <c r="W254" s="141">
        <v>0.54998234684250125</v>
      </c>
      <c r="X254" s="93">
        <f t="shared" si="97"/>
        <v>5.0826328661004339E-2</v>
      </c>
      <c r="Y254" s="93">
        <f t="shared" si="102"/>
        <v>0.18673804536391561</v>
      </c>
      <c r="Z254" s="92">
        <f t="shared" si="148"/>
        <v>528430.59000000008</v>
      </c>
      <c r="AA254" s="92">
        <f t="shared" si="148"/>
        <v>0</v>
      </c>
      <c r="AB254" s="92">
        <f t="shared" si="148"/>
        <v>2611592.29</v>
      </c>
      <c r="AC254" s="92">
        <f t="shared" si="148"/>
        <v>338923.78</v>
      </c>
      <c r="AD254" s="92">
        <f t="shared" si="148"/>
        <v>0</v>
      </c>
      <c r="AE254" s="92">
        <f t="shared" si="142"/>
        <v>3140022.88</v>
      </c>
      <c r="AF254" s="90">
        <f t="shared" si="112"/>
        <v>867354.37000000011</v>
      </c>
      <c r="AG254" s="234">
        <f t="shared" si="148"/>
        <v>3140022.88</v>
      </c>
      <c r="AH254" s="65">
        <f t="shared" si="148"/>
        <v>0.3894969715501736</v>
      </c>
      <c r="AI254" s="65">
        <v>0.27082232281822632</v>
      </c>
      <c r="AJ254" s="65">
        <f t="shared" si="148"/>
        <v>0.11867464873194727</v>
      </c>
      <c r="AK254" s="44">
        <f t="shared" si="104"/>
        <v>0.1210600081323554</v>
      </c>
      <c r="AL254" s="62"/>
      <c r="AM254" s="67"/>
      <c r="AN254" s="67"/>
      <c r="AO254" s="67"/>
      <c r="AP254" s="62"/>
      <c r="AQ254" s="67"/>
      <c r="AR254" s="67"/>
      <c r="AS254" s="68"/>
    </row>
    <row r="255" spans="1:45" s="11" customFormat="1" ht="82.5">
      <c r="A255" s="69" t="s">
        <v>138</v>
      </c>
      <c r="B255" s="70" t="s">
        <v>635</v>
      </c>
      <c r="C255" s="71" t="s">
        <v>380</v>
      </c>
      <c r="D255" s="71" t="s">
        <v>369</v>
      </c>
      <c r="E255" s="77">
        <v>11470821</v>
      </c>
      <c r="F255" s="77">
        <f>E255*$E$5</f>
        <v>8061738.8820839999</v>
      </c>
      <c r="G255" s="77">
        <v>11470821</v>
      </c>
      <c r="H255" s="77">
        <f>G255*$G$5</f>
        <v>8061738.8820839999</v>
      </c>
      <c r="I255" s="161">
        <v>11470821</v>
      </c>
      <c r="J255" s="72">
        <f>I255*$I$5</f>
        <v>8061738.8820839999</v>
      </c>
      <c r="K255" s="62" t="s">
        <v>232</v>
      </c>
      <c r="L255" s="72">
        <v>17876000</v>
      </c>
      <c r="M255" s="72">
        <f>L255</f>
        <v>17876000</v>
      </c>
      <c r="N255" s="73">
        <f t="shared" si="101"/>
        <v>25937738.882084001</v>
      </c>
      <c r="O255" s="160">
        <v>2110371</v>
      </c>
      <c r="P255" s="90">
        <v>4843562.66</v>
      </c>
      <c r="Q255" s="85">
        <f t="shared" ref="Q255:Q261" si="149">P255/J255</f>
        <v>0.60080867550350558</v>
      </c>
      <c r="R255" s="86">
        <v>0.54998234684250125</v>
      </c>
      <c r="S255" s="85">
        <f t="shared" si="144"/>
        <v>5.0826328661004339E-2</v>
      </c>
      <c r="T255" s="85">
        <f t="shared" ref="T255:T261" si="150">P255/N255</f>
        <v>0.18673804536391561</v>
      </c>
      <c r="U255" s="90">
        <v>4843562.66</v>
      </c>
      <c r="V255" s="85">
        <f t="shared" ref="V255:V261" si="151">U255/J255</f>
        <v>0.60080867550350558</v>
      </c>
      <c r="W255" s="86">
        <v>0.54998234684250125</v>
      </c>
      <c r="X255" s="85">
        <f t="shared" si="97"/>
        <v>5.0826328661004339E-2</v>
      </c>
      <c r="Y255" s="85">
        <f t="shared" si="102"/>
        <v>0.18673804536391561</v>
      </c>
      <c r="Z255" s="89">
        <v>528430.59000000008</v>
      </c>
      <c r="AA255" s="89"/>
      <c r="AB255" s="89">
        <v>2611592.29</v>
      </c>
      <c r="AC255" s="89">
        <v>338923.78</v>
      </c>
      <c r="AD255" s="89">
        <v>0</v>
      </c>
      <c r="AE255" s="89">
        <f t="shared" si="142"/>
        <v>3140022.88</v>
      </c>
      <c r="AF255" s="90">
        <f t="shared" si="112"/>
        <v>867354.37000000011</v>
      </c>
      <c r="AG255" s="239">
        <f>SUM(Z255:AB255)</f>
        <v>3140022.88</v>
      </c>
      <c r="AH255" s="75">
        <f t="shared" ref="AH255:AH261" si="152">AG255/J255</f>
        <v>0.3894969715501736</v>
      </c>
      <c r="AI255" s="75">
        <v>0.27082232281822632</v>
      </c>
      <c r="AJ255" s="75">
        <f t="shared" si="100"/>
        <v>0.11867464873194727</v>
      </c>
      <c r="AK255" s="80">
        <f t="shared" si="104"/>
        <v>0.1210600081323554</v>
      </c>
      <c r="AL255" s="72"/>
      <c r="AM255" s="81"/>
      <c r="AN255" s="81"/>
      <c r="AO255" s="81"/>
      <c r="AP255" s="72"/>
      <c r="AQ255" s="81"/>
      <c r="AR255" s="81"/>
      <c r="AS255" s="82"/>
    </row>
    <row r="256" spans="1:45" s="159" customFormat="1" ht="66">
      <c r="A256" s="59" t="s">
        <v>636</v>
      </c>
      <c r="B256" s="60" t="s">
        <v>637</v>
      </c>
      <c r="C256" s="61" t="s">
        <v>380</v>
      </c>
      <c r="D256" s="61"/>
      <c r="E256" s="64"/>
      <c r="F256" s="62">
        <f t="shared" ref="F256:P257" si="153">F257</f>
        <v>40488570.066179998</v>
      </c>
      <c r="G256" s="62"/>
      <c r="H256" s="62">
        <f t="shared" si="153"/>
        <v>40488570.066179998</v>
      </c>
      <c r="I256" s="62"/>
      <c r="J256" s="62">
        <f t="shared" si="153"/>
        <v>40488570.066179998</v>
      </c>
      <c r="K256" s="62" t="s">
        <v>232</v>
      </c>
      <c r="L256" s="62">
        <f t="shared" si="153"/>
        <v>0</v>
      </c>
      <c r="M256" s="62">
        <f t="shared" si="153"/>
        <v>0</v>
      </c>
      <c r="N256" s="41">
        <f t="shared" si="101"/>
        <v>40488570.066179998</v>
      </c>
      <c r="O256" s="162">
        <f t="shared" si="153"/>
        <v>23295178.7588</v>
      </c>
      <c r="P256" s="92">
        <f t="shared" si="153"/>
        <v>35649053.920000002</v>
      </c>
      <c r="Q256" s="93">
        <f t="shared" si="149"/>
        <v>0.88047204091748277</v>
      </c>
      <c r="R256" s="93">
        <v>0.88047462535056664</v>
      </c>
      <c r="S256" s="93">
        <f t="shared" si="144"/>
        <v>-2.584433083874238E-6</v>
      </c>
      <c r="T256" s="93">
        <f t="shared" si="150"/>
        <v>0.88047204091748277</v>
      </c>
      <c r="U256" s="92">
        <f>U257</f>
        <v>35649053.920000002</v>
      </c>
      <c r="V256" s="93">
        <f t="shared" si="151"/>
        <v>0.88047204091748277</v>
      </c>
      <c r="W256" s="93">
        <v>0.88047462535056664</v>
      </c>
      <c r="X256" s="93">
        <f t="shared" si="97"/>
        <v>-2.584433083874238E-6</v>
      </c>
      <c r="Y256" s="93">
        <f t="shared" si="102"/>
        <v>0.88047204091748277</v>
      </c>
      <c r="Z256" s="92">
        <f t="shared" ref="Z256:AD257" si="154">Z257</f>
        <v>18429341.379999999</v>
      </c>
      <c r="AA256" s="92">
        <f t="shared" si="154"/>
        <v>0</v>
      </c>
      <c r="AB256" s="92">
        <f t="shared" si="154"/>
        <v>0</v>
      </c>
      <c r="AC256" s="92">
        <f t="shared" si="154"/>
        <v>0</v>
      </c>
      <c r="AD256" s="92">
        <f t="shared" si="154"/>
        <v>0</v>
      </c>
      <c r="AE256" s="92">
        <f t="shared" si="142"/>
        <v>18429341.379999999</v>
      </c>
      <c r="AF256" s="90">
        <f t="shared" si="112"/>
        <v>18429341.379999999</v>
      </c>
      <c r="AG256" s="234">
        <f>AG257</f>
        <v>18429341.379999999</v>
      </c>
      <c r="AH256" s="65">
        <f t="shared" si="152"/>
        <v>0.4551739256258393</v>
      </c>
      <c r="AI256" s="65">
        <v>0.43089662888769009</v>
      </c>
      <c r="AJ256" s="65">
        <f t="shared" si="100"/>
        <v>2.4277296738149212E-2</v>
      </c>
      <c r="AK256" s="44">
        <f t="shared" si="104"/>
        <v>0.4551739256258393</v>
      </c>
      <c r="AL256" s="64">
        <f>AL257</f>
        <v>7331927.46</v>
      </c>
      <c r="AM256" s="81">
        <f t="shared" ref="AM256:AM261" si="155">AL256/J256</f>
        <v>0.18108635222275585</v>
      </c>
      <c r="AN256" s="67">
        <v>0.18108635222275585</v>
      </c>
      <c r="AO256" s="44">
        <f t="shared" ref="AO256:AO261" si="156">AM256-AN256</f>
        <v>0</v>
      </c>
      <c r="AP256" s="62"/>
      <c r="AQ256" s="67"/>
      <c r="AR256" s="67"/>
      <c r="AS256" s="68"/>
    </row>
    <row r="257" spans="1:45" s="159" customFormat="1" ht="132">
      <c r="A257" s="59" t="s">
        <v>638</v>
      </c>
      <c r="B257" s="60" t="s">
        <v>639</v>
      </c>
      <c r="C257" s="61" t="s">
        <v>380</v>
      </c>
      <c r="D257" s="61" t="s">
        <v>533</v>
      </c>
      <c r="E257" s="64"/>
      <c r="F257" s="62">
        <f t="shared" si="153"/>
        <v>40488570.066179998</v>
      </c>
      <c r="G257" s="62"/>
      <c r="H257" s="62">
        <f t="shared" si="153"/>
        <v>40488570.066179998</v>
      </c>
      <c r="I257" s="62"/>
      <c r="J257" s="62">
        <f t="shared" si="153"/>
        <v>40488570.066179998</v>
      </c>
      <c r="K257" s="62" t="s">
        <v>232</v>
      </c>
      <c r="L257" s="62">
        <f t="shared" si="153"/>
        <v>0</v>
      </c>
      <c r="M257" s="62">
        <f t="shared" si="153"/>
        <v>0</v>
      </c>
      <c r="N257" s="41">
        <f t="shared" si="101"/>
        <v>40488570.066179998</v>
      </c>
      <c r="O257" s="162">
        <f t="shared" si="153"/>
        <v>23295178.7588</v>
      </c>
      <c r="P257" s="92">
        <f>P258</f>
        <v>35649053.920000002</v>
      </c>
      <c r="Q257" s="93">
        <f t="shared" si="149"/>
        <v>0.88047204091748277</v>
      </c>
      <c r="R257" s="93">
        <v>0.88047462535056664</v>
      </c>
      <c r="S257" s="93">
        <f t="shared" si="144"/>
        <v>-2.584433083874238E-6</v>
      </c>
      <c r="T257" s="93">
        <f t="shared" si="150"/>
        <v>0.88047204091748277</v>
      </c>
      <c r="U257" s="92">
        <f>U258</f>
        <v>35649053.920000002</v>
      </c>
      <c r="V257" s="93">
        <f t="shared" si="151"/>
        <v>0.88047204091748277</v>
      </c>
      <c r="W257" s="141">
        <v>0.88047462535056664</v>
      </c>
      <c r="X257" s="93">
        <f t="shared" si="97"/>
        <v>-2.584433083874238E-6</v>
      </c>
      <c r="Y257" s="93">
        <f t="shared" si="102"/>
        <v>0.88047204091748277</v>
      </c>
      <c r="Z257" s="92">
        <f t="shared" si="154"/>
        <v>18429341.379999999</v>
      </c>
      <c r="AA257" s="92">
        <f t="shared" si="154"/>
        <v>0</v>
      </c>
      <c r="AB257" s="92">
        <f t="shared" si="154"/>
        <v>0</v>
      </c>
      <c r="AC257" s="92">
        <f t="shared" si="154"/>
        <v>0</v>
      </c>
      <c r="AD257" s="92">
        <v>0</v>
      </c>
      <c r="AE257" s="92">
        <f t="shared" si="142"/>
        <v>18429341.379999999</v>
      </c>
      <c r="AF257" s="90">
        <f t="shared" si="112"/>
        <v>18429341.379999999</v>
      </c>
      <c r="AG257" s="234">
        <f>AG258</f>
        <v>18429341.379999999</v>
      </c>
      <c r="AH257" s="65">
        <f t="shared" si="152"/>
        <v>0.4551739256258393</v>
      </c>
      <c r="AI257" s="65">
        <v>0.43089662888769009</v>
      </c>
      <c r="AJ257" s="65">
        <f t="shared" si="100"/>
        <v>2.4277296738149212E-2</v>
      </c>
      <c r="AK257" s="44">
        <f t="shared" si="104"/>
        <v>0.4551739256258393</v>
      </c>
      <c r="AL257" s="62">
        <f>AL258</f>
        <v>7331927.46</v>
      </c>
      <c r="AM257" s="81">
        <f t="shared" si="155"/>
        <v>0.18108635222275585</v>
      </c>
      <c r="AN257" s="81">
        <v>0.18108635222275585</v>
      </c>
      <c r="AO257" s="44">
        <f t="shared" si="156"/>
        <v>0</v>
      </c>
      <c r="AP257" s="62"/>
      <c r="AQ257" s="67"/>
      <c r="AR257" s="67"/>
      <c r="AS257" s="68"/>
    </row>
    <row r="258" spans="1:45" s="11" customFormat="1" ht="66">
      <c r="A258" s="69" t="s">
        <v>89</v>
      </c>
      <c r="B258" s="70" t="s">
        <v>640</v>
      </c>
      <c r="C258" s="71" t="s">
        <v>380</v>
      </c>
      <c r="D258" s="71" t="s">
        <v>476</v>
      </c>
      <c r="E258" s="161">
        <v>57610045</v>
      </c>
      <c r="F258" s="77">
        <f>E258*$E$5</f>
        <v>40488570.066179998</v>
      </c>
      <c r="G258" s="161">
        <v>57610045</v>
      </c>
      <c r="H258" s="77">
        <f>G258*$G$5</f>
        <v>40488570.066179998</v>
      </c>
      <c r="I258" s="161">
        <v>57610045</v>
      </c>
      <c r="J258" s="72">
        <f>I258*$I$5</f>
        <v>40488570.066179998</v>
      </c>
      <c r="K258" s="62" t="s">
        <v>232</v>
      </c>
      <c r="L258" s="72">
        <v>0</v>
      </c>
      <c r="M258" s="72"/>
      <c r="N258" s="73">
        <f t="shared" si="101"/>
        <v>40488570.066179998</v>
      </c>
      <c r="O258" s="74">
        <f>0.52*44798420.69</f>
        <v>23295178.7588</v>
      </c>
      <c r="P258" s="72">
        <v>35649053.920000002</v>
      </c>
      <c r="Q258" s="75">
        <f t="shared" si="149"/>
        <v>0.88047204091748277</v>
      </c>
      <c r="R258" s="76">
        <v>0.88047462535056664</v>
      </c>
      <c r="S258" s="75">
        <f t="shared" si="144"/>
        <v>-2.584433083874238E-6</v>
      </c>
      <c r="T258" s="75">
        <f t="shared" si="150"/>
        <v>0.88047204091748277</v>
      </c>
      <c r="U258" s="77">
        <v>35649053.920000002</v>
      </c>
      <c r="V258" s="75">
        <f t="shared" si="151"/>
        <v>0.88047204091748277</v>
      </c>
      <c r="W258" s="75">
        <v>0.88047462535056664</v>
      </c>
      <c r="X258" s="75">
        <f t="shared" si="97"/>
        <v>-2.584433083874238E-6</v>
      </c>
      <c r="Y258" s="75">
        <f t="shared" si="102"/>
        <v>0.88047204091748277</v>
      </c>
      <c r="Z258" s="182">
        <v>18429341.379999999</v>
      </c>
      <c r="AA258" s="183">
        <v>0</v>
      </c>
      <c r="AB258" s="77">
        <v>0</v>
      </c>
      <c r="AC258" s="77">
        <v>0</v>
      </c>
      <c r="AD258" s="77">
        <v>0</v>
      </c>
      <c r="AE258" s="77">
        <f t="shared" si="142"/>
        <v>18429341.379999999</v>
      </c>
      <c r="AF258" s="72">
        <f t="shared" si="112"/>
        <v>18429341.379999999</v>
      </c>
      <c r="AG258" s="239">
        <f t="shared" ref="AG258" si="157">SUM(Z258:AB258)</f>
        <v>18429341.379999999</v>
      </c>
      <c r="AH258" s="75">
        <f t="shared" si="152"/>
        <v>0.4551739256258393</v>
      </c>
      <c r="AI258" s="75">
        <v>0.43089662888769009</v>
      </c>
      <c r="AJ258" s="75">
        <f t="shared" si="100"/>
        <v>2.4277296738149212E-2</v>
      </c>
      <c r="AK258" s="80">
        <f t="shared" si="104"/>
        <v>0.4551739256258393</v>
      </c>
      <c r="AL258" s="120">
        <v>7331927.46</v>
      </c>
      <c r="AM258" s="121">
        <f t="shared" si="155"/>
        <v>0.18108635222275585</v>
      </c>
      <c r="AN258" s="121">
        <v>0.18108635222275585</v>
      </c>
      <c r="AO258" s="80">
        <f t="shared" si="156"/>
        <v>0</v>
      </c>
      <c r="AP258" s="72"/>
      <c r="AQ258" s="81"/>
      <c r="AR258" s="81"/>
      <c r="AS258" s="82"/>
    </row>
    <row r="259" spans="1:45" s="159" customFormat="1" ht="49.5">
      <c r="A259" s="59" t="s">
        <v>641</v>
      </c>
      <c r="B259" s="60" t="s">
        <v>642</v>
      </c>
      <c r="C259" s="61" t="s">
        <v>487</v>
      </c>
      <c r="D259" s="61"/>
      <c r="E259" s="64"/>
      <c r="F259" s="62">
        <f t="shared" ref="F259:P260" si="158">F260</f>
        <v>8574208.7999999989</v>
      </c>
      <c r="G259" s="62"/>
      <c r="H259" s="62">
        <f t="shared" si="158"/>
        <v>8574208.7999999989</v>
      </c>
      <c r="I259" s="62"/>
      <c r="J259" s="62">
        <f t="shared" si="158"/>
        <v>8574208.7999999989</v>
      </c>
      <c r="K259" s="62" t="s">
        <v>232</v>
      </c>
      <c r="L259" s="62">
        <f t="shared" si="158"/>
        <v>0</v>
      </c>
      <c r="M259" s="62">
        <f t="shared" si="158"/>
        <v>0</v>
      </c>
      <c r="N259" s="41">
        <f t="shared" si="101"/>
        <v>8574208.7999999989</v>
      </c>
      <c r="O259" s="63">
        <f t="shared" si="158"/>
        <v>4927826.2758999998</v>
      </c>
      <c r="P259" s="64">
        <f t="shared" si="158"/>
        <v>6390247.2300000004</v>
      </c>
      <c r="Q259" s="65">
        <f t="shared" si="149"/>
        <v>0.74528710217553851</v>
      </c>
      <c r="R259" s="65">
        <v>0.74528710217553851</v>
      </c>
      <c r="S259" s="65">
        <f t="shared" si="144"/>
        <v>0</v>
      </c>
      <c r="T259" s="65">
        <f t="shared" si="150"/>
        <v>0.74528710217553851</v>
      </c>
      <c r="U259" s="64">
        <f>U260</f>
        <v>6390247.2300000004</v>
      </c>
      <c r="V259" s="65">
        <f t="shared" si="151"/>
        <v>0.74528710217553851</v>
      </c>
      <c r="W259" s="65">
        <v>0.74528710217553851</v>
      </c>
      <c r="X259" s="65">
        <f t="shared" si="97"/>
        <v>0</v>
      </c>
      <c r="Y259" s="65">
        <f t="shared" si="102"/>
        <v>0.74528710217553851</v>
      </c>
      <c r="Z259" s="64">
        <f t="shared" ref="Z259:AD260" si="159">Z260</f>
        <v>2870628.5</v>
      </c>
      <c r="AA259" s="64">
        <f t="shared" si="159"/>
        <v>0</v>
      </c>
      <c r="AB259" s="64">
        <f t="shared" si="159"/>
        <v>0</v>
      </c>
      <c r="AC259" s="64">
        <f t="shared" si="159"/>
        <v>0</v>
      </c>
      <c r="AD259" s="64">
        <f t="shared" si="159"/>
        <v>0</v>
      </c>
      <c r="AE259" s="100">
        <f t="shared" si="142"/>
        <v>2870628.5</v>
      </c>
      <c r="AF259" s="72">
        <f t="shared" si="112"/>
        <v>2870628.5</v>
      </c>
      <c r="AG259" s="234">
        <f>AG260</f>
        <v>2870628.5</v>
      </c>
      <c r="AH259" s="65">
        <f t="shared" si="152"/>
        <v>0.33479806323354294</v>
      </c>
      <c r="AI259" s="65">
        <v>0.31930523781972747</v>
      </c>
      <c r="AJ259" s="65">
        <f t="shared" si="100"/>
        <v>1.549282541381547E-2</v>
      </c>
      <c r="AK259" s="44">
        <f t="shared" si="104"/>
        <v>0.33479806323354294</v>
      </c>
      <c r="AL259" s="62">
        <f>AL260</f>
        <v>963653.28</v>
      </c>
      <c r="AM259" s="81">
        <f t="shared" si="155"/>
        <v>0.11238976125703869</v>
      </c>
      <c r="AN259" s="81">
        <v>0.11238976125703869</v>
      </c>
      <c r="AO259" s="80">
        <f t="shared" si="156"/>
        <v>0</v>
      </c>
      <c r="AP259" s="62"/>
      <c r="AQ259" s="67"/>
      <c r="AR259" s="67"/>
      <c r="AS259" s="68"/>
    </row>
    <row r="260" spans="1:45" s="159" customFormat="1" ht="66">
      <c r="A260" s="59" t="s">
        <v>643</v>
      </c>
      <c r="B260" s="60" t="s">
        <v>644</v>
      </c>
      <c r="C260" s="61" t="s">
        <v>487</v>
      </c>
      <c r="D260" s="61" t="s">
        <v>533</v>
      </c>
      <c r="E260" s="64"/>
      <c r="F260" s="62">
        <f t="shared" si="158"/>
        <v>8574208.7999999989</v>
      </c>
      <c r="G260" s="62"/>
      <c r="H260" s="62">
        <f t="shared" si="158"/>
        <v>8574208.7999999989</v>
      </c>
      <c r="I260" s="62"/>
      <c r="J260" s="62">
        <f t="shared" si="158"/>
        <v>8574208.7999999989</v>
      </c>
      <c r="K260" s="62" t="s">
        <v>232</v>
      </c>
      <c r="L260" s="62">
        <f t="shared" si="158"/>
        <v>0</v>
      </c>
      <c r="M260" s="62">
        <f t="shared" si="158"/>
        <v>0</v>
      </c>
      <c r="N260" s="41">
        <f t="shared" si="101"/>
        <v>8574208.7999999989</v>
      </c>
      <c r="O260" s="63">
        <f t="shared" si="158"/>
        <v>4927826.2758999998</v>
      </c>
      <c r="P260" s="64">
        <f t="shared" si="158"/>
        <v>6390247.2300000004</v>
      </c>
      <c r="Q260" s="65">
        <f t="shared" si="149"/>
        <v>0.74528710217553851</v>
      </c>
      <c r="R260" s="65">
        <v>0.74528710217553851</v>
      </c>
      <c r="S260" s="65">
        <f t="shared" si="144"/>
        <v>0</v>
      </c>
      <c r="T260" s="65">
        <f t="shared" si="150"/>
        <v>0.74528710217553851</v>
      </c>
      <c r="U260" s="64">
        <f>U261</f>
        <v>6390247.2300000004</v>
      </c>
      <c r="V260" s="65">
        <f t="shared" si="151"/>
        <v>0.74528710217553851</v>
      </c>
      <c r="W260" s="143">
        <v>0.74528710217553851</v>
      </c>
      <c r="X260" s="65">
        <f t="shared" si="97"/>
        <v>0</v>
      </c>
      <c r="Y260" s="65">
        <f t="shared" si="102"/>
        <v>0.74528710217553851</v>
      </c>
      <c r="Z260" s="64">
        <f t="shared" si="159"/>
        <v>2870628.5</v>
      </c>
      <c r="AA260" s="64">
        <f t="shared" si="159"/>
        <v>0</v>
      </c>
      <c r="AB260" s="64">
        <f t="shared" si="159"/>
        <v>0</v>
      </c>
      <c r="AC260" s="64">
        <f t="shared" si="159"/>
        <v>0</v>
      </c>
      <c r="AD260" s="64">
        <f t="shared" si="159"/>
        <v>0</v>
      </c>
      <c r="AE260" s="100">
        <f t="shared" si="142"/>
        <v>2870628.5</v>
      </c>
      <c r="AF260" s="72">
        <f t="shared" si="112"/>
        <v>2870628.5</v>
      </c>
      <c r="AG260" s="234">
        <f>AG261</f>
        <v>2870628.5</v>
      </c>
      <c r="AH260" s="65">
        <f t="shared" si="152"/>
        <v>0.33479806323354294</v>
      </c>
      <c r="AI260" s="65">
        <v>0.31930523781972747</v>
      </c>
      <c r="AJ260" s="65">
        <f t="shared" si="100"/>
        <v>1.549282541381547E-2</v>
      </c>
      <c r="AK260" s="44">
        <f t="shared" si="104"/>
        <v>0.33479806323354294</v>
      </c>
      <c r="AL260" s="62">
        <f>AL261</f>
        <v>963653.28</v>
      </c>
      <c r="AM260" s="81">
        <f t="shared" si="155"/>
        <v>0.11238976125703869</v>
      </c>
      <c r="AN260" s="81">
        <v>0.11238976125703869</v>
      </c>
      <c r="AO260" s="80">
        <f t="shared" si="156"/>
        <v>0</v>
      </c>
      <c r="AP260" s="62"/>
      <c r="AQ260" s="67"/>
      <c r="AR260" s="67"/>
      <c r="AS260" s="68"/>
    </row>
    <row r="261" spans="1:45" s="11" customFormat="1" ht="66">
      <c r="A261" s="69" t="s">
        <v>136</v>
      </c>
      <c r="B261" s="70" t="s">
        <v>645</v>
      </c>
      <c r="C261" s="71" t="s">
        <v>487</v>
      </c>
      <c r="D261" s="71" t="s">
        <v>476</v>
      </c>
      <c r="E261" s="161">
        <v>12200000</v>
      </c>
      <c r="F261" s="77">
        <f>E261*$E$5</f>
        <v>8574208.7999999989</v>
      </c>
      <c r="G261" s="161">
        <v>12200000</v>
      </c>
      <c r="H261" s="77">
        <f>G261*$G$5</f>
        <v>8574208.7999999989</v>
      </c>
      <c r="I261" s="161">
        <v>12200000</v>
      </c>
      <c r="J261" s="72">
        <f>I261*$I$5</f>
        <v>8574208.7999999989</v>
      </c>
      <c r="K261" s="62" t="s">
        <v>232</v>
      </c>
      <c r="L261" s="72">
        <v>0</v>
      </c>
      <c r="M261" s="72"/>
      <c r="N261" s="73">
        <f t="shared" si="101"/>
        <v>8574208.7999999989</v>
      </c>
      <c r="O261" s="74">
        <f>0.11*44798420.69</f>
        <v>4927826.2758999998</v>
      </c>
      <c r="P261" s="72">
        <v>6390247.2300000004</v>
      </c>
      <c r="Q261" s="75">
        <f t="shared" si="149"/>
        <v>0.74528710217553851</v>
      </c>
      <c r="R261" s="76">
        <v>0.74528710217553851</v>
      </c>
      <c r="S261" s="75">
        <f t="shared" si="144"/>
        <v>0</v>
      </c>
      <c r="T261" s="75">
        <f t="shared" si="150"/>
        <v>0.74528710217553851</v>
      </c>
      <c r="U261" s="77">
        <v>6390247.2300000004</v>
      </c>
      <c r="V261" s="75">
        <f t="shared" si="151"/>
        <v>0.74528710217553851</v>
      </c>
      <c r="W261" s="75">
        <v>0.74528710217553851</v>
      </c>
      <c r="X261" s="75">
        <f t="shared" si="97"/>
        <v>0</v>
      </c>
      <c r="Y261" s="75">
        <f t="shared" si="102"/>
        <v>0.74528710217553851</v>
      </c>
      <c r="Z261" s="182">
        <v>2870628.5</v>
      </c>
      <c r="AA261" s="183">
        <v>0</v>
      </c>
      <c r="AB261" s="77">
        <v>0</v>
      </c>
      <c r="AC261" s="77">
        <v>0</v>
      </c>
      <c r="AD261" s="77">
        <v>0</v>
      </c>
      <c r="AE261" s="77">
        <f t="shared" si="142"/>
        <v>2870628.5</v>
      </c>
      <c r="AF261" s="72">
        <f t="shared" si="112"/>
        <v>2870628.5</v>
      </c>
      <c r="AG261" s="239">
        <f>SUM(Z261:AB261)</f>
        <v>2870628.5</v>
      </c>
      <c r="AH261" s="75">
        <f t="shared" si="152"/>
        <v>0.33479806323354294</v>
      </c>
      <c r="AI261" s="75">
        <v>0.31930523781972747</v>
      </c>
      <c r="AJ261" s="75">
        <f t="shared" si="100"/>
        <v>1.549282541381547E-2</v>
      </c>
      <c r="AK261" s="80">
        <f t="shared" si="104"/>
        <v>0.33479806323354294</v>
      </c>
      <c r="AL261" s="120">
        <v>963653.28</v>
      </c>
      <c r="AM261" s="121">
        <f t="shared" si="155"/>
        <v>0.11238976125703869</v>
      </c>
      <c r="AN261" s="121">
        <v>0.11238976125703869</v>
      </c>
      <c r="AO261" s="121">
        <f t="shared" si="156"/>
        <v>0</v>
      </c>
      <c r="AP261" s="72"/>
      <c r="AQ261" s="81">
        <f>AP261/J261</f>
        <v>0</v>
      </c>
      <c r="AR261" s="81">
        <v>0</v>
      </c>
      <c r="AS261" s="82">
        <f>AQ261-AR261</f>
        <v>0</v>
      </c>
    </row>
    <row r="262" spans="1:45">
      <c r="A262" s="489" t="s">
        <v>646</v>
      </c>
      <c r="B262" s="489"/>
      <c r="C262" s="489"/>
      <c r="D262" s="489"/>
      <c r="E262" s="184"/>
      <c r="F262" s="185"/>
      <c r="G262" s="184"/>
      <c r="H262" s="186"/>
      <c r="I262" s="184"/>
      <c r="J262" s="72"/>
      <c r="K262" s="72"/>
      <c r="L262" s="72"/>
      <c r="M262" s="72"/>
      <c r="N262" s="72"/>
      <c r="O262" s="187">
        <v>44510767</v>
      </c>
      <c r="P262" s="188"/>
      <c r="Q262" s="107"/>
      <c r="R262" s="189"/>
      <c r="S262" s="107"/>
      <c r="T262" s="107"/>
      <c r="U262" s="106"/>
      <c r="V262" s="107"/>
      <c r="W262" s="189"/>
      <c r="X262" s="107"/>
      <c r="Y262" s="107"/>
      <c r="Z262" s="106"/>
      <c r="AA262" s="106"/>
      <c r="AB262" s="106"/>
      <c r="AC262" s="119"/>
      <c r="AD262" s="119"/>
      <c r="AE262" s="119"/>
      <c r="AF262" s="119"/>
      <c r="AG262" s="245"/>
      <c r="AH262" s="107"/>
      <c r="AI262" s="107"/>
      <c r="AJ262" s="107"/>
      <c r="AK262" s="107"/>
      <c r="AL262" s="190"/>
      <c r="AM262" s="121"/>
      <c r="AN262" s="121"/>
      <c r="AO262" s="121"/>
      <c r="AP262" s="72"/>
      <c r="AQ262" s="81"/>
      <c r="AR262" s="81"/>
      <c r="AS262" s="81"/>
    </row>
    <row r="263" spans="1:45" s="191" customFormat="1">
      <c r="B263" s="192"/>
      <c r="F263" s="193"/>
      <c r="J263" s="193"/>
      <c r="K263" s="193"/>
      <c r="L263" s="193"/>
      <c r="M263" s="193"/>
      <c r="N263" s="193"/>
      <c r="O263" s="194"/>
      <c r="P263" s="195"/>
      <c r="Q263" s="196"/>
      <c r="R263" s="196"/>
      <c r="S263" s="196"/>
      <c r="T263" s="196"/>
      <c r="U263" s="195"/>
      <c r="V263" s="196"/>
      <c r="W263" s="196"/>
      <c r="X263" s="196"/>
      <c r="Y263" s="196"/>
      <c r="Z263" s="196"/>
      <c r="AA263" s="196"/>
      <c r="AB263" s="196"/>
      <c r="AC263" s="196"/>
      <c r="AD263" s="196"/>
      <c r="AE263" s="196"/>
      <c r="AF263" s="196"/>
      <c r="AG263" s="246"/>
      <c r="AH263" s="196"/>
      <c r="AI263" s="196"/>
      <c r="AJ263" s="196"/>
      <c r="AK263" s="196"/>
      <c r="AL263" s="193"/>
      <c r="AM263" s="196"/>
      <c r="AN263" s="196"/>
      <c r="AO263" s="196"/>
      <c r="AP263" s="193"/>
      <c r="AQ263" s="196"/>
      <c r="AR263" s="196"/>
      <c r="AS263" s="196"/>
    </row>
    <row r="264" spans="1:45" s="191" customFormat="1" ht="20.25">
      <c r="A264" s="197" t="s">
        <v>647</v>
      </c>
      <c r="B264" s="198"/>
      <c r="C264" s="199"/>
      <c r="D264" s="199"/>
      <c r="E264" s="199"/>
      <c r="F264" s="199"/>
      <c r="G264" s="199"/>
      <c r="H264" s="199"/>
      <c r="I264" s="199"/>
      <c r="J264" s="200"/>
      <c r="K264" s="200"/>
      <c r="L264" s="200"/>
      <c r="M264" s="200"/>
      <c r="N264" s="200"/>
      <c r="O264" s="201"/>
      <c r="P264" s="202"/>
      <c r="Q264" s="203"/>
      <c r="R264" s="203"/>
      <c r="S264" s="204"/>
      <c r="T264" s="204"/>
      <c r="U264" s="202"/>
      <c r="V264" s="204"/>
      <c r="W264" s="204"/>
      <c r="X264" s="204"/>
      <c r="Y264" s="204"/>
      <c r="Z264" s="204"/>
      <c r="AA264" s="204"/>
      <c r="AB264" s="204"/>
      <c r="AC264" s="204"/>
      <c r="AD264" s="204"/>
      <c r="AE264" s="204"/>
      <c r="AF264" s="204"/>
      <c r="AG264" s="247"/>
      <c r="AH264" s="204"/>
      <c r="AI264" s="205"/>
      <c r="AJ264" s="205"/>
      <c r="AK264" s="205"/>
      <c r="AL264" s="205"/>
      <c r="AM264" s="205"/>
      <c r="AN264" s="205"/>
      <c r="AO264" s="205"/>
      <c r="AP264" s="205"/>
      <c r="AQ264" s="205"/>
      <c r="AR264" s="205"/>
      <c r="AS264" s="205"/>
    </row>
    <row r="265" spans="1:45" s="191" customFormat="1" ht="33.75">
      <c r="A265" s="206">
        <v>2</v>
      </c>
      <c r="B265" s="198" t="s">
        <v>648</v>
      </c>
      <c r="C265" s="199"/>
      <c r="D265" s="199"/>
      <c r="E265" s="199"/>
      <c r="F265" s="199"/>
      <c r="G265" s="199"/>
      <c r="H265" s="199"/>
      <c r="I265" s="199"/>
      <c r="J265" s="200"/>
      <c r="K265" s="200"/>
      <c r="L265" s="200"/>
      <c r="M265" s="200"/>
      <c r="N265" s="200"/>
      <c r="O265" s="201"/>
      <c r="P265" s="202"/>
      <c r="Q265" s="203"/>
      <c r="R265" s="203"/>
      <c r="S265" s="204"/>
      <c r="T265" s="204"/>
      <c r="U265" s="202"/>
      <c r="V265" s="204"/>
      <c r="W265" s="204"/>
      <c r="X265" s="204"/>
      <c r="Y265" s="204"/>
      <c r="Z265" s="207"/>
      <c r="AA265" s="204"/>
      <c r="AB265" s="204"/>
      <c r="AC265" s="204"/>
      <c r="AD265" s="204"/>
      <c r="AE265" s="204"/>
      <c r="AF265" s="204"/>
      <c r="AG265" s="247"/>
      <c r="AH265" s="204"/>
      <c r="AI265" s="205"/>
      <c r="AJ265" s="205"/>
      <c r="AK265" s="205"/>
      <c r="AL265" s="205"/>
      <c r="AM265" s="205"/>
      <c r="AN265" s="205"/>
      <c r="AO265" s="205"/>
      <c r="AP265" s="205"/>
      <c r="AQ265" s="205"/>
      <c r="AR265" s="205"/>
      <c r="AS265" s="205"/>
    </row>
    <row r="266" spans="1:45" s="191" customFormat="1">
      <c r="A266" s="197"/>
      <c r="B266" s="198" t="s">
        <v>649</v>
      </c>
      <c r="C266" s="199"/>
      <c r="D266" s="199"/>
      <c r="E266" s="199"/>
      <c r="F266" s="199"/>
      <c r="G266" s="199"/>
      <c r="H266" s="199"/>
      <c r="I266" s="199"/>
      <c r="J266" s="200"/>
      <c r="K266" s="200"/>
      <c r="L266" s="200"/>
      <c r="M266" s="200"/>
      <c r="N266" s="200"/>
      <c r="O266" s="201"/>
      <c r="P266" s="202"/>
      <c r="Q266" s="203"/>
      <c r="R266" s="203"/>
      <c r="S266" s="204"/>
      <c r="T266" s="204"/>
      <c r="U266" s="202"/>
      <c r="V266" s="204"/>
      <c r="W266" s="204"/>
      <c r="X266" s="204"/>
      <c r="Y266" s="204"/>
      <c r="Z266" s="204"/>
      <c r="AA266" s="204"/>
      <c r="AB266" s="204"/>
      <c r="AC266" s="204"/>
      <c r="AD266" s="204"/>
      <c r="AE266" s="204"/>
      <c r="AF266" s="204"/>
      <c r="AG266" s="247"/>
      <c r="AH266" s="204"/>
      <c r="AI266" s="205"/>
      <c r="AJ266" s="205"/>
      <c r="AK266" s="205"/>
      <c r="AL266" s="205"/>
      <c r="AM266" s="205"/>
      <c r="AN266" s="205"/>
      <c r="AO266" s="205"/>
      <c r="AP266" s="205"/>
      <c r="AQ266" s="205"/>
      <c r="AR266" s="205"/>
      <c r="AS266" s="205"/>
    </row>
    <row r="267" spans="1:45" s="191" customFormat="1">
      <c r="A267" s="197"/>
      <c r="B267" s="198" t="s">
        <v>650</v>
      </c>
      <c r="C267" s="199"/>
      <c r="D267" s="199"/>
      <c r="E267" s="199"/>
      <c r="F267" s="199"/>
      <c r="G267" s="199"/>
      <c r="H267" s="199"/>
      <c r="I267" s="199"/>
      <c r="J267" s="200"/>
      <c r="K267" s="200"/>
      <c r="L267" s="200"/>
      <c r="M267" s="200"/>
      <c r="N267" s="200"/>
      <c r="O267" s="201"/>
      <c r="P267" s="202"/>
      <c r="Q267" s="203"/>
      <c r="R267" s="203"/>
      <c r="S267" s="204"/>
      <c r="T267" s="204"/>
      <c r="U267" s="202"/>
      <c r="V267" s="204"/>
      <c r="W267" s="204"/>
      <c r="X267" s="204"/>
      <c r="Y267" s="204"/>
      <c r="Z267" s="204"/>
      <c r="AA267" s="204"/>
      <c r="AB267" s="204"/>
      <c r="AC267" s="204"/>
      <c r="AD267" s="204"/>
      <c r="AE267" s="204"/>
      <c r="AF267" s="204"/>
      <c r="AG267" s="247"/>
      <c r="AH267" s="204"/>
      <c r="AI267" s="205"/>
      <c r="AJ267" s="205"/>
      <c r="AK267" s="205"/>
      <c r="AL267" s="205"/>
      <c r="AM267" s="205"/>
      <c r="AN267" s="205"/>
      <c r="AO267" s="205"/>
      <c r="AP267" s="205"/>
      <c r="AQ267" s="205"/>
      <c r="AR267" s="205"/>
      <c r="AS267" s="205"/>
    </row>
    <row r="268" spans="1:45" s="191" customFormat="1">
      <c r="A268" s="197"/>
      <c r="B268" s="198" t="s">
        <v>651</v>
      </c>
      <c r="C268" s="199"/>
      <c r="D268" s="199"/>
      <c r="E268" s="199"/>
      <c r="F268" s="199"/>
      <c r="G268" s="199"/>
      <c r="H268" s="199"/>
      <c r="I268" s="199"/>
      <c r="J268" s="200"/>
      <c r="K268" s="200"/>
      <c r="L268" s="200"/>
      <c r="M268" s="200"/>
      <c r="N268" s="200"/>
      <c r="O268" s="208"/>
      <c r="P268" s="202"/>
      <c r="Q268" s="203"/>
      <c r="R268" s="203"/>
      <c r="S268" s="204"/>
      <c r="T268" s="204"/>
      <c r="U268" s="202"/>
      <c r="V268" s="204"/>
      <c r="W268" s="204"/>
      <c r="X268" s="204"/>
      <c r="Y268" s="204"/>
      <c r="Z268" s="204"/>
      <c r="AA268" s="204"/>
      <c r="AB268" s="204"/>
      <c r="AC268" s="204"/>
      <c r="AD268" s="204"/>
      <c r="AE268" s="204"/>
      <c r="AF268" s="204"/>
      <c r="AG268" s="247"/>
      <c r="AH268" s="204"/>
      <c r="AI268" s="205"/>
      <c r="AJ268" s="205"/>
      <c r="AK268" s="205"/>
      <c r="AL268" s="205"/>
      <c r="AM268" s="205"/>
      <c r="AN268" s="205"/>
      <c r="AO268" s="205"/>
      <c r="AP268" s="205"/>
      <c r="AQ268" s="205"/>
      <c r="AR268" s="205"/>
      <c r="AS268" s="205"/>
    </row>
    <row r="269" spans="1:45" s="191" customFormat="1" ht="50.25">
      <c r="A269" s="197"/>
      <c r="B269" s="198" t="s">
        <v>652</v>
      </c>
      <c r="C269" s="199"/>
      <c r="D269" s="199"/>
      <c r="E269" s="199"/>
      <c r="F269" s="199"/>
      <c r="G269" s="199"/>
      <c r="H269" s="199"/>
      <c r="I269" s="199"/>
      <c r="J269" s="200"/>
      <c r="K269" s="200"/>
      <c r="L269" s="200"/>
      <c r="M269" s="200"/>
      <c r="N269" s="200"/>
      <c r="O269" s="208"/>
      <c r="P269" s="202"/>
      <c r="Q269" s="203"/>
      <c r="R269" s="203"/>
      <c r="S269" s="204"/>
      <c r="T269" s="204"/>
      <c r="U269" s="202"/>
      <c r="V269" s="204"/>
      <c r="W269" s="204"/>
      <c r="X269" s="204"/>
      <c r="Y269" s="204"/>
      <c r="Z269" s="204"/>
      <c r="AA269" s="204"/>
      <c r="AB269" s="204"/>
      <c r="AC269" s="204"/>
      <c r="AD269" s="204"/>
      <c r="AE269" s="204"/>
      <c r="AF269" s="204"/>
      <c r="AG269" s="247"/>
      <c r="AH269" s="204"/>
      <c r="AI269" s="205"/>
      <c r="AJ269" s="205"/>
      <c r="AK269" s="205"/>
      <c r="AL269" s="205"/>
      <c r="AM269" s="205"/>
      <c r="AN269" s="205"/>
      <c r="AO269" s="205"/>
      <c r="AP269" s="205"/>
      <c r="AQ269" s="205"/>
      <c r="AR269" s="205"/>
      <c r="AS269" s="205"/>
    </row>
    <row r="270" spans="1:45" s="191" customFormat="1">
      <c r="A270" s="197"/>
      <c r="B270" s="198" t="s">
        <v>653</v>
      </c>
      <c r="C270" s="199"/>
      <c r="D270" s="199"/>
      <c r="E270" s="199"/>
      <c r="F270" s="199"/>
      <c r="G270" s="199"/>
      <c r="H270" s="199"/>
      <c r="I270" s="199"/>
      <c r="J270" s="200"/>
      <c r="K270" s="200"/>
      <c r="L270" s="200"/>
      <c r="M270" s="200"/>
      <c r="N270" s="200"/>
      <c r="O270" s="208"/>
      <c r="P270" s="202"/>
      <c r="Q270" s="209"/>
      <c r="R270" s="209"/>
      <c r="S270" s="209"/>
      <c r="T270" s="209"/>
      <c r="U270" s="202"/>
      <c r="V270" s="209"/>
      <c r="W270" s="209"/>
      <c r="X270" s="209"/>
      <c r="Y270" s="209"/>
      <c r="Z270" s="209"/>
      <c r="AA270" s="209"/>
      <c r="AB270" s="209"/>
      <c r="AC270" s="209"/>
      <c r="AD270" s="209"/>
      <c r="AE270" s="209"/>
      <c r="AF270" s="209"/>
      <c r="AG270" s="248"/>
      <c r="AH270" s="204"/>
      <c r="AI270" s="205"/>
      <c r="AJ270" s="205"/>
      <c r="AK270" s="205"/>
      <c r="AL270" s="205"/>
      <c r="AM270" s="205"/>
      <c r="AN270" s="205"/>
      <c r="AO270" s="205"/>
      <c r="AP270" s="205"/>
      <c r="AQ270" s="205"/>
      <c r="AR270" s="205"/>
      <c r="AS270" s="205"/>
    </row>
    <row r="271" spans="1:45" s="191" customFormat="1">
      <c r="A271" s="197"/>
      <c r="B271" s="198" t="s">
        <v>654</v>
      </c>
      <c r="C271" s="199"/>
      <c r="D271" s="199"/>
      <c r="E271" s="199"/>
      <c r="F271" s="199"/>
      <c r="G271" s="199"/>
      <c r="H271" s="199"/>
      <c r="I271" s="199"/>
      <c r="J271" s="200"/>
      <c r="K271" s="200"/>
      <c r="L271" s="200"/>
      <c r="M271" s="200"/>
      <c r="N271" s="200"/>
      <c r="O271" s="208"/>
      <c r="P271" s="202"/>
      <c r="Q271" s="203"/>
      <c r="R271" s="203"/>
      <c r="S271" s="204"/>
      <c r="T271" s="204"/>
      <c r="U271" s="202"/>
      <c r="V271" s="204"/>
      <c r="W271" s="204"/>
      <c r="X271" s="204"/>
      <c r="Y271" s="204"/>
      <c r="Z271" s="204"/>
      <c r="AA271" s="204"/>
      <c r="AB271" s="204"/>
      <c r="AC271" s="204"/>
      <c r="AD271" s="204"/>
      <c r="AE271" s="204"/>
      <c r="AF271" s="204"/>
      <c r="AG271" s="247"/>
      <c r="AH271" s="204"/>
      <c r="AI271" s="205"/>
      <c r="AJ271" s="205"/>
      <c r="AK271" s="205"/>
      <c r="AL271" s="205"/>
      <c r="AM271" s="205"/>
      <c r="AN271" s="205"/>
      <c r="AO271" s="205"/>
      <c r="AP271" s="205"/>
      <c r="AQ271" s="205"/>
      <c r="AR271" s="205"/>
      <c r="AS271" s="205"/>
    </row>
    <row r="272" spans="1:45" s="191" customFormat="1">
      <c r="A272" s="197"/>
      <c r="B272" s="198" t="s">
        <v>655</v>
      </c>
      <c r="C272" s="199"/>
      <c r="D272" s="199"/>
      <c r="E272" s="199"/>
      <c r="F272" s="199"/>
      <c r="G272" s="199"/>
      <c r="H272" s="199"/>
      <c r="I272" s="199"/>
      <c r="J272" s="200"/>
      <c r="K272" s="200"/>
      <c r="L272" s="200"/>
      <c r="M272" s="200"/>
      <c r="N272" s="200"/>
      <c r="O272" s="208"/>
      <c r="P272" s="202"/>
      <c r="Q272" s="203"/>
      <c r="R272" s="203"/>
      <c r="S272" s="204"/>
      <c r="T272" s="204"/>
      <c r="U272" s="202"/>
      <c r="V272" s="204"/>
      <c r="W272" s="204"/>
      <c r="X272" s="204"/>
      <c r="Y272" s="204"/>
      <c r="Z272" s="204"/>
      <c r="AA272" s="204"/>
      <c r="AB272" s="204"/>
      <c r="AC272" s="204"/>
      <c r="AD272" s="204"/>
      <c r="AE272" s="204"/>
      <c r="AF272" s="204"/>
      <c r="AG272" s="247"/>
      <c r="AH272" s="204"/>
      <c r="AI272" s="205"/>
      <c r="AJ272" s="205"/>
      <c r="AK272" s="205"/>
      <c r="AL272" s="205"/>
      <c r="AM272" s="205"/>
      <c r="AN272" s="205"/>
      <c r="AO272" s="205"/>
      <c r="AP272" s="205"/>
      <c r="AQ272" s="205"/>
      <c r="AR272" s="205"/>
      <c r="AS272" s="205"/>
    </row>
    <row r="273" spans="1:45" s="191" customFormat="1">
      <c r="A273" s="483" t="s">
        <v>656</v>
      </c>
      <c r="B273" s="483"/>
      <c r="C273" s="483"/>
      <c r="D273" s="483"/>
      <c r="E273" s="483"/>
      <c r="F273" s="483"/>
      <c r="G273" s="483"/>
      <c r="H273" s="483"/>
      <c r="I273" s="483"/>
      <c r="J273" s="483"/>
      <c r="K273" s="483"/>
      <c r="L273" s="483"/>
      <c r="M273" s="483"/>
      <c r="N273" s="483"/>
      <c r="O273" s="483"/>
      <c r="P273" s="483"/>
      <c r="Q273" s="483"/>
      <c r="R273" s="483"/>
      <c r="S273" s="483"/>
      <c r="T273" s="483"/>
      <c r="U273" s="483"/>
      <c r="V273" s="483"/>
      <c r="W273" s="483"/>
      <c r="X273" s="483"/>
      <c r="Y273" s="483"/>
      <c r="Z273" s="483"/>
      <c r="AA273" s="483"/>
      <c r="AB273" s="483"/>
      <c r="AC273" s="483"/>
      <c r="AD273" s="483"/>
      <c r="AE273" s="483"/>
      <c r="AF273" s="483"/>
      <c r="AG273" s="483"/>
      <c r="AH273" s="483"/>
      <c r="AI273" s="483"/>
      <c r="AJ273" s="483"/>
      <c r="AK273" s="210"/>
      <c r="AL273" s="211"/>
      <c r="AM273" s="211"/>
      <c r="AN273" s="205"/>
      <c r="AO273" s="205"/>
      <c r="AP273" s="205"/>
      <c r="AQ273" s="205"/>
      <c r="AR273" s="205"/>
      <c r="AS273" s="205"/>
    </row>
    <row r="274" spans="1:45" s="191" customFormat="1">
      <c r="A274" s="483" t="s">
        <v>657</v>
      </c>
      <c r="B274" s="483"/>
      <c r="C274" s="483"/>
      <c r="D274" s="483"/>
      <c r="E274" s="483"/>
      <c r="F274" s="483"/>
      <c r="G274" s="483"/>
      <c r="H274" s="483"/>
      <c r="I274" s="483"/>
      <c r="J274" s="483"/>
      <c r="K274" s="483"/>
      <c r="L274" s="483"/>
      <c r="M274" s="483"/>
      <c r="N274" s="483"/>
      <c r="O274" s="483"/>
      <c r="P274" s="483"/>
      <c r="Q274" s="483"/>
      <c r="R274" s="483"/>
      <c r="S274" s="483"/>
      <c r="T274" s="483"/>
      <c r="U274" s="483"/>
      <c r="V274" s="483"/>
      <c r="W274" s="483"/>
      <c r="X274" s="483"/>
      <c r="Y274" s="483"/>
      <c r="Z274" s="483"/>
      <c r="AA274" s="483"/>
      <c r="AB274" s="483"/>
      <c r="AC274" s="483"/>
      <c r="AD274" s="483"/>
      <c r="AE274" s="483"/>
      <c r="AF274" s="483"/>
      <c r="AG274" s="483"/>
      <c r="AH274" s="483"/>
      <c r="AI274" s="483"/>
      <c r="AJ274" s="483"/>
      <c r="AK274" s="210"/>
      <c r="AL274" s="212"/>
      <c r="AM274" s="212"/>
      <c r="AN274" s="212"/>
      <c r="AO274" s="212"/>
      <c r="AP274" s="212"/>
      <c r="AQ274" s="212"/>
      <c r="AR274" s="212"/>
      <c r="AS274" s="212"/>
    </row>
    <row r="275" spans="1:45" s="191" customFormat="1">
      <c r="B275" s="212"/>
      <c r="C275" s="212"/>
      <c r="D275" s="212"/>
      <c r="E275" s="212"/>
      <c r="F275" s="212"/>
      <c r="G275" s="212"/>
      <c r="H275" s="212"/>
      <c r="I275" s="212"/>
      <c r="J275" s="212"/>
      <c r="K275" s="212"/>
      <c r="L275" s="212"/>
      <c r="M275" s="212"/>
      <c r="N275" s="212"/>
      <c r="O275" s="213"/>
      <c r="P275" s="214"/>
      <c r="Q275" s="212"/>
      <c r="R275" s="212"/>
      <c r="S275" s="212"/>
      <c r="T275" s="212"/>
      <c r="U275" s="214"/>
      <c r="V275" s="212"/>
      <c r="W275" s="212"/>
      <c r="X275" s="212"/>
      <c r="Y275" s="212"/>
      <c r="Z275" s="212"/>
      <c r="AA275" s="212"/>
      <c r="AB275" s="212"/>
      <c r="AC275" s="212"/>
      <c r="AD275" s="212"/>
      <c r="AE275" s="212"/>
      <c r="AF275" s="212"/>
      <c r="AG275" s="249"/>
      <c r="AH275" s="212"/>
      <c r="AI275" s="212"/>
      <c r="AJ275" s="212"/>
      <c r="AK275" s="212"/>
      <c r="AL275" s="212"/>
      <c r="AM275" s="212"/>
      <c r="AN275" s="212"/>
      <c r="AO275" s="212"/>
      <c r="AP275" s="212"/>
      <c r="AQ275" s="212"/>
      <c r="AR275" s="212"/>
      <c r="AS275" s="212"/>
    </row>
    <row r="276" spans="1:45" s="191" customFormat="1">
      <c r="A276" s="483" t="s">
        <v>658</v>
      </c>
      <c r="B276" s="483"/>
      <c r="C276" s="483"/>
      <c r="D276" s="483"/>
      <c r="E276" s="483"/>
      <c r="F276" s="483"/>
      <c r="G276" s="483"/>
      <c r="H276" s="483"/>
      <c r="I276" s="483"/>
      <c r="J276" s="483"/>
      <c r="K276" s="483"/>
      <c r="L276" s="483"/>
      <c r="M276" s="483"/>
      <c r="N276" s="483"/>
      <c r="O276" s="483"/>
      <c r="P276" s="483"/>
      <c r="Q276" s="483"/>
      <c r="R276" s="483"/>
      <c r="S276" s="483"/>
      <c r="T276" s="483"/>
      <c r="U276" s="483"/>
      <c r="V276" s="483"/>
      <c r="W276" s="483"/>
      <c r="X276" s="483"/>
      <c r="Y276" s="483"/>
      <c r="Z276" s="483"/>
      <c r="AA276" s="483"/>
      <c r="AB276" s="483"/>
      <c r="AC276" s="483"/>
      <c r="AD276" s="483"/>
      <c r="AE276" s="483"/>
      <c r="AF276" s="483"/>
      <c r="AG276" s="483"/>
      <c r="AH276" s="483"/>
      <c r="AI276" s="483"/>
      <c r="AJ276" s="483"/>
      <c r="AK276" s="210"/>
      <c r="AL276" s="212"/>
      <c r="AM276" s="212"/>
      <c r="AN276" s="212"/>
      <c r="AO276" s="212"/>
      <c r="AP276" s="212"/>
      <c r="AQ276" s="212"/>
      <c r="AR276" s="212"/>
      <c r="AS276" s="212"/>
    </row>
    <row r="277" spans="1:45" s="191" customFormat="1">
      <c r="A277" s="483" t="s">
        <v>659</v>
      </c>
      <c r="B277" s="483"/>
      <c r="C277" s="483"/>
      <c r="D277" s="483"/>
      <c r="E277" s="483"/>
      <c r="F277" s="483"/>
      <c r="G277" s="483"/>
      <c r="H277" s="483"/>
      <c r="I277" s="483"/>
      <c r="J277" s="483"/>
      <c r="K277" s="483"/>
      <c r="L277" s="483"/>
      <c r="M277" s="483"/>
      <c r="N277" s="483"/>
      <c r="O277" s="483"/>
      <c r="P277" s="483"/>
      <c r="Q277" s="483"/>
      <c r="R277" s="483"/>
      <c r="S277" s="483"/>
      <c r="T277" s="483"/>
      <c r="U277" s="483"/>
      <c r="V277" s="483"/>
      <c r="W277" s="483"/>
      <c r="X277" s="483"/>
      <c r="Y277" s="483"/>
      <c r="Z277" s="483"/>
      <c r="AA277" s="483"/>
      <c r="AB277" s="483"/>
      <c r="AC277" s="483"/>
      <c r="AD277" s="483"/>
      <c r="AE277" s="483"/>
      <c r="AF277" s="483"/>
      <c r="AG277" s="483"/>
      <c r="AH277" s="483"/>
      <c r="AI277" s="483"/>
      <c r="AJ277" s="483"/>
      <c r="AK277" s="210"/>
      <c r="AL277" s="212"/>
      <c r="AM277" s="212"/>
      <c r="AN277" s="212"/>
      <c r="AO277" s="212"/>
      <c r="AP277" s="212"/>
      <c r="AQ277" s="212"/>
      <c r="AR277" s="212"/>
      <c r="AS277" s="212"/>
    </row>
    <row r="278" spans="1:45" s="191" customFormat="1">
      <c r="A278" s="483" t="s">
        <v>660</v>
      </c>
      <c r="B278" s="490"/>
      <c r="C278" s="490"/>
      <c r="D278" s="490"/>
      <c r="E278" s="490"/>
      <c r="F278" s="490"/>
      <c r="G278" s="490"/>
      <c r="H278" s="490"/>
      <c r="I278" s="490"/>
      <c r="J278" s="490"/>
      <c r="K278" s="490"/>
      <c r="L278" s="490"/>
      <c r="M278" s="490"/>
      <c r="N278" s="490"/>
      <c r="O278" s="490"/>
      <c r="P278" s="490"/>
      <c r="Q278" s="210"/>
      <c r="R278" s="210"/>
      <c r="S278" s="210"/>
      <c r="T278" s="210"/>
      <c r="U278" s="210"/>
      <c r="V278" s="210"/>
      <c r="W278" s="210"/>
      <c r="X278" s="210"/>
      <c r="Y278" s="210"/>
      <c r="Z278" s="210"/>
      <c r="AA278" s="210"/>
      <c r="AB278" s="210"/>
      <c r="AC278" s="210"/>
      <c r="AD278" s="210"/>
      <c r="AE278" s="210"/>
      <c r="AF278" s="210"/>
      <c r="AG278" s="250"/>
      <c r="AH278" s="210"/>
      <c r="AI278" s="210"/>
      <c r="AJ278" s="210"/>
      <c r="AK278" s="210"/>
      <c r="AL278" s="212"/>
      <c r="AM278" s="212"/>
      <c r="AN278" s="212"/>
      <c r="AO278" s="212"/>
      <c r="AP278" s="212"/>
      <c r="AQ278" s="212"/>
      <c r="AR278" s="212"/>
      <c r="AS278" s="212"/>
    </row>
    <row r="279" spans="1:45" s="191" customFormat="1">
      <c r="A279" s="215" t="s">
        <v>661</v>
      </c>
      <c r="B279" s="212"/>
      <c r="C279" s="212"/>
      <c r="D279" s="212"/>
      <c r="E279" s="212"/>
      <c r="F279" s="212"/>
      <c r="G279" s="212"/>
      <c r="H279" s="212"/>
      <c r="I279" s="212"/>
      <c r="J279" s="212"/>
      <c r="K279" s="212"/>
      <c r="L279" s="212"/>
      <c r="M279" s="212"/>
      <c r="N279" s="212"/>
      <c r="O279" s="213"/>
      <c r="P279" s="214"/>
      <c r="Q279" s="212"/>
      <c r="R279" s="212"/>
      <c r="S279" s="212"/>
      <c r="T279" s="212"/>
      <c r="U279" s="214"/>
      <c r="V279" s="212"/>
      <c r="W279" s="212"/>
      <c r="X279" s="212"/>
      <c r="Y279" s="212"/>
      <c r="Z279" s="212"/>
      <c r="AA279" s="212"/>
      <c r="AB279" s="212"/>
      <c r="AC279" s="212"/>
      <c r="AD279" s="212"/>
      <c r="AE279" s="212"/>
      <c r="AF279" s="212"/>
      <c r="AG279" s="249"/>
      <c r="AH279" s="212"/>
      <c r="AI279" s="212"/>
      <c r="AJ279" s="212"/>
      <c r="AK279" s="212"/>
      <c r="AL279" s="212"/>
      <c r="AM279" s="212"/>
      <c r="AN279" s="212"/>
      <c r="AO279" s="212"/>
      <c r="AP279" s="212"/>
      <c r="AQ279" s="212"/>
      <c r="AR279" s="212"/>
      <c r="AS279" s="212"/>
    </row>
    <row r="280" spans="1:45" s="191" customFormat="1">
      <c r="A280" s="216" t="s">
        <v>662</v>
      </c>
      <c r="B280" s="212"/>
      <c r="C280" s="212"/>
      <c r="D280" s="212"/>
      <c r="E280" s="212"/>
      <c r="F280" s="212"/>
      <c r="G280" s="212"/>
      <c r="H280" s="212"/>
      <c r="I280" s="212"/>
      <c r="J280" s="212"/>
      <c r="K280" s="212"/>
      <c r="L280" s="212"/>
      <c r="M280" s="212"/>
      <c r="N280" s="212"/>
      <c r="O280" s="213"/>
      <c r="P280" s="214"/>
      <c r="Q280" s="212"/>
      <c r="R280" s="212"/>
      <c r="S280" s="212"/>
      <c r="T280" s="212"/>
      <c r="U280" s="214"/>
      <c r="V280" s="212"/>
      <c r="W280" s="212"/>
      <c r="X280" s="212"/>
      <c r="Y280" s="212"/>
      <c r="Z280" s="212"/>
      <c r="AA280" s="212"/>
      <c r="AB280" s="212"/>
      <c r="AC280" s="212"/>
      <c r="AD280" s="212"/>
      <c r="AE280" s="212"/>
      <c r="AF280" s="212"/>
      <c r="AG280" s="249"/>
      <c r="AH280" s="212"/>
      <c r="AI280" s="212"/>
      <c r="AJ280" s="212"/>
      <c r="AK280" s="212"/>
      <c r="AL280" s="212"/>
      <c r="AM280" s="212"/>
      <c r="AN280" s="212"/>
      <c r="AO280" s="212"/>
      <c r="AP280" s="212"/>
      <c r="AQ280" s="212"/>
      <c r="AR280" s="212"/>
      <c r="AS280" s="212"/>
    </row>
    <row r="281" spans="1:45" s="191" customFormat="1">
      <c r="A281" s="215"/>
      <c r="B281" s="212"/>
      <c r="C281" s="212"/>
      <c r="D281" s="212"/>
      <c r="E281" s="212"/>
      <c r="F281" s="212"/>
      <c r="G281" s="212"/>
      <c r="H281" s="212"/>
      <c r="I281" s="212"/>
      <c r="J281" s="212"/>
      <c r="K281" s="212"/>
      <c r="L281" s="212"/>
      <c r="M281" s="212"/>
      <c r="N281" s="212"/>
      <c r="O281" s="213"/>
      <c r="P281" s="214"/>
      <c r="Q281" s="212"/>
      <c r="R281" s="212"/>
      <c r="S281" s="212"/>
      <c r="T281" s="212"/>
      <c r="U281" s="214"/>
      <c r="V281" s="212"/>
      <c r="W281" s="212"/>
      <c r="X281" s="212"/>
      <c r="Y281" s="212"/>
      <c r="Z281" s="212"/>
      <c r="AA281" s="212"/>
      <c r="AB281" s="212"/>
      <c r="AC281" s="212"/>
      <c r="AD281" s="212"/>
      <c r="AE281" s="212"/>
      <c r="AF281" s="212"/>
      <c r="AG281" s="249"/>
      <c r="AH281" s="212"/>
      <c r="AI281" s="212"/>
      <c r="AJ281" s="212"/>
      <c r="AK281" s="212"/>
      <c r="AL281" s="212"/>
      <c r="AM281" s="212"/>
      <c r="AN281" s="212"/>
      <c r="AO281" s="212"/>
      <c r="AP281" s="212"/>
      <c r="AQ281" s="212"/>
      <c r="AR281" s="212"/>
      <c r="AS281" s="212"/>
    </row>
    <row r="282" spans="1:45" s="191" customFormat="1">
      <c r="A282" s="483" t="s">
        <v>663</v>
      </c>
      <c r="B282" s="483"/>
      <c r="C282" s="483"/>
      <c r="D282" s="483"/>
      <c r="E282" s="483"/>
      <c r="F282" s="483"/>
      <c r="G282" s="483"/>
      <c r="H282" s="483"/>
      <c r="I282" s="483"/>
      <c r="J282" s="483"/>
      <c r="K282" s="483"/>
      <c r="L282" s="483"/>
      <c r="M282" s="483"/>
      <c r="N282" s="483"/>
      <c r="O282" s="483"/>
      <c r="P282" s="483"/>
      <c r="Q282" s="483"/>
      <c r="R282" s="483"/>
      <c r="S282" s="483"/>
      <c r="T282" s="483"/>
      <c r="U282" s="483"/>
      <c r="V282" s="483"/>
      <c r="W282" s="483"/>
      <c r="X282" s="483"/>
      <c r="Y282" s="483"/>
      <c r="Z282" s="483"/>
      <c r="AA282" s="483"/>
      <c r="AB282" s="483"/>
      <c r="AC282" s="483"/>
      <c r="AD282" s="483"/>
      <c r="AE282" s="483"/>
      <c r="AF282" s="483"/>
      <c r="AG282" s="483"/>
      <c r="AH282" s="483"/>
      <c r="AI282" s="483"/>
      <c r="AJ282" s="483"/>
      <c r="AK282" s="210"/>
      <c r="AL282" s="212"/>
      <c r="AM282" s="212"/>
      <c r="AN282" s="212"/>
      <c r="AO282" s="212"/>
      <c r="AP282" s="212"/>
      <c r="AQ282" s="212"/>
      <c r="AR282" s="212"/>
      <c r="AS282" s="212"/>
    </row>
    <row r="283" spans="1:45" s="191" customFormat="1">
      <c r="A283" s="483" t="s">
        <v>664</v>
      </c>
      <c r="B283" s="483"/>
      <c r="C283" s="483"/>
      <c r="D283" s="483"/>
      <c r="E283" s="483"/>
      <c r="F283" s="483"/>
      <c r="G283" s="483"/>
      <c r="H283" s="483"/>
      <c r="I283" s="483"/>
      <c r="J283" s="483"/>
      <c r="K283" s="483"/>
      <c r="L283" s="483"/>
      <c r="M283" s="483"/>
      <c r="N283" s="483"/>
      <c r="O283" s="483"/>
      <c r="P283" s="483"/>
      <c r="Q283" s="483"/>
      <c r="R283" s="483"/>
      <c r="S283" s="483"/>
      <c r="T283" s="483"/>
      <c r="U283" s="483"/>
      <c r="V283" s="483"/>
      <c r="W283" s="483"/>
      <c r="X283" s="483"/>
      <c r="Y283" s="483"/>
      <c r="Z283" s="483"/>
      <c r="AA283" s="483"/>
      <c r="AB283" s="483"/>
      <c r="AC283" s="483"/>
      <c r="AD283" s="483"/>
      <c r="AE283" s="483"/>
      <c r="AF283" s="483"/>
      <c r="AG283" s="483"/>
      <c r="AH283" s="483"/>
      <c r="AI283" s="483"/>
      <c r="AJ283" s="483"/>
      <c r="AK283" s="210"/>
      <c r="AL283" s="217"/>
      <c r="AM283" s="217"/>
      <c r="AN283" s="217"/>
      <c r="AO283" s="217"/>
      <c r="AP283" s="217"/>
      <c r="AQ283" s="217"/>
      <c r="AR283" s="217"/>
      <c r="AS283" s="217"/>
    </row>
    <row r="284" spans="1:45" s="191" customFormat="1">
      <c r="A284" s="483" t="s">
        <v>665</v>
      </c>
      <c r="B284" s="483"/>
      <c r="C284" s="483"/>
      <c r="D284" s="483"/>
      <c r="E284" s="483"/>
      <c r="F284" s="483"/>
      <c r="G284" s="483"/>
      <c r="H284" s="483"/>
      <c r="I284" s="483"/>
      <c r="J284" s="483"/>
      <c r="K284" s="483"/>
      <c r="L284" s="483"/>
      <c r="M284" s="483"/>
      <c r="N284" s="483"/>
      <c r="O284" s="483"/>
      <c r="P284" s="483"/>
      <c r="Q284" s="483"/>
      <c r="R284" s="483"/>
      <c r="S284" s="483"/>
      <c r="T284" s="483"/>
      <c r="U284" s="483"/>
      <c r="V284" s="483"/>
      <c r="W284" s="483"/>
      <c r="X284" s="483"/>
      <c r="Y284" s="483"/>
      <c r="Z284" s="483"/>
      <c r="AA284" s="483"/>
      <c r="AB284" s="483"/>
      <c r="AC284" s="483"/>
      <c r="AD284" s="483"/>
      <c r="AE284" s="483"/>
      <c r="AF284" s="483"/>
      <c r="AG284" s="483"/>
      <c r="AH284" s="483"/>
      <c r="AI284" s="483"/>
      <c r="AJ284" s="483"/>
      <c r="AK284" s="210"/>
      <c r="AL284" s="217"/>
      <c r="AM284" s="217"/>
      <c r="AN284" s="217"/>
      <c r="AO284" s="217"/>
      <c r="AP284" s="217"/>
      <c r="AQ284" s="217"/>
      <c r="AR284" s="217"/>
      <c r="AS284" s="217"/>
    </row>
    <row r="285" spans="1:45" s="191" customFormat="1">
      <c r="A285" s="210"/>
      <c r="B285" s="210"/>
      <c r="C285" s="210"/>
      <c r="D285" s="210"/>
      <c r="E285" s="210"/>
      <c r="F285" s="210"/>
      <c r="G285" s="210"/>
      <c r="H285" s="210"/>
      <c r="I285" s="210"/>
      <c r="J285" s="210"/>
      <c r="K285" s="210"/>
      <c r="L285" s="210"/>
      <c r="M285" s="210"/>
      <c r="N285" s="210"/>
      <c r="O285" s="218"/>
      <c r="P285" s="219"/>
      <c r="Q285" s="210"/>
      <c r="R285" s="210"/>
      <c r="S285" s="210"/>
      <c r="T285" s="210"/>
      <c r="U285" s="219"/>
      <c r="V285" s="210"/>
      <c r="W285" s="212"/>
      <c r="X285" s="212"/>
      <c r="Y285" s="212"/>
      <c r="Z285" s="212"/>
      <c r="AA285" s="212"/>
      <c r="AB285" s="212"/>
      <c r="AC285" s="212"/>
      <c r="AD285" s="212"/>
      <c r="AE285" s="212"/>
      <c r="AF285" s="212"/>
      <c r="AG285" s="249"/>
      <c r="AH285" s="212"/>
      <c r="AI285" s="212"/>
      <c r="AJ285" s="212"/>
      <c r="AK285" s="212"/>
      <c r="AL285" s="212"/>
      <c r="AM285" s="212"/>
      <c r="AN285" s="212"/>
      <c r="AO285" s="212"/>
      <c r="AP285" s="212"/>
      <c r="AQ285" s="212"/>
      <c r="AR285" s="212"/>
      <c r="AS285" s="212"/>
    </row>
    <row r="286" spans="1:45" s="191" customFormat="1">
      <c r="A286" s="483" t="s">
        <v>666</v>
      </c>
      <c r="B286" s="483"/>
      <c r="C286" s="483"/>
      <c r="D286" s="483"/>
      <c r="E286" s="483"/>
      <c r="F286" s="483"/>
      <c r="G286" s="483"/>
      <c r="H286" s="483"/>
      <c r="I286" s="483"/>
      <c r="J286" s="483"/>
      <c r="K286" s="483"/>
      <c r="L286" s="483"/>
      <c r="M286" s="483"/>
      <c r="N286" s="483"/>
      <c r="O286" s="483"/>
      <c r="P286" s="483"/>
      <c r="Q286" s="483"/>
      <c r="R286" s="483"/>
      <c r="S286" s="483"/>
      <c r="T286" s="483"/>
      <c r="U286" s="483"/>
      <c r="V286" s="483"/>
      <c r="W286" s="483"/>
      <c r="X286" s="483"/>
      <c r="Y286" s="483"/>
      <c r="Z286" s="483"/>
      <c r="AA286" s="483"/>
      <c r="AB286" s="483"/>
      <c r="AC286" s="483"/>
      <c r="AD286" s="483"/>
      <c r="AE286" s="483"/>
      <c r="AF286" s="483"/>
      <c r="AG286" s="483"/>
      <c r="AH286" s="483"/>
      <c r="AI286" s="483"/>
      <c r="AJ286" s="483"/>
      <c r="AK286" s="210"/>
      <c r="AL286" s="212"/>
      <c r="AM286" s="212"/>
      <c r="AN286" s="212"/>
      <c r="AO286" s="212"/>
      <c r="AP286" s="212"/>
      <c r="AQ286" s="212"/>
      <c r="AR286" s="212"/>
      <c r="AS286" s="212"/>
    </row>
    <row r="287" spans="1:45" s="221" customFormat="1" ht="16.5">
      <c r="A287" s="483"/>
      <c r="B287" s="483"/>
      <c r="C287" s="483"/>
      <c r="D287" s="483"/>
      <c r="E287" s="483"/>
      <c r="F287" s="483"/>
      <c r="G287" s="483"/>
      <c r="H287" s="483"/>
      <c r="I287" s="483"/>
      <c r="J287" s="483"/>
      <c r="K287" s="483"/>
      <c r="L287" s="483"/>
      <c r="M287" s="483"/>
      <c r="N287" s="483"/>
      <c r="O287" s="483"/>
      <c r="P287" s="483"/>
      <c r="Q287" s="483"/>
      <c r="R287" s="483"/>
      <c r="S287" s="483"/>
      <c r="T287" s="483"/>
      <c r="U287" s="483"/>
      <c r="V287" s="483"/>
      <c r="W287" s="483"/>
      <c r="X287" s="483"/>
      <c r="Y287" s="483"/>
      <c r="Z287" s="483"/>
      <c r="AA287" s="483"/>
      <c r="AB287" s="483"/>
      <c r="AC287" s="483"/>
      <c r="AD287" s="483"/>
      <c r="AE287" s="483"/>
      <c r="AF287" s="483"/>
      <c r="AG287" s="483"/>
      <c r="AH287" s="483"/>
      <c r="AI287" s="483"/>
      <c r="AJ287" s="483"/>
      <c r="AK287" s="210"/>
      <c r="AL287" s="220"/>
      <c r="AM287" s="220"/>
      <c r="AN287" s="220"/>
      <c r="AO287" s="220"/>
      <c r="AP287" s="220"/>
      <c r="AQ287" s="220"/>
      <c r="AR287" s="220"/>
      <c r="AS287" s="220"/>
    </row>
    <row r="288" spans="1:45" s="222" customFormat="1" ht="16.5">
      <c r="A288" s="483" t="s">
        <v>667</v>
      </c>
      <c r="B288" s="483"/>
      <c r="C288" s="483"/>
      <c r="D288" s="483"/>
      <c r="E288" s="483"/>
      <c r="F288" s="483"/>
      <c r="G288" s="483"/>
      <c r="H288" s="483"/>
      <c r="I288" s="483"/>
      <c r="J288" s="483"/>
      <c r="K288" s="483"/>
      <c r="L288" s="483"/>
      <c r="M288" s="483"/>
      <c r="N288" s="483"/>
      <c r="O288" s="483"/>
      <c r="P288" s="483"/>
      <c r="Q288" s="483"/>
      <c r="R288" s="483"/>
      <c r="S288" s="483"/>
      <c r="T288" s="483"/>
      <c r="U288" s="483"/>
      <c r="V288" s="483"/>
      <c r="W288" s="483"/>
      <c r="X288" s="483"/>
      <c r="Y288" s="483"/>
      <c r="Z288" s="483"/>
      <c r="AA288" s="483"/>
      <c r="AB288" s="483"/>
      <c r="AC288" s="483"/>
      <c r="AD288" s="483"/>
      <c r="AE288" s="483"/>
      <c r="AF288" s="483"/>
      <c r="AG288" s="483"/>
      <c r="AH288" s="483"/>
      <c r="AI288" s="483"/>
      <c r="AJ288" s="483"/>
      <c r="AK288" s="210"/>
    </row>
    <row r="289" spans="1:45" s="222" customFormat="1" ht="16.5">
      <c r="A289" s="483" t="s">
        <v>668</v>
      </c>
      <c r="B289" s="483"/>
      <c r="C289" s="483"/>
      <c r="D289" s="483"/>
      <c r="E289" s="483"/>
      <c r="F289" s="483"/>
      <c r="G289" s="483"/>
      <c r="H289" s="483"/>
      <c r="I289" s="483"/>
      <c r="J289" s="483"/>
      <c r="K289" s="483"/>
      <c r="L289" s="483"/>
      <c r="M289" s="483"/>
      <c r="N289" s="483"/>
      <c r="O289" s="483"/>
      <c r="P289" s="483"/>
      <c r="Q289" s="483"/>
      <c r="R289" s="483"/>
      <c r="S289" s="483"/>
      <c r="T289" s="483"/>
      <c r="U289" s="483"/>
      <c r="V289" s="483"/>
      <c r="W289" s="483"/>
      <c r="X289" s="483"/>
      <c r="Y289" s="483"/>
      <c r="Z289" s="483"/>
      <c r="AA289" s="483"/>
      <c r="AB289" s="483"/>
      <c r="AC289" s="483"/>
      <c r="AD289" s="483"/>
      <c r="AE289" s="483"/>
      <c r="AF289" s="483"/>
      <c r="AG289" s="483"/>
      <c r="AH289" s="483"/>
      <c r="AI289" s="483"/>
      <c r="AJ289" s="483"/>
      <c r="AK289" s="210"/>
    </row>
    <row r="290" spans="1:45" s="221" customFormat="1" ht="16.5">
      <c r="A290" s="197" t="s">
        <v>669</v>
      </c>
      <c r="B290" s="223"/>
      <c r="C290" s="223"/>
      <c r="D290" s="223"/>
      <c r="E290" s="223"/>
      <c r="F290" s="223"/>
      <c r="G290" s="223"/>
      <c r="H290" s="223"/>
      <c r="I290" s="223"/>
      <c r="J290" s="223"/>
      <c r="K290" s="223"/>
      <c r="L290" s="223"/>
      <c r="M290" s="223"/>
      <c r="N290" s="223"/>
      <c r="O290" s="223"/>
      <c r="P290" s="223"/>
      <c r="Q290" s="223"/>
      <c r="R290" s="223"/>
      <c r="S290" s="223"/>
      <c r="T290" s="223"/>
      <c r="U290" s="223"/>
      <c r="V290" s="223"/>
      <c r="W290" s="223"/>
      <c r="X290" s="223"/>
      <c r="Y290" s="223"/>
      <c r="Z290" s="223"/>
      <c r="AA290" s="210"/>
      <c r="AB290" s="210"/>
      <c r="AC290" s="210"/>
      <c r="AD290" s="210"/>
      <c r="AE290" s="210"/>
      <c r="AF290" s="210"/>
      <c r="AG290" s="250"/>
      <c r="AH290" s="210"/>
      <c r="AI290" s="210"/>
      <c r="AJ290" s="210"/>
      <c r="AK290" s="210"/>
      <c r="AL290" s="220"/>
      <c r="AM290" s="220"/>
      <c r="AN290" s="220"/>
      <c r="AO290" s="220"/>
      <c r="AP290" s="220"/>
      <c r="AQ290" s="220"/>
      <c r="AR290" s="220"/>
      <c r="AS290" s="220"/>
    </row>
    <row r="291" spans="1:45" s="222" customFormat="1" ht="16.5">
      <c r="A291" s="484" t="s">
        <v>670</v>
      </c>
      <c r="B291" s="484"/>
      <c r="C291" s="484"/>
      <c r="D291" s="484"/>
      <c r="E291" s="484"/>
      <c r="F291" s="484"/>
      <c r="G291" s="484"/>
      <c r="H291" s="484"/>
      <c r="I291" s="484"/>
      <c r="J291" s="484"/>
      <c r="K291" s="484"/>
      <c r="L291" s="484"/>
      <c r="M291" s="484"/>
      <c r="N291" s="484"/>
      <c r="O291" s="484"/>
      <c r="P291" s="484"/>
      <c r="Q291" s="484"/>
      <c r="R291" s="484"/>
      <c r="S291" s="484"/>
      <c r="T291" s="484"/>
      <c r="U291" s="484"/>
      <c r="V291" s="484"/>
      <c r="W291" s="484"/>
      <c r="X291" s="484"/>
      <c r="Y291" s="484"/>
      <c r="Z291" s="484"/>
      <c r="AA291" s="484"/>
      <c r="AB291" s="484"/>
      <c r="AC291" s="484"/>
      <c r="AD291" s="484"/>
      <c r="AE291" s="484"/>
      <c r="AF291" s="484"/>
      <c r="AG291" s="484"/>
      <c r="AH291" s="484"/>
      <c r="AI291" s="484"/>
      <c r="AJ291" s="484"/>
      <c r="AK291" s="219"/>
      <c r="AL291" s="224"/>
      <c r="AM291" s="224"/>
      <c r="AN291" s="224"/>
      <c r="AO291" s="224"/>
      <c r="AP291" s="224"/>
      <c r="AQ291" s="224"/>
      <c r="AR291" s="224"/>
      <c r="AS291" s="224"/>
    </row>
    <row r="292" spans="1:45" s="11" customFormat="1">
      <c r="A292" s="484" t="s">
        <v>671</v>
      </c>
      <c r="B292" s="484"/>
      <c r="C292" s="484"/>
      <c r="D292" s="484"/>
      <c r="E292" s="484"/>
      <c r="F292" s="484"/>
      <c r="G292" s="484"/>
      <c r="H292" s="484"/>
      <c r="I292" s="484"/>
      <c r="J292" s="484"/>
      <c r="K292" s="484"/>
      <c r="L292" s="484"/>
      <c r="M292" s="484"/>
      <c r="N292" s="484"/>
      <c r="O292" s="484"/>
      <c r="P292" s="484"/>
      <c r="Q292" s="484"/>
      <c r="R292" s="484"/>
      <c r="S292" s="484"/>
      <c r="T292" s="484"/>
      <c r="U292" s="484"/>
      <c r="V292" s="484"/>
      <c r="W292" s="484"/>
      <c r="X292" s="484"/>
      <c r="Y292" s="484"/>
      <c r="Z292" s="484"/>
      <c r="AA292" s="484"/>
      <c r="AB292" s="484"/>
      <c r="AC292" s="484"/>
      <c r="AD292" s="484"/>
      <c r="AE292" s="484"/>
      <c r="AF292" s="484"/>
      <c r="AG292" s="484"/>
      <c r="AH292" s="484"/>
      <c r="AI292" s="484"/>
      <c r="AJ292" s="484"/>
      <c r="AK292" s="219"/>
      <c r="AL292" s="224"/>
      <c r="AM292" s="224"/>
      <c r="AN292" s="224"/>
      <c r="AO292" s="224"/>
      <c r="AP292" s="224"/>
      <c r="AQ292" s="224"/>
      <c r="AR292" s="224"/>
      <c r="AS292" s="224"/>
    </row>
    <row r="293" spans="1:45" s="11" customFormat="1">
      <c r="A293" s="485" t="s">
        <v>672</v>
      </c>
      <c r="B293" s="485"/>
      <c r="C293" s="485"/>
      <c r="D293" s="485"/>
      <c r="E293" s="485"/>
      <c r="F293" s="485"/>
      <c r="G293" s="485"/>
      <c r="H293" s="485"/>
      <c r="I293" s="485"/>
      <c r="J293" s="485"/>
      <c r="K293" s="485"/>
      <c r="L293" s="485"/>
      <c r="M293" s="485"/>
      <c r="N293" s="485"/>
      <c r="O293" s="485"/>
      <c r="P293" s="485"/>
      <c r="Q293" s="485"/>
      <c r="R293" s="485"/>
      <c r="S293" s="485"/>
      <c r="T293" s="485"/>
      <c r="U293" s="485"/>
      <c r="V293" s="485"/>
      <c r="W293" s="485"/>
      <c r="X293" s="485"/>
      <c r="Y293" s="210"/>
      <c r="Z293" s="210"/>
      <c r="AA293" s="210"/>
      <c r="AB293" s="210"/>
      <c r="AC293" s="210"/>
      <c r="AD293" s="210"/>
      <c r="AE293" s="210"/>
      <c r="AF293" s="210"/>
      <c r="AG293" s="250"/>
      <c r="AH293" s="210"/>
      <c r="AI293" s="210"/>
      <c r="AJ293" s="210"/>
      <c r="AK293" s="210"/>
      <c r="AL293" s="224"/>
      <c r="AM293" s="224"/>
      <c r="AN293" s="224"/>
      <c r="AO293" s="224"/>
      <c r="AP293" s="224"/>
      <c r="AQ293" s="224"/>
      <c r="AR293" s="224"/>
      <c r="AS293" s="224"/>
    </row>
    <row r="294" spans="1:45" s="11" customFormat="1">
      <c r="A294" s="483" t="s">
        <v>673</v>
      </c>
      <c r="B294" s="483"/>
      <c r="C294" s="483"/>
      <c r="D294" s="483"/>
      <c r="E294" s="486"/>
      <c r="F294" s="483"/>
      <c r="G294" s="486"/>
      <c r="H294" s="486"/>
      <c r="I294" s="486"/>
      <c r="J294" s="483"/>
      <c r="K294" s="486"/>
      <c r="L294" s="483"/>
      <c r="M294" s="483"/>
      <c r="N294" s="483"/>
      <c r="O294" s="483"/>
      <c r="P294" s="483"/>
      <c r="Q294" s="483"/>
      <c r="R294" s="483"/>
      <c r="S294" s="483"/>
      <c r="T294" s="483"/>
      <c r="U294" s="483"/>
      <c r="V294" s="483"/>
      <c r="W294" s="483"/>
      <c r="X294" s="483"/>
      <c r="Y294" s="483"/>
      <c r="Z294" s="483"/>
      <c r="AA294" s="483"/>
      <c r="AB294" s="483"/>
      <c r="AC294" s="483"/>
      <c r="AD294" s="483"/>
      <c r="AE294" s="483"/>
      <c r="AF294" s="210"/>
      <c r="AG294" s="250"/>
      <c r="AH294" s="210"/>
      <c r="AI294" s="210"/>
      <c r="AJ294" s="210"/>
      <c r="AK294" s="210"/>
      <c r="AL294" s="220"/>
      <c r="AM294" s="220"/>
      <c r="AN294" s="220"/>
      <c r="AO294" s="220"/>
      <c r="AP294" s="220"/>
      <c r="AQ294" s="220"/>
      <c r="AR294" s="220"/>
      <c r="AS294" s="220"/>
    </row>
    <row r="295" spans="1:45">
      <c r="A295" s="221"/>
      <c r="B295" s="221"/>
      <c r="C295" s="221"/>
      <c r="D295" s="221"/>
      <c r="E295" s="221"/>
      <c r="F295" s="221"/>
      <c r="G295" s="221"/>
      <c r="H295" s="221"/>
      <c r="I295" s="221"/>
      <c r="J295" s="221"/>
      <c r="K295" s="221"/>
      <c r="L295" s="221"/>
      <c r="M295" s="221"/>
      <c r="N295" s="221"/>
      <c r="O295" s="225"/>
      <c r="P295" s="221"/>
      <c r="Q295" s="221"/>
      <c r="R295" s="221"/>
      <c r="S295" s="221"/>
      <c r="T295" s="221"/>
      <c r="U295" s="221"/>
      <c r="V295" s="221"/>
      <c r="W295" s="221"/>
      <c r="X295" s="221"/>
      <c r="Y295" s="221"/>
      <c r="Z295" s="221"/>
      <c r="AA295" s="221"/>
      <c r="AB295" s="221"/>
      <c r="AC295" s="221"/>
      <c r="AD295" s="221"/>
      <c r="AE295" s="221"/>
      <c r="AF295" s="221"/>
      <c r="AG295" s="251"/>
      <c r="AH295" s="221"/>
      <c r="AI295" s="221"/>
      <c r="AJ295" s="221"/>
      <c r="AK295" s="221"/>
      <c r="AL295" s="221"/>
      <c r="AM295" s="221"/>
      <c r="AN295" s="221"/>
      <c r="AO295" s="221"/>
      <c r="AP295" s="221"/>
      <c r="AQ295" s="221"/>
      <c r="AR295" s="221"/>
      <c r="AS295" s="221"/>
    </row>
    <row r="296" spans="1:45">
      <c r="A296" s="483" t="s">
        <v>674</v>
      </c>
      <c r="B296" s="483"/>
      <c r="C296" s="483"/>
      <c r="D296" s="483"/>
      <c r="E296" s="483"/>
      <c r="F296" s="483"/>
      <c r="G296" s="483"/>
      <c r="H296" s="483"/>
      <c r="I296" s="483"/>
      <c r="J296" s="483"/>
      <c r="K296" s="483"/>
      <c r="L296" s="483"/>
      <c r="M296" s="483"/>
      <c r="N296" s="483"/>
      <c r="O296" s="483"/>
      <c r="P296" s="483"/>
      <c r="Q296" s="483"/>
      <c r="R296" s="483"/>
      <c r="S296" s="483"/>
      <c r="T296" s="483"/>
      <c r="U296" s="483"/>
      <c r="V296" s="483"/>
      <c r="W296" s="483"/>
      <c r="X296" s="483"/>
      <c r="Y296" s="483"/>
      <c r="Z296" s="483"/>
      <c r="AA296" s="483"/>
      <c r="AB296" s="483"/>
      <c r="AC296" s="483"/>
      <c r="AD296" s="483"/>
      <c r="AE296" s="483"/>
      <c r="AF296" s="483"/>
      <c r="AG296" s="483"/>
      <c r="AH296" s="483"/>
      <c r="AI296" s="483"/>
      <c r="AJ296" s="483"/>
      <c r="AK296" s="210"/>
      <c r="AL296" s="224"/>
      <c r="AM296" s="224"/>
      <c r="AN296" s="224"/>
      <c r="AO296" s="224"/>
      <c r="AP296" s="224"/>
      <c r="AQ296" s="224"/>
      <c r="AR296" s="224"/>
      <c r="AS296" s="224"/>
    </row>
    <row r="297" spans="1:45">
      <c r="A297" s="226"/>
      <c r="B297" s="220"/>
      <c r="C297" s="220"/>
      <c r="D297" s="220"/>
      <c r="E297" s="220"/>
      <c r="F297" s="220"/>
      <c r="G297" s="220"/>
      <c r="H297" s="220"/>
      <c r="I297" s="220"/>
      <c r="J297" s="220"/>
      <c r="K297" s="220"/>
      <c r="L297" s="220"/>
      <c r="M297" s="220"/>
      <c r="N297" s="220"/>
      <c r="O297" s="227"/>
      <c r="P297" s="220"/>
      <c r="Q297" s="220"/>
      <c r="R297" s="220"/>
      <c r="S297" s="220"/>
      <c r="T297" s="220"/>
      <c r="U297" s="220"/>
      <c r="V297" s="220"/>
      <c r="W297" s="220"/>
      <c r="X297" s="220"/>
      <c r="Y297" s="220"/>
      <c r="Z297" s="220"/>
      <c r="AA297" s="220"/>
      <c r="AB297" s="220"/>
      <c r="AC297" s="220"/>
      <c r="AD297" s="220"/>
      <c r="AE297" s="220"/>
      <c r="AF297" s="220"/>
      <c r="AG297" s="252"/>
      <c r="AH297" s="220"/>
      <c r="AI297" s="220"/>
      <c r="AJ297" s="220"/>
      <c r="AK297" s="220"/>
      <c r="AL297" s="220"/>
      <c r="AM297" s="220"/>
      <c r="AN297" s="220"/>
      <c r="AO297" s="220"/>
      <c r="AP297" s="220"/>
      <c r="AQ297" s="220"/>
      <c r="AR297" s="220"/>
      <c r="AS297" s="220"/>
    </row>
    <row r="298" spans="1:45">
      <c r="A298" s="483" t="s">
        <v>675</v>
      </c>
      <c r="B298" s="483"/>
      <c r="C298" s="483"/>
      <c r="D298" s="483"/>
      <c r="E298" s="483"/>
      <c r="F298" s="483"/>
      <c r="G298" s="483"/>
      <c r="H298" s="483"/>
      <c r="I298" s="483"/>
      <c r="J298" s="483"/>
      <c r="K298" s="483"/>
      <c r="L298" s="483"/>
      <c r="M298" s="483"/>
      <c r="N298" s="483"/>
      <c r="O298" s="483"/>
      <c r="P298" s="483"/>
      <c r="Q298" s="483"/>
      <c r="R298" s="483"/>
      <c r="S298" s="483"/>
      <c r="T298" s="483"/>
      <c r="U298" s="483"/>
      <c r="V298" s="483"/>
      <c r="W298" s="483"/>
      <c r="X298" s="483"/>
      <c r="Y298" s="483"/>
      <c r="Z298" s="483"/>
      <c r="AA298" s="483"/>
      <c r="AB298" s="483"/>
      <c r="AC298" s="483"/>
      <c r="AD298" s="483"/>
      <c r="AE298" s="483"/>
      <c r="AF298" s="483"/>
      <c r="AG298" s="483"/>
      <c r="AH298" s="483"/>
      <c r="AI298" s="483"/>
      <c r="AJ298" s="483"/>
      <c r="AK298" s="210"/>
    </row>
    <row r="299" spans="1:45">
      <c r="A299" s="483" t="s">
        <v>676</v>
      </c>
      <c r="B299" s="483"/>
      <c r="C299" s="483"/>
      <c r="D299" s="483"/>
      <c r="E299" s="483"/>
      <c r="F299" s="483"/>
      <c r="G299" s="483"/>
      <c r="H299" s="483"/>
      <c r="I299" s="483"/>
      <c r="J299" s="483"/>
      <c r="K299" s="483"/>
      <c r="L299" s="483"/>
      <c r="M299" s="483"/>
      <c r="N299" s="483"/>
      <c r="O299" s="483"/>
      <c r="P299" s="483"/>
      <c r="Q299" s="483"/>
      <c r="R299" s="483"/>
      <c r="S299" s="483"/>
      <c r="T299" s="483"/>
      <c r="U299" s="483"/>
      <c r="V299" s="483"/>
      <c r="W299" s="483"/>
      <c r="X299" s="483"/>
      <c r="Y299" s="483"/>
      <c r="Z299" s="483"/>
      <c r="AA299" s="483"/>
      <c r="AB299" s="483"/>
      <c r="AC299" s="483"/>
      <c r="AD299" s="483"/>
      <c r="AE299" s="483"/>
      <c r="AF299" s="483"/>
      <c r="AG299" s="483"/>
      <c r="AH299" s="483"/>
      <c r="AI299" s="483"/>
      <c r="AJ299" s="483"/>
      <c r="AK299" s="210"/>
      <c r="AL299" s="228"/>
      <c r="AM299" s="228"/>
      <c r="AN299" s="228"/>
      <c r="AO299" s="228"/>
      <c r="AP299" s="228"/>
      <c r="AQ299" s="228"/>
      <c r="AR299" s="228"/>
      <c r="AS299" s="228"/>
    </row>
    <row r="300" spans="1:45">
      <c r="A300" s="483" t="s">
        <v>677</v>
      </c>
      <c r="B300" s="483"/>
      <c r="C300" s="483"/>
      <c r="D300" s="483"/>
      <c r="E300" s="483"/>
      <c r="F300" s="483"/>
      <c r="G300" s="483"/>
      <c r="H300" s="483"/>
      <c r="I300" s="483"/>
      <c r="J300" s="483"/>
      <c r="K300" s="483"/>
      <c r="L300" s="483"/>
      <c r="M300" s="483"/>
      <c r="N300" s="483"/>
      <c r="O300" s="483"/>
      <c r="P300" s="483"/>
      <c r="Q300" s="483"/>
      <c r="R300" s="483"/>
      <c r="S300" s="483"/>
      <c r="T300" s="483"/>
      <c r="U300" s="483"/>
      <c r="V300" s="483"/>
      <c r="W300" s="483"/>
      <c r="X300" s="483"/>
      <c r="Y300" s="483"/>
      <c r="Z300" s="483"/>
      <c r="AA300" s="483"/>
      <c r="AB300" s="483"/>
      <c r="AC300" s="483"/>
      <c r="AD300" s="483"/>
      <c r="AE300" s="483"/>
      <c r="AF300" s="483"/>
      <c r="AG300" s="483"/>
      <c r="AH300" s="483"/>
      <c r="AI300" s="483"/>
      <c r="AJ300" s="483"/>
      <c r="AK300" s="210"/>
      <c r="AL300" s="229"/>
      <c r="AM300" s="229"/>
      <c r="AN300" s="229"/>
      <c r="AO300" s="229"/>
      <c r="AP300" s="229"/>
      <c r="AQ300" s="229"/>
      <c r="AR300" s="229"/>
      <c r="AS300" s="229"/>
    </row>
    <row r="301" spans="1:45">
      <c r="A301" s="483"/>
      <c r="B301" s="483"/>
      <c r="C301" s="483"/>
      <c r="D301" s="483"/>
      <c r="E301" s="483"/>
      <c r="F301" s="483"/>
      <c r="G301" s="483"/>
      <c r="H301" s="483"/>
      <c r="I301" s="483"/>
      <c r="J301" s="483"/>
      <c r="K301" s="483"/>
      <c r="L301" s="483"/>
      <c r="M301" s="483"/>
      <c r="N301" s="483"/>
      <c r="O301" s="483"/>
      <c r="P301" s="483"/>
      <c r="Q301" s="483"/>
      <c r="R301" s="483"/>
      <c r="S301" s="483"/>
      <c r="T301" s="483"/>
      <c r="U301" s="483"/>
      <c r="V301" s="483"/>
      <c r="W301" s="483"/>
      <c r="X301" s="483"/>
      <c r="Y301" s="483"/>
      <c r="Z301" s="483"/>
      <c r="AA301" s="483"/>
      <c r="AB301" s="483"/>
      <c r="AC301" s="483"/>
      <c r="AD301" s="483"/>
      <c r="AE301" s="483"/>
      <c r="AF301" s="483"/>
      <c r="AG301" s="483"/>
      <c r="AH301" s="483"/>
      <c r="AI301" s="483"/>
      <c r="AJ301" s="483"/>
      <c r="AK301" s="210"/>
      <c r="AL301" s="230"/>
      <c r="AM301" s="230"/>
      <c r="AN301" s="230"/>
      <c r="AO301" s="230"/>
      <c r="AP301" s="230"/>
      <c r="AQ301" s="230"/>
      <c r="AR301" s="230"/>
      <c r="AS301" s="230"/>
    </row>
  </sheetData>
  <mergeCells count="24">
    <mergeCell ref="A286:AJ286"/>
    <mergeCell ref="A1:AJ1"/>
    <mergeCell ref="A2:AJ2"/>
    <mergeCell ref="A262:D262"/>
    <mergeCell ref="A273:AJ273"/>
    <mergeCell ref="A274:AJ274"/>
    <mergeCell ref="A276:AJ276"/>
    <mergeCell ref="A277:AJ277"/>
    <mergeCell ref="A278:P278"/>
    <mergeCell ref="A282:AJ282"/>
    <mergeCell ref="A283:AJ283"/>
    <mergeCell ref="A284:AJ284"/>
    <mergeCell ref="A301:AJ301"/>
    <mergeCell ref="A287:AJ287"/>
    <mergeCell ref="A288:AJ288"/>
    <mergeCell ref="A289:AJ289"/>
    <mergeCell ref="A291:AJ291"/>
    <mergeCell ref="A292:AJ292"/>
    <mergeCell ref="A293:X293"/>
    <mergeCell ref="A294:AE294"/>
    <mergeCell ref="A296:AJ296"/>
    <mergeCell ref="A298:AJ298"/>
    <mergeCell ref="A299:AJ299"/>
    <mergeCell ref="A300:AJ300"/>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87"/>
  <sheetViews>
    <sheetView view="pageBreakPreview" zoomScale="70" zoomScaleNormal="70" zoomScaleSheetLayoutView="70" workbookViewId="0">
      <pane xSplit="6" ySplit="5" topLeftCell="G107" activePane="bottomRight" state="frozen"/>
      <selection activeCell="AD92" sqref="AD92"/>
      <selection pane="topRight" activeCell="AD92" sqref="AD92"/>
      <selection pane="bottomLeft" activeCell="AD92" sqref="AD92"/>
      <selection pane="bottomRight" activeCell="AD92" sqref="AD92"/>
    </sheetView>
  </sheetViews>
  <sheetFormatPr defaultRowHeight="12.75" outlineLevelCol="1"/>
  <cols>
    <col min="1" max="1" width="16.5" style="261" customWidth="1"/>
    <col min="2" max="2" width="24.25" style="256" customWidth="1"/>
    <col min="3" max="3" width="9" style="256" hidden="1" customWidth="1" outlineLevel="1"/>
    <col min="4" max="4" width="9.625" style="256" hidden="1" customWidth="1" outlineLevel="1"/>
    <col min="5" max="5" width="11.875" style="256" hidden="1" customWidth="1" outlineLevel="1"/>
    <col min="6" max="6" width="13" style="256" hidden="1" customWidth="1" outlineLevel="1"/>
    <col min="7" max="7" width="12.875" style="256" customWidth="1" collapsed="1"/>
    <col min="8" max="8" width="13.5" style="256" customWidth="1" outlineLevel="1"/>
    <col min="9" max="9" width="13" style="256" customWidth="1" outlineLevel="1"/>
    <col min="10" max="10" width="12" style="256" customWidth="1" outlineLevel="1"/>
    <col min="11" max="11" width="9.75" style="256" customWidth="1" outlineLevel="1"/>
    <col min="12" max="12" width="9.75" style="257" customWidth="1" outlineLevel="1"/>
    <col min="13" max="13" width="9.875" style="257" customWidth="1" outlineLevel="1"/>
    <col min="14" max="14" width="9.75" style="257" customWidth="1" outlineLevel="1"/>
    <col min="15" max="15" width="9.875" style="256" customWidth="1" outlineLevel="1"/>
    <col min="16" max="16" width="9.625" style="256" customWidth="1" outlineLevel="1"/>
    <col min="17" max="17" width="9.75" style="256" customWidth="1" outlineLevel="1"/>
    <col min="18" max="18" width="15.5" style="256" customWidth="1" outlineLevel="1"/>
    <col min="19" max="19" width="33.5" style="258" customWidth="1"/>
    <col min="20" max="20" width="14.375" style="256" customWidth="1" outlineLevel="1"/>
    <col min="21" max="21" width="16.25" style="404" customWidth="1"/>
    <col min="22" max="22" width="12.625" style="256" customWidth="1"/>
    <col min="23" max="23" width="11.125" style="256" customWidth="1"/>
    <col min="24" max="24" width="4.125" style="256" customWidth="1"/>
    <col min="25" max="25" width="11.75" style="256" customWidth="1"/>
    <col min="26" max="26" width="10.625" style="256" customWidth="1"/>
    <col min="27" max="27" width="11.625" style="256" customWidth="1"/>
    <col min="28" max="29" width="12" style="256" customWidth="1"/>
    <col min="30" max="30" width="14.75" style="256" customWidth="1"/>
    <col min="31" max="31" width="0" style="256" hidden="1" customWidth="1" outlineLevel="1"/>
    <col min="32" max="32" width="11.125" style="260" hidden="1" customWidth="1" outlineLevel="1"/>
    <col min="33" max="33" width="10.375" style="256" hidden="1" customWidth="1" outlineLevel="1"/>
    <col min="34" max="34" width="5.375" style="256" hidden="1" customWidth="1" outlineLevel="1"/>
    <col min="35" max="35" width="10.75" style="256" hidden="1" customWidth="1" outlineLevel="1"/>
    <col min="36" max="36" width="0" style="256" hidden="1" customWidth="1" outlineLevel="1"/>
    <col min="37" max="37" width="9" style="256" collapsed="1"/>
    <col min="38" max="16384" width="9" style="256"/>
  </cols>
  <sheetData>
    <row r="1" spans="1:36" ht="15.75">
      <c r="A1" s="254" t="s">
        <v>678</v>
      </c>
      <c r="B1" s="255"/>
      <c r="U1" s="259"/>
    </row>
    <row r="2" spans="1:36">
      <c r="U2" s="259"/>
      <c r="Y2" s="501" t="s">
        <v>679</v>
      </c>
      <c r="Z2" s="501"/>
      <c r="AA2" s="501"/>
      <c r="AB2" s="501"/>
      <c r="AC2" s="262"/>
    </row>
    <row r="3" spans="1:36" ht="39" customHeight="1">
      <c r="A3" s="502" t="s">
        <v>680</v>
      </c>
      <c r="B3" s="504" t="s">
        <v>681</v>
      </c>
      <c r="C3" s="263"/>
      <c r="D3" s="263"/>
      <c r="E3" s="263"/>
      <c r="F3" s="263"/>
      <c r="G3" s="505" t="s">
        <v>682</v>
      </c>
      <c r="H3" s="505" t="s">
        <v>683</v>
      </c>
      <c r="I3" s="505" t="s">
        <v>684</v>
      </c>
      <c r="J3" s="506" t="s">
        <v>685</v>
      </c>
      <c r="K3" s="264" t="s">
        <v>686</v>
      </c>
      <c r="L3" s="506" t="s">
        <v>687</v>
      </c>
      <c r="M3" s="506"/>
      <c r="N3" s="506"/>
      <c r="O3" s="507" t="s">
        <v>688</v>
      </c>
      <c r="P3" s="507"/>
      <c r="Q3" s="507"/>
      <c r="R3" s="507" t="s">
        <v>149</v>
      </c>
      <c r="S3" s="506" t="s">
        <v>151</v>
      </c>
      <c r="T3" s="508" t="s">
        <v>689</v>
      </c>
      <c r="U3" s="509" t="s">
        <v>690</v>
      </c>
      <c r="V3" s="509" t="s">
        <v>691</v>
      </c>
      <c r="W3" s="510" t="s">
        <v>692</v>
      </c>
      <c r="X3" s="500"/>
      <c r="Y3" s="495" t="s">
        <v>693</v>
      </c>
      <c r="Z3" s="496" t="s">
        <v>694</v>
      </c>
      <c r="AA3" s="496" t="s">
        <v>695</v>
      </c>
      <c r="AB3" s="498" t="s">
        <v>696</v>
      </c>
      <c r="AC3" s="498" t="s">
        <v>697</v>
      </c>
      <c r="AD3" s="496" t="s">
        <v>698</v>
      </c>
      <c r="AF3" s="491" t="s">
        <v>699</v>
      </c>
      <c r="AG3" s="491" t="s">
        <v>700</v>
      </c>
      <c r="AI3" s="492" t="s">
        <v>701</v>
      </c>
    </row>
    <row r="4" spans="1:36" ht="51" customHeight="1">
      <c r="A4" s="503"/>
      <c r="B4" s="504"/>
      <c r="C4" s="265" t="s">
        <v>702</v>
      </c>
      <c r="D4" s="265" t="s">
        <v>703</v>
      </c>
      <c r="E4" s="266" t="s">
        <v>704</v>
      </c>
      <c r="F4" s="266" t="s">
        <v>705</v>
      </c>
      <c r="G4" s="505"/>
      <c r="H4" s="505"/>
      <c r="I4" s="505"/>
      <c r="J4" s="506"/>
      <c r="K4" s="267">
        <v>2012</v>
      </c>
      <c r="L4" s="267">
        <v>2013</v>
      </c>
      <c r="M4" s="267">
        <v>2014</v>
      </c>
      <c r="N4" s="267">
        <v>2015</v>
      </c>
      <c r="O4" s="267">
        <v>2013</v>
      </c>
      <c r="P4" s="267">
        <v>2014</v>
      </c>
      <c r="Q4" s="267">
        <v>2015</v>
      </c>
      <c r="R4" s="507"/>
      <c r="S4" s="506"/>
      <c r="T4" s="508"/>
      <c r="U4" s="509"/>
      <c r="V4" s="509"/>
      <c r="W4" s="510"/>
      <c r="X4" s="500"/>
      <c r="Y4" s="495"/>
      <c r="Z4" s="497"/>
      <c r="AA4" s="497"/>
      <c r="AB4" s="499"/>
      <c r="AC4" s="499"/>
      <c r="AD4" s="497"/>
      <c r="AF4" s="491"/>
      <c r="AG4" s="491"/>
      <c r="AI4" s="493"/>
    </row>
    <row r="5" spans="1:36" ht="38.25">
      <c r="A5" s="268">
        <v>1</v>
      </c>
      <c r="B5" s="265">
        <v>2</v>
      </c>
      <c r="C5" s="265" t="s">
        <v>231</v>
      </c>
      <c r="D5" s="265" t="s">
        <v>231</v>
      </c>
      <c r="E5" s="265" t="s">
        <v>231</v>
      </c>
      <c r="F5" s="265" t="s">
        <v>231</v>
      </c>
      <c r="G5" s="265">
        <v>3</v>
      </c>
      <c r="H5" s="265">
        <v>4</v>
      </c>
      <c r="I5" s="265">
        <v>5</v>
      </c>
      <c r="J5" s="267">
        <v>6</v>
      </c>
      <c r="K5" s="267">
        <v>7</v>
      </c>
      <c r="L5" s="267">
        <v>8</v>
      </c>
      <c r="M5" s="267">
        <v>9</v>
      </c>
      <c r="N5" s="267">
        <v>10</v>
      </c>
      <c r="O5" s="267">
        <v>11</v>
      </c>
      <c r="P5" s="267">
        <v>12</v>
      </c>
      <c r="Q5" s="267">
        <v>13</v>
      </c>
      <c r="R5" s="269" t="s">
        <v>706</v>
      </c>
      <c r="S5" s="269">
        <v>14</v>
      </c>
      <c r="U5" s="270">
        <v>15</v>
      </c>
      <c r="V5" s="270" t="s">
        <v>707</v>
      </c>
      <c r="W5" s="270" t="s">
        <v>708</v>
      </c>
      <c r="Y5" s="267">
        <v>16</v>
      </c>
      <c r="Z5" s="267" t="s">
        <v>709</v>
      </c>
      <c r="AA5" s="267" t="s">
        <v>710</v>
      </c>
      <c r="AB5" s="267">
        <v>17</v>
      </c>
      <c r="AC5" s="267">
        <v>18</v>
      </c>
      <c r="AD5" s="271">
        <v>19</v>
      </c>
      <c r="AF5" s="491"/>
      <c r="AG5" s="491"/>
      <c r="AI5" s="494"/>
    </row>
    <row r="6" spans="1:36" s="279" customFormat="1">
      <c r="A6" s="272"/>
      <c r="B6" s="272" t="s">
        <v>711</v>
      </c>
      <c r="C6" s="272"/>
      <c r="D6" s="272"/>
      <c r="E6" s="272"/>
      <c r="F6" s="272"/>
      <c r="G6" s="273">
        <f>G14+G15+G16+G17</f>
        <v>3452355415.03264</v>
      </c>
      <c r="H6" s="273">
        <f t="shared" ref="H6:Q6" si="0">H14+H15+H16+H17</f>
        <v>298572441.46090603</v>
      </c>
      <c r="I6" s="273">
        <f t="shared" si="0"/>
        <v>3750927856.3636961</v>
      </c>
      <c r="J6" s="273">
        <f t="shared" si="0"/>
        <v>1624283979.3600001</v>
      </c>
      <c r="K6" s="273">
        <f t="shared" si="0"/>
        <v>425567085.51999998</v>
      </c>
      <c r="L6" s="273">
        <f>L8+L9+L10+L11+L12</f>
        <v>523799164</v>
      </c>
      <c r="M6" s="273">
        <f>M8+M9+M10+M11+M12</f>
        <v>519254630</v>
      </c>
      <c r="N6" s="273">
        <f>N8+N9+N10+N11+N12</f>
        <v>322306655</v>
      </c>
      <c r="O6" s="273">
        <f t="shared" si="0"/>
        <v>119010674.40000001</v>
      </c>
      <c r="P6" s="273">
        <f t="shared" si="0"/>
        <v>397279939.44999999</v>
      </c>
      <c r="Q6" s="273">
        <f t="shared" si="0"/>
        <v>387416133.47000003</v>
      </c>
      <c r="R6" s="274">
        <f>J6+K6+L6+M6+N6+O6+P6+Q6</f>
        <v>4318918261.1999998</v>
      </c>
      <c r="S6" s="275"/>
      <c r="T6" s="276">
        <f>T8+T9+T10+T11</f>
        <v>32527563.673695207</v>
      </c>
      <c r="U6" s="277">
        <f>U8+U9+U10+U11+U12</f>
        <v>581367245</v>
      </c>
      <c r="V6" s="277">
        <f>V8+V9+V10+V11</f>
        <v>111044821.48000002</v>
      </c>
      <c r="W6" s="278">
        <f>(K8+K9+K10+K11)/(U8+U9+U10+U11)</f>
        <v>0.79306306842721619</v>
      </c>
      <c r="Y6" s="280">
        <f>Y8+Y9+Y10+Y11</f>
        <v>501075333</v>
      </c>
      <c r="Z6" s="280">
        <f t="shared" ref="Z6:AA6" si="1">Z8+Z9+Z10+Z11</f>
        <v>351830142</v>
      </c>
      <c r="AA6" s="280">
        <f t="shared" si="1"/>
        <v>330113770.97999996</v>
      </c>
      <c r="AB6" s="281">
        <f>(AA8+AA9+AA10+AA11)/(Y8+Y9+Y10+Y11)</f>
        <v>0.65881066027251423</v>
      </c>
      <c r="AC6" s="281">
        <f>(K8+K9+K10+K11)/(Y8+Y9+Y10+Y11)</f>
        <v>0.84930759407388345</v>
      </c>
      <c r="AD6" s="280">
        <f>(AB8+AB9+AB10+AB11)/(Z8+Z9+Z10+Z11)</f>
        <v>7.596436248884939E-9</v>
      </c>
      <c r="AF6" s="276">
        <f>Y6-K6</f>
        <v>75508247.480000019</v>
      </c>
      <c r="AI6" s="280">
        <f>AI8+AI9+AI10+AI11</f>
        <v>499705161</v>
      </c>
      <c r="AJ6" s="282">
        <f t="shared" ref="AJ6:AJ19" si="2">AI6-K6</f>
        <v>74138075.480000019</v>
      </c>
    </row>
    <row r="7" spans="1:36">
      <c r="A7" s="268"/>
      <c r="B7" s="283"/>
      <c r="C7" s="265"/>
      <c r="D7" s="265"/>
      <c r="E7" s="265"/>
      <c r="F7" s="265"/>
      <c r="G7" s="284"/>
      <c r="H7" s="284"/>
      <c r="I7" s="284"/>
      <c r="J7" s="285"/>
      <c r="K7" s="285"/>
      <c r="L7" s="285"/>
      <c r="M7" s="285"/>
      <c r="N7" s="285"/>
      <c r="O7" s="285"/>
      <c r="P7" s="285"/>
      <c r="Q7" s="285"/>
      <c r="R7" s="285">
        <f t="shared" ref="R7:R70" si="3">J7+K7+L7+M7+N7+O7+P7+Q7</f>
        <v>0</v>
      </c>
      <c r="S7" s="286"/>
      <c r="T7" s="276"/>
      <c r="U7" s="287"/>
      <c r="V7" s="287"/>
      <c r="W7" s="287"/>
      <c r="Y7" s="288"/>
      <c r="Z7" s="288"/>
      <c r="AA7" s="288"/>
      <c r="AB7" s="289"/>
      <c r="AC7" s="289"/>
      <c r="AD7" s="290"/>
      <c r="AF7" s="276">
        <f t="shared" ref="AF7:AF70" si="4">Y7-K7</f>
        <v>0</v>
      </c>
      <c r="AI7" s="288"/>
      <c r="AJ7" s="291"/>
    </row>
    <row r="8" spans="1:36">
      <c r="A8" s="272"/>
      <c r="B8" s="292" t="s">
        <v>712</v>
      </c>
      <c r="C8" s="292"/>
      <c r="D8" s="292"/>
      <c r="E8" s="292"/>
      <c r="F8" s="292"/>
      <c r="G8" s="293">
        <f>G15+G16-G10</f>
        <v>1791101502.5526397</v>
      </c>
      <c r="H8" s="293">
        <f t="shared" ref="H8:Q8" si="5">H15+H16-H10</f>
        <v>210748299.78999999</v>
      </c>
      <c r="I8" s="293">
        <f t="shared" si="5"/>
        <v>2001849802.5265596</v>
      </c>
      <c r="J8" s="293">
        <f t="shared" si="5"/>
        <v>802262383.04000008</v>
      </c>
      <c r="K8" s="293">
        <f t="shared" si="5"/>
        <v>232296727.51999998</v>
      </c>
      <c r="L8" s="293">
        <f t="shared" si="5"/>
        <v>232243065.60000002</v>
      </c>
      <c r="M8" s="294">
        <f t="shared" si="5"/>
        <v>79600197</v>
      </c>
      <c r="N8" s="294">
        <f t="shared" si="5"/>
        <v>20660207</v>
      </c>
      <c r="O8" s="293">
        <f t="shared" si="5"/>
        <v>95731414.400000006</v>
      </c>
      <c r="P8" s="293">
        <f t="shared" si="5"/>
        <v>262492049</v>
      </c>
      <c r="Q8" s="293">
        <f t="shared" si="5"/>
        <v>245257961.00000003</v>
      </c>
      <c r="R8" s="274">
        <f t="shared" si="3"/>
        <v>1970544004.5600002</v>
      </c>
      <c r="S8" s="295"/>
      <c r="T8" s="276">
        <f t="shared" ref="T8:T71" si="6">I8-R8</f>
        <v>31305797.96655941</v>
      </c>
      <c r="U8" s="277">
        <f>U15+U148</f>
        <v>290141558</v>
      </c>
      <c r="V8" s="277">
        <f>U8-K8</f>
        <v>57844830.480000019</v>
      </c>
      <c r="W8" s="278">
        <f>K8/U8</f>
        <v>0.80063238483057975</v>
      </c>
      <c r="Y8" s="293">
        <f t="shared" ref="Y8:AA8" si="7">Y15+Y16-Y10</f>
        <v>268166134</v>
      </c>
      <c r="Z8" s="293">
        <f t="shared" si="7"/>
        <v>183371529</v>
      </c>
      <c r="AA8" s="293">
        <f t="shared" si="7"/>
        <v>168107866.44999999</v>
      </c>
      <c r="AB8" s="296">
        <f>AA8/Y8</f>
        <v>0.62687955388878447</v>
      </c>
      <c r="AC8" s="296">
        <f>K8/Y8</f>
        <v>0.86624184812240301</v>
      </c>
      <c r="AD8" s="293">
        <v>239605326</v>
      </c>
      <c r="AF8" s="276">
        <f t="shared" si="4"/>
        <v>35869406.480000019</v>
      </c>
      <c r="AI8" s="293">
        <f t="shared" ref="AI8" si="8">AI15+AI16-AI10</f>
        <v>256964267</v>
      </c>
      <c r="AJ8" s="282">
        <f t="shared" si="2"/>
        <v>24667539.480000019</v>
      </c>
    </row>
    <row r="9" spans="1:36">
      <c r="A9" s="272"/>
      <c r="B9" s="292" t="s">
        <v>713</v>
      </c>
      <c r="C9" s="292"/>
      <c r="D9" s="292"/>
      <c r="E9" s="292"/>
      <c r="F9" s="292"/>
      <c r="G9" s="293">
        <f>G14</f>
        <v>446304123.99000001</v>
      </c>
      <c r="H9" s="293">
        <f t="shared" ref="H9:Q9" si="9">H14</f>
        <v>40867184.670905992</v>
      </c>
      <c r="I9" s="293">
        <f t="shared" si="9"/>
        <v>487171308.34713596</v>
      </c>
      <c r="J9" s="293">
        <f t="shared" si="9"/>
        <v>301105644.81000018</v>
      </c>
      <c r="K9" s="293">
        <f>K14</f>
        <v>72639231</v>
      </c>
      <c r="L9" s="293">
        <f t="shared" si="9"/>
        <v>57938986.890000001</v>
      </c>
      <c r="M9" s="294">
        <f t="shared" si="9"/>
        <v>16529617</v>
      </c>
      <c r="N9" s="294">
        <f t="shared" si="9"/>
        <v>4956850</v>
      </c>
      <c r="O9" s="293">
        <f t="shared" si="9"/>
        <v>9334926</v>
      </c>
      <c r="P9" s="293">
        <f t="shared" si="9"/>
        <v>13096998</v>
      </c>
      <c r="Q9" s="293">
        <f t="shared" si="9"/>
        <v>10347293</v>
      </c>
      <c r="R9" s="274">
        <f t="shared" si="3"/>
        <v>485949546.70000017</v>
      </c>
      <c r="S9" s="295"/>
      <c r="T9" s="276">
        <f t="shared" si="6"/>
        <v>1221761.6471357942</v>
      </c>
      <c r="U9" s="277">
        <f>U14</f>
        <v>58145014</v>
      </c>
      <c r="V9" s="277">
        <f>U9-K9</f>
        <v>-14494217</v>
      </c>
      <c r="W9" s="278">
        <f>K9/U9</f>
        <v>1.2492770403322975</v>
      </c>
      <c r="Y9" s="293">
        <f t="shared" ref="Y9:AA9" si="10">Y14</f>
        <v>77816769</v>
      </c>
      <c r="Z9" s="293">
        <f t="shared" si="10"/>
        <v>61468248</v>
      </c>
      <c r="AA9" s="293">
        <f t="shared" si="10"/>
        <v>57399116.289999999</v>
      </c>
      <c r="AB9" s="296">
        <f t="shared" ref="AB9:AB11" si="11">AA9/Y9</f>
        <v>0.73761885808957195</v>
      </c>
      <c r="AC9" s="296">
        <f t="shared" ref="AC9:AC10" si="12">K9/Y9</f>
        <v>0.93346500932209098</v>
      </c>
      <c r="AD9" s="293">
        <v>72797678</v>
      </c>
      <c r="AF9" s="276">
        <f t="shared" si="4"/>
        <v>5177538</v>
      </c>
      <c r="AI9" s="293">
        <f t="shared" ref="AI9" si="13">AI14</f>
        <v>77165874</v>
      </c>
      <c r="AJ9" s="282">
        <f t="shared" si="2"/>
        <v>4526643</v>
      </c>
    </row>
    <row r="10" spans="1:36">
      <c r="A10" s="272"/>
      <c r="B10" s="292" t="s">
        <v>714</v>
      </c>
      <c r="C10" s="292"/>
      <c r="D10" s="292"/>
      <c r="E10" s="292"/>
      <c r="F10" s="292"/>
      <c r="G10" s="293">
        <f>G199+G232</f>
        <v>1136885259.49</v>
      </c>
      <c r="H10" s="293">
        <f t="shared" ref="H10:Q10" si="14">H199+H232</f>
        <v>46956957</v>
      </c>
      <c r="I10" s="293">
        <f t="shared" si="14"/>
        <v>1183842216.49</v>
      </c>
      <c r="J10" s="293">
        <f t="shared" si="14"/>
        <v>488806262.82000005</v>
      </c>
      <c r="K10" s="293">
        <f t="shared" si="14"/>
        <v>109951214</v>
      </c>
      <c r="L10" s="294">
        <f t="shared" si="14"/>
        <v>179578888</v>
      </c>
      <c r="M10" s="294">
        <f t="shared" si="14"/>
        <v>113089454</v>
      </c>
      <c r="N10" s="294">
        <f t="shared" si="14"/>
        <v>34996472</v>
      </c>
      <c r="O10" s="293">
        <f t="shared" si="14"/>
        <v>12764231</v>
      </c>
      <c r="P10" s="293">
        <f t="shared" si="14"/>
        <v>118107045.45</v>
      </c>
      <c r="Q10" s="293">
        <f t="shared" si="14"/>
        <v>126548645.47</v>
      </c>
      <c r="R10" s="274">
        <f t="shared" si="3"/>
        <v>1183842212.74</v>
      </c>
      <c r="S10" s="295"/>
      <c r="T10" s="276">
        <f t="shared" si="6"/>
        <v>3.75</v>
      </c>
      <c r="U10" s="277">
        <f>U199+U232</f>
        <v>175808640</v>
      </c>
      <c r="V10" s="277">
        <f>U10-K10</f>
        <v>65857426</v>
      </c>
      <c r="W10" s="278">
        <f>K10/U10</f>
        <v>0.62540279021554346</v>
      </c>
      <c r="Y10" s="293">
        <f t="shared" ref="Y10:AA10" si="15">Y199+Y232</f>
        <v>142450898</v>
      </c>
      <c r="Z10" s="293">
        <f t="shared" si="15"/>
        <v>98247602</v>
      </c>
      <c r="AA10" s="293">
        <f t="shared" si="15"/>
        <v>96646379.560000002</v>
      </c>
      <c r="AB10" s="296">
        <f>AA10/Y10</f>
        <v>0.67845398601839635</v>
      </c>
      <c r="AC10" s="296">
        <f t="shared" si="12"/>
        <v>0.77185342840028992</v>
      </c>
      <c r="AD10" s="293">
        <v>131952639</v>
      </c>
      <c r="AF10" s="276">
        <f t="shared" si="4"/>
        <v>32499684</v>
      </c>
      <c r="AI10" s="293">
        <f t="shared" ref="AI10" si="16">AI199+AI232</f>
        <v>153340939</v>
      </c>
      <c r="AJ10" s="282">
        <f t="shared" si="2"/>
        <v>43389725</v>
      </c>
    </row>
    <row r="11" spans="1:36">
      <c r="A11" s="272"/>
      <c r="B11" s="292" t="s">
        <v>715</v>
      </c>
      <c r="C11" s="292"/>
      <c r="D11" s="292"/>
      <c r="E11" s="292"/>
      <c r="F11" s="292"/>
      <c r="G11" s="293">
        <f>G254</f>
        <v>78064529</v>
      </c>
      <c r="H11" s="293">
        <f t="shared" ref="H11:Q11" si="17">H254</f>
        <v>0</v>
      </c>
      <c r="I11" s="293">
        <f t="shared" si="17"/>
        <v>78064529</v>
      </c>
      <c r="J11" s="293">
        <f t="shared" si="17"/>
        <v>32109688.689999998</v>
      </c>
      <c r="K11" s="293">
        <f t="shared" si="17"/>
        <v>10679913</v>
      </c>
      <c r="L11" s="293">
        <f t="shared" si="17"/>
        <v>13080178</v>
      </c>
      <c r="M11" s="293">
        <f t="shared" si="17"/>
        <v>8479655</v>
      </c>
      <c r="N11" s="293">
        <f t="shared" si="17"/>
        <v>3688910</v>
      </c>
      <c r="O11" s="293">
        <f t="shared" si="17"/>
        <v>1180103</v>
      </c>
      <c r="P11" s="293">
        <f t="shared" si="17"/>
        <v>3583847</v>
      </c>
      <c r="Q11" s="293">
        <f t="shared" si="17"/>
        <v>5262234</v>
      </c>
      <c r="R11" s="274">
        <f t="shared" si="3"/>
        <v>78064528.689999998</v>
      </c>
      <c r="S11" s="295"/>
      <c r="T11" s="276">
        <f>I11-R11</f>
        <v>0.31000000238418579</v>
      </c>
      <c r="U11" s="277">
        <f t="shared" ref="U11" si="18">U254</f>
        <v>12516695</v>
      </c>
      <c r="V11" s="277">
        <f>U11-K11</f>
        <v>1836782</v>
      </c>
      <c r="W11" s="278">
        <f>K11/U11</f>
        <v>0.85325343471259785</v>
      </c>
      <c r="Y11" s="293">
        <f t="shared" ref="Y11:AA11" si="19">Y254</f>
        <v>12641532</v>
      </c>
      <c r="Z11" s="293">
        <f t="shared" si="19"/>
        <v>8742763</v>
      </c>
      <c r="AA11" s="293">
        <f t="shared" si="19"/>
        <v>7960408.6800000006</v>
      </c>
      <c r="AB11" s="296">
        <f t="shared" si="11"/>
        <v>0.62970284614238214</v>
      </c>
      <c r="AC11" s="296">
        <f>K11/Y11</f>
        <v>0.84482743072595945</v>
      </c>
      <c r="AD11" s="293">
        <v>11179223</v>
      </c>
      <c r="AF11" s="276">
        <f t="shared" si="4"/>
        <v>1961619</v>
      </c>
      <c r="AI11" s="293">
        <f t="shared" ref="AI11" si="20">AI254</f>
        <v>12234081</v>
      </c>
      <c r="AJ11" s="291">
        <f t="shared" si="2"/>
        <v>1554168</v>
      </c>
    </row>
    <row r="12" spans="1:36">
      <c r="A12" s="272"/>
      <c r="B12" s="292" t="s">
        <v>716</v>
      </c>
      <c r="C12" s="292"/>
      <c r="D12" s="292"/>
      <c r="E12" s="292"/>
      <c r="F12" s="292"/>
      <c r="G12" s="293"/>
      <c r="H12" s="293"/>
      <c r="I12" s="293"/>
      <c r="J12" s="297"/>
      <c r="K12" s="298"/>
      <c r="L12" s="299">
        <f>L255</f>
        <v>40958045.50999999</v>
      </c>
      <c r="M12" s="299">
        <f>M255</f>
        <v>301555707</v>
      </c>
      <c r="N12" s="299">
        <f>N255</f>
        <v>258004216</v>
      </c>
      <c r="O12" s="298"/>
      <c r="P12" s="297"/>
      <c r="Q12" s="297"/>
      <c r="R12" s="297">
        <f t="shared" si="3"/>
        <v>600517968.50999999</v>
      </c>
      <c r="S12" s="295"/>
      <c r="T12" s="276"/>
      <c r="U12" s="277">
        <f>U255</f>
        <v>44755338</v>
      </c>
      <c r="V12" s="277"/>
      <c r="W12" s="277"/>
      <c r="Y12" s="300"/>
      <c r="Z12" s="300"/>
      <c r="AA12" s="300"/>
      <c r="AB12" s="301"/>
      <c r="AC12" s="301"/>
      <c r="AD12" s="302"/>
      <c r="AF12" s="276">
        <f t="shared" si="4"/>
        <v>0</v>
      </c>
      <c r="AI12" s="300"/>
      <c r="AJ12" s="282"/>
    </row>
    <row r="13" spans="1:36">
      <c r="A13" s="268"/>
      <c r="B13" s="283"/>
      <c r="C13" s="265"/>
      <c r="D13" s="265"/>
      <c r="E13" s="265"/>
      <c r="F13" s="265"/>
      <c r="G13" s="284"/>
      <c r="H13" s="284"/>
      <c r="I13" s="284"/>
      <c r="J13" s="285"/>
      <c r="K13" s="285"/>
      <c r="L13" s="285"/>
      <c r="M13" s="285"/>
      <c r="N13" s="285"/>
      <c r="O13" s="285"/>
      <c r="P13" s="285"/>
      <c r="Q13" s="285"/>
      <c r="R13" s="285"/>
      <c r="S13" s="286"/>
      <c r="T13" s="276"/>
      <c r="U13" s="287"/>
      <c r="V13" s="287"/>
      <c r="W13" s="287"/>
      <c r="Y13" s="303"/>
      <c r="Z13" s="303"/>
      <c r="AA13" s="303"/>
      <c r="AB13" s="304"/>
      <c r="AC13" s="304"/>
      <c r="AD13" s="305"/>
      <c r="AF13" s="276">
        <f t="shared" si="4"/>
        <v>0</v>
      </c>
      <c r="AI13" s="303"/>
      <c r="AJ13" s="282"/>
    </row>
    <row r="14" spans="1:36">
      <c r="A14" s="272"/>
      <c r="B14" s="292" t="s">
        <v>717</v>
      </c>
      <c r="C14" s="292"/>
      <c r="D14" s="292"/>
      <c r="E14" s="292"/>
      <c r="F14" s="292"/>
      <c r="G14" s="293">
        <f>G19</f>
        <v>446304123.99000001</v>
      </c>
      <c r="H14" s="293">
        <f t="shared" ref="H14:Q14" si="21">H19</f>
        <v>40867184.670905992</v>
      </c>
      <c r="I14" s="293">
        <f t="shared" si="21"/>
        <v>487171308.34713596</v>
      </c>
      <c r="J14" s="293">
        <f t="shared" si="21"/>
        <v>301105644.81000018</v>
      </c>
      <c r="K14" s="293">
        <f>K19</f>
        <v>72639231</v>
      </c>
      <c r="L14" s="293">
        <f t="shared" si="21"/>
        <v>57938986.890000001</v>
      </c>
      <c r="M14" s="293">
        <f t="shared" si="21"/>
        <v>16529617</v>
      </c>
      <c r="N14" s="293">
        <f t="shared" si="21"/>
        <v>4956850</v>
      </c>
      <c r="O14" s="293">
        <f t="shared" si="21"/>
        <v>9334926</v>
      </c>
      <c r="P14" s="293">
        <f t="shared" si="21"/>
        <v>13096998</v>
      </c>
      <c r="Q14" s="293">
        <f t="shared" si="21"/>
        <v>10347293</v>
      </c>
      <c r="R14" s="274">
        <f t="shared" si="3"/>
        <v>485949546.70000017</v>
      </c>
      <c r="S14" s="295"/>
      <c r="T14" s="276">
        <f t="shared" si="6"/>
        <v>1221761.6471357942</v>
      </c>
      <c r="U14" s="277">
        <f>U19</f>
        <v>58145014</v>
      </c>
      <c r="V14" s="277">
        <f>U14-K14</f>
        <v>-14494217</v>
      </c>
      <c r="W14" s="278">
        <f>K14/U14</f>
        <v>1.2492770403322975</v>
      </c>
      <c r="Y14" s="293">
        <f t="shared" ref="Y14:AA14" si="22">Y19</f>
        <v>77816769</v>
      </c>
      <c r="Z14" s="293">
        <f t="shared" si="22"/>
        <v>61468248</v>
      </c>
      <c r="AA14" s="293">
        <f t="shared" si="22"/>
        <v>57399116.289999999</v>
      </c>
      <c r="AB14" s="296">
        <f>AA14/Y14</f>
        <v>0.73761885808957195</v>
      </c>
      <c r="AC14" s="296">
        <f>K14/Y14</f>
        <v>0.93346500932209098</v>
      </c>
      <c r="AD14" s="293">
        <f>AB14/Z14</f>
        <v>1.1999998081766897E-8</v>
      </c>
      <c r="AF14" s="276">
        <f t="shared" si="4"/>
        <v>5177538</v>
      </c>
      <c r="AI14" s="293">
        <f t="shared" ref="AI14" si="23">AI19</f>
        <v>77165874</v>
      </c>
      <c r="AJ14" s="282">
        <f t="shared" si="2"/>
        <v>4526643</v>
      </c>
    </row>
    <row r="15" spans="1:36">
      <c r="A15" s="272"/>
      <c r="B15" s="292" t="s">
        <v>718</v>
      </c>
      <c r="C15" s="292"/>
      <c r="D15" s="292" t="s">
        <v>231</v>
      </c>
      <c r="E15" s="292"/>
      <c r="F15" s="292"/>
      <c r="G15" s="293">
        <f>G107</f>
        <v>526973114.25999999</v>
      </c>
      <c r="H15" s="293">
        <f t="shared" ref="H15:Q15" si="24">H107</f>
        <v>41070677.789999999</v>
      </c>
      <c r="I15" s="293">
        <f t="shared" si="24"/>
        <v>568043792.04999995</v>
      </c>
      <c r="J15" s="293">
        <f t="shared" si="24"/>
        <v>274404122.88</v>
      </c>
      <c r="K15" s="293">
        <f t="shared" si="24"/>
        <v>52598624</v>
      </c>
      <c r="L15" s="293">
        <f t="shared" si="24"/>
        <v>59010468</v>
      </c>
      <c r="M15" s="293">
        <f t="shared" si="24"/>
        <v>22982320</v>
      </c>
      <c r="N15" s="293">
        <f t="shared" si="24"/>
        <v>12266956</v>
      </c>
      <c r="O15" s="293">
        <f t="shared" si="24"/>
        <v>17561697</v>
      </c>
      <c r="P15" s="293">
        <f t="shared" si="24"/>
        <v>69120174</v>
      </c>
      <c r="Q15" s="293">
        <f t="shared" si="24"/>
        <v>71844671</v>
      </c>
      <c r="R15" s="274">
        <f t="shared" si="3"/>
        <v>579789032.88</v>
      </c>
      <c r="S15" s="295"/>
      <c r="T15" s="276">
        <f t="shared" si="6"/>
        <v>-11745240.830000043</v>
      </c>
      <c r="U15" s="277">
        <f>U107</f>
        <v>54388096</v>
      </c>
      <c r="V15" s="277">
        <f>U15-K15</f>
        <v>1789472</v>
      </c>
      <c r="W15" s="278">
        <f>K15/U15</f>
        <v>0.96709809440654071</v>
      </c>
      <c r="Y15" s="293">
        <f t="shared" ref="Y15:AA15" si="25">Y107</f>
        <v>55949061</v>
      </c>
      <c r="Z15" s="293">
        <f t="shared" si="25"/>
        <v>43976853</v>
      </c>
      <c r="AA15" s="293">
        <f t="shared" si="25"/>
        <v>37592372.390000001</v>
      </c>
      <c r="AB15" s="296">
        <f t="shared" ref="AB15:AB17" si="26">AA15/Y15</f>
        <v>0.67190354436868927</v>
      </c>
      <c r="AC15" s="296">
        <f t="shared" ref="AC15:AC17" si="27">K15/Y15</f>
        <v>0.94011629614302195</v>
      </c>
      <c r="AD15" s="293">
        <f>AB15/Z15</f>
        <v>1.5278572670233798E-8</v>
      </c>
      <c r="AF15" s="276">
        <f t="shared" si="4"/>
        <v>3350437</v>
      </c>
      <c r="AI15" s="293">
        <f t="shared" ref="AI15" si="28">AI107</f>
        <v>56183834</v>
      </c>
      <c r="AJ15" s="291">
        <f t="shared" si="2"/>
        <v>3585210</v>
      </c>
    </row>
    <row r="16" spans="1:36">
      <c r="A16" s="272"/>
      <c r="B16" s="292" t="s">
        <v>719</v>
      </c>
      <c r="C16" s="292"/>
      <c r="D16" s="292"/>
      <c r="E16" s="292"/>
      <c r="F16" s="292"/>
      <c r="G16" s="293">
        <f>G147</f>
        <v>2401013647.78264</v>
      </c>
      <c r="H16" s="293">
        <f t="shared" ref="H16:Q16" si="29">H147</f>
        <v>216634579</v>
      </c>
      <c r="I16" s="293">
        <f t="shared" si="29"/>
        <v>2617648226.9665599</v>
      </c>
      <c r="J16" s="293">
        <f t="shared" si="29"/>
        <v>1016664522.98</v>
      </c>
      <c r="K16" s="293">
        <f t="shared" si="29"/>
        <v>289649317.51999998</v>
      </c>
      <c r="L16" s="293">
        <f t="shared" si="29"/>
        <v>352811485.60000002</v>
      </c>
      <c r="M16" s="293">
        <f t="shared" si="29"/>
        <v>169707331</v>
      </c>
      <c r="N16" s="293">
        <f t="shared" si="29"/>
        <v>43389723</v>
      </c>
      <c r="O16" s="293">
        <f t="shared" si="29"/>
        <v>90933948.400000006</v>
      </c>
      <c r="P16" s="293">
        <f t="shared" si="29"/>
        <v>311478920.44999999</v>
      </c>
      <c r="Q16" s="293">
        <f t="shared" si="29"/>
        <v>299961935.47000003</v>
      </c>
      <c r="R16" s="274">
        <f t="shared" si="3"/>
        <v>2574597184.4200001</v>
      </c>
      <c r="S16" s="295"/>
      <c r="T16" s="276">
        <f t="shared" si="6"/>
        <v>43051042.546559811</v>
      </c>
      <c r="U16" s="277">
        <f>U147</f>
        <v>411562102</v>
      </c>
      <c r="V16" s="277">
        <f>U16-K16</f>
        <v>121912784.48000002</v>
      </c>
      <c r="W16" s="278">
        <f>K16/U16</f>
        <v>0.70378034350694418</v>
      </c>
      <c r="Y16" s="293">
        <f t="shared" ref="Y16:AA16" si="30">Y147</f>
        <v>354667971</v>
      </c>
      <c r="Z16" s="293">
        <f t="shared" si="30"/>
        <v>237642278</v>
      </c>
      <c r="AA16" s="293">
        <f t="shared" si="30"/>
        <v>227161873.61999997</v>
      </c>
      <c r="AB16" s="296">
        <f t="shared" si="26"/>
        <v>0.64049164907535439</v>
      </c>
      <c r="AC16" s="296">
        <f t="shared" si="27"/>
        <v>0.81667740310274584</v>
      </c>
      <c r="AD16" s="293">
        <f>AB16/Z16</f>
        <v>2.6951923473623427E-9</v>
      </c>
      <c r="AF16" s="276">
        <f t="shared" si="4"/>
        <v>65018653.480000019</v>
      </c>
      <c r="AI16" s="293">
        <f t="shared" ref="AI16" si="31">AI147</f>
        <v>354121372</v>
      </c>
      <c r="AJ16" s="282">
        <f t="shared" si="2"/>
        <v>64472054.480000019</v>
      </c>
    </row>
    <row r="17" spans="1:37">
      <c r="A17" s="272"/>
      <c r="B17" s="292" t="s">
        <v>715</v>
      </c>
      <c r="C17" s="292"/>
      <c r="D17" s="292"/>
      <c r="E17" s="292"/>
      <c r="F17" s="292"/>
      <c r="G17" s="293">
        <f>G254</f>
        <v>78064529</v>
      </c>
      <c r="H17" s="293">
        <f t="shared" ref="H17:Q17" si="32">H254</f>
        <v>0</v>
      </c>
      <c r="I17" s="293">
        <f t="shared" si="32"/>
        <v>78064529</v>
      </c>
      <c r="J17" s="293">
        <f t="shared" si="32"/>
        <v>32109688.689999998</v>
      </c>
      <c r="K17" s="293">
        <f t="shared" si="32"/>
        <v>10679913</v>
      </c>
      <c r="L17" s="293">
        <f t="shared" si="32"/>
        <v>13080178</v>
      </c>
      <c r="M17" s="293">
        <f t="shared" si="32"/>
        <v>8479655</v>
      </c>
      <c r="N17" s="293">
        <f t="shared" si="32"/>
        <v>3688910</v>
      </c>
      <c r="O17" s="293">
        <f t="shared" si="32"/>
        <v>1180103</v>
      </c>
      <c r="P17" s="293">
        <f t="shared" si="32"/>
        <v>3583847</v>
      </c>
      <c r="Q17" s="293">
        <f t="shared" si="32"/>
        <v>5262234</v>
      </c>
      <c r="R17" s="274">
        <f t="shared" si="3"/>
        <v>78064528.689999998</v>
      </c>
      <c r="S17" s="295"/>
      <c r="T17" s="276">
        <f t="shared" si="6"/>
        <v>0.31000000238418579</v>
      </c>
      <c r="U17" s="277">
        <f t="shared" ref="U17:U18" si="33">U11</f>
        <v>12516695</v>
      </c>
      <c r="V17" s="277">
        <f>U17-K17</f>
        <v>1836782</v>
      </c>
      <c r="W17" s="278">
        <f>K17/U17</f>
        <v>0.85325343471259785</v>
      </c>
      <c r="Y17" s="293">
        <f t="shared" ref="Y17:AA17" si="34">Y254</f>
        <v>12641532</v>
      </c>
      <c r="Z17" s="293">
        <f t="shared" si="34"/>
        <v>8742763</v>
      </c>
      <c r="AA17" s="293">
        <f t="shared" si="34"/>
        <v>7960408.6800000006</v>
      </c>
      <c r="AB17" s="296">
        <f t="shared" si="26"/>
        <v>0.62970284614238214</v>
      </c>
      <c r="AC17" s="296">
        <f t="shared" si="27"/>
        <v>0.84482743072595945</v>
      </c>
      <c r="AD17" s="293">
        <f>AB17/Z17</f>
        <v>7.2025610912978208E-8</v>
      </c>
      <c r="AF17" s="276">
        <f t="shared" si="4"/>
        <v>1961619</v>
      </c>
      <c r="AI17" s="293">
        <f t="shared" ref="AI17" si="35">AI254</f>
        <v>12234081</v>
      </c>
      <c r="AJ17" s="282">
        <f t="shared" si="2"/>
        <v>1554168</v>
      </c>
    </row>
    <row r="18" spans="1:37">
      <c r="A18" s="272"/>
      <c r="B18" s="292" t="s">
        <v>716</v>
      </c>
      <c r="C18" s="292"/>
      <c r="D18" s="292"/>
      <c r="E18" s="292"/>
      <c r="F18" s="292"/>
      <c r="G18" s="293"/>
      <c r="H18" s="293"/>
      <c r="I18" s="293"/>
      <c r="J18" s="297"/>
      <c r="K18" s="298"/>
      <c r="L18" s="299">
        <f>L12</f>
        <v>40958045.50999999</v>
      </c>
      <c r="M18" s="299">
        <f t="shared" ref="M18:N18" si="36">M12</f>
        <v>301555707</v>
      </c>
      <c r="N18" s="299">
        <f t="shared" si="36"/>
        <v>258004216</v>
      </c>
      <c r="O18" s="298"/>
      <c r="P18" s="297"/>
      <c r="Q18" s="297"/>
      <c r="R18" s="297">
        <f t="shared" si="3"/>
        <v>600517968.50999999</v>
      </c>
      <c r="S18" s="295"/>
      <c r="T18" s="276"/>
      <c r="U18" s="277">
        <f t="shared" si="33"/>
        <v>44755338</v>
      </c>
      <c r="V18" s="277"/>
      <c r="W18" s="277"/>
      <c r="Y18" s="300"/>
      <c r="Z18" s="300"/>
      <c r="AA18" s="300"/>
      <c r="AB18" s="301"/>
      <c r="AC18" s="301"/>
      <c r="AD18" s="302"/>
      <c r="AF18" s="276">
        <f t="shared" si="4"/>
        <v>0</v>
      </c>
      <c r="AI18" s="300"/>
      <c r="AJ18" s="282"/>
    </row>
    <row r="19" spans="1:37" ht="63.75">
      <c r="A19" s="268" t="s">
        <v>720</v>
      </c>
      <c r="B19" s="283" t="s">
        <v>721</v>
      </c>
      <c r="C19" s="265"/>
      <c r="D19" s="265"/>
      <c r="E19" s="265"/>
      <c r="F19" s="306"/>
      <c r="G19" s="284">
        <f>G20+G32+G58+G80+G89</f>
        <v>446304123.99000001</v>
      </c>
      <c r="H19" s="284">
        <f t="shared" ref="H19:Q19" si="37">H20+H32+H58+H80+H89</f>
        <v>40867184.670905992</v>
      </c>
      <c r="I19" s="284">
        <f t="shared" si="37"/>
        <v>487171308.34713596</v>
      </c>
      <c r="J19" s="284">
        <f>J20+J32+J58+J80+J89</f>
        <v>301105644.81000018</v>
      </c>
      <c r="K19" s="284">
        <f>K20+K32+K58+K80+K89</f>
        <v>72639231</v>
      </c>
      <c r="L19" s="284">
        <f t="shared" si="37"/>
        <v>57938986.890000001</v>
      </c>
      <c r="M19" s="284">
        <f t="shared" si="37"/>
        <v>16529617</v>
      </c>
      <c r="N19" s="284">
        <f t="shared" si="37"/>
        <v>4956850</v>
      </c>
      <c r="O19" s="284">
        <f t="shared" si="37"/>
        <v>9334926</v>
      </c>
      <c r="P19" s="284">
        <f t="shared" si="37"/>
        <v>13096998</v>
      </c>
      <c r="Q19" s="284">
        <f t="shared" si="37"/>
        <v>10347293</v>
      </c>
      <c r="R19" s="307">
        <f t="shared" si="3"/>
        <v>485949546.70000017</v>
      </c>
      <c r="S19" s="286"/>
      <c r="T19" s="276">
        <f t="shared" si="6"/>
        <v>1221761.6471357942</v>
      </c>
      <c r="U19" s="287">
        <f>U20+U32+U58+U80+U89</f>
        <v>58145014</v>
      </c>
      <c r="V19" s="287">
        <f t="shared" ref="V19:V82" si="38">U19-K19</f>
        <v>-14494217</v>
      </c>
      <c r="W19" s="308">
        <f t="shared" ref="W19:W82" si="39">K19/U19</f>
        <v>1.2492770403322975</v>
      </c>
      <c r="Y19" s="284">
        <f>Y20+Y32+Y58+Y80+Y89</f>
        <v>77816769</v>
      </c>
      <c r="Z19" s="284">
        <f t="shared" ref="Z19:AA19" si="40">Z20+Z32+Z58+Z80+Z89</f>
        <v>61468248</v>
      </c>
      <c r="AA19" s="284">
        <f t="shared" si="40"/>
        <v>57399116.289999999</v>
      </c>
      <c r="AB19" s="309">
        <f>AA19/Y19</f>
        <v>0.73761885808957195</v>
      </c>
      <c r="AC19" s="309">
        <f>K19/Y19</f>
        <v>0.93346500932209098</v>
      </c>
      <c r="AD19" s="284">
        <f t="shared" ref="AD19:AD82" si="41">AB19/Z19</f>
        <v>1.1999998081766897E-8</v>
      </c>
      <c r="AF19" s="276">
        <f t="shared" si="4"/>
        <v>5177538</v>
      </c>
      <c r="AI19" s="284">
        <f>AI20+AI32+AI58+AI80+AI89</f>
        <v>77165874</v>
      </c>
      <c r="AJ19" s="291">
        <f t="shared" si="2"/>
        <v>4526643</v>
      </c>
    </row>
    <row r="20" spans="1:37" ht="38.25">
      <c r="A20" s="272" t="s">
        <v>233</v>
      </c>
      <c r="B20" s="310" t="s">
        <v>722</v>
      </c>
      <c r="C20" s="292" t="s">
        <v>230</v>
      </c>
      <c r="D20" s="292"/>
      <c r="E20" s="292"/>
      <c r="F20" s="292"/>
      <c r="G20" s="293">
        <f>G21+G25</f>
        <v>91518201.930000007</v>
      </c>
      <c r="H20" s="293">
        <f t="shared" ref="H20:Q20" si="42">H21+H25</f>
        <v>4463145.5571360001</v>
      </c>
      <c r="I20" s="293">
        <f t="shared" si="42"/>
        <v>95981347.487136006</v>
      </c>
      <c r="J20" s="293">
        <f>J21+J25</f>
        <v>59797707.969999999</v>
      </c>
      <c r="K20" s="293">
        <f t="shared" si="42"/>
        <v>14977398</v>
      </c>
      <c r="L20" s="293">
        <f t="shared" si="42"/>
        <v>6574960</v>
      </c>
      <c r="M20" s="293">
        <f t="shared" si="42"/>
        <v>2908225</v>
      </c>
      <c r="N20" s="293">
        <f t="shared" si="42"/>
        <v>1683574</v>
      </c>
      <c r="O20" s="293">
        <f t="shared" si="42"/>
        <v>1520715</v>
      </c>
      <c r="P20" s="293">
        <f t="shared" si="42"/>
        <v>3786053</v>
      </c>
      <c r="Q20" s="293">
        <f t="shared" si="42"/>
        <v>4453234</v>
      </c>
      <c r="R20" s="274">
        <f t="shared" si="3"/>
        <v>95701866.969999999</v>
      </c>
      <c r="S20" s="295"/>
      <c r="T20" s="276">
        <f t="shared" si="6"/>
        <v>279480.51713600755</v>
      </c>
      <c r="U20" s="277">
        <f>U21+U25</f>
        <v>12038216</v>
      </c>
      <c r="V20" s="277">
        <f t="shared" si="38"/>
        <v>-2939182</v>
      </c>
      <c r="W20" s="277">
        <f t="shared" si="39"/>
        <v>1.244154283325702</v>
      </c>
      <c r="X20" s="282"/>
      <c r="Y20" s="293">
        <f t="shared" ref="Y20:AA20" si="43">Y21+Y25</f>
        <v>15191329</v>
      </c>
      <c r="Z20" s="293">
        <f t="shared" si="43"/>
        <v>14569447</v>
      </c>
      <c r="AA20" s="293">
        <f t="shared" si="43"/>
        <v>13408644.969999999</v>
      </c>
      <c r="AB20" s="296">
        <f>AA20/Y20</f>
        <v>0.88265121307029815</v>
      </c>
      <c r="AC20" s="296">
        <f>K20/Y20</f>
        <v>0.98591755862834651</v>
      </c>
      <c r="AD20" s="293">
        <f t="shared" si="41"/>
        <v>6.0582341462259905E-8</v>
      </c>
      <c r="AF20" s="276">
        <f t="shared" si="4"/>
        <v>213931</v>
      </c>
      <c r="AI20" s="293">
        <f t="shared" ref="AI20" si="44">AI21+AI25</f>
        <v>15191329</v>
      </c>
      <c r="AJ20" s="282">
        <f>AI20-K20</f>
        <v>213931</v>
      </c>
    </row>
    <row r="21" spans="1:37" ht="63.75">
      <c r="A21" s="272" t="s">
        <v>235</v>
      </c>
      <c r="B21" s="310" t="s">
        <v>723</v>
      </c>
      <c r="C21" s="292" t="s">
        <v>230</v>
      </c>
      <c r="D21" s="292" t="s">
        <v>290</v>
      </c>
      <c r="E21" s="292"/>
      <c r="F21" s="292"/>
      <c r="G21" s="293">
        <f>G22+G23+G24</f>
        <v>44631455.57</v>
      </c>
      <c r="H21" s="293">
        <f t="shared" ref="H21:Q21" si="45">H22+H23+H24</f>
        <v>4463145.5571360001</v>
      </c>
      <c r="I21" s="293">
        <f t="shared" si="45"/>
        <v>49094601.127136</v>
      </c>
      <c r="J21" s="293">
        <f>J22+J23+J24</f>
        <v>28186955</v>
      </c>
      <c r="K21" s="293">
        <f t="shared" si="45"/>
        <v>7561784</v>
      </c>
      <c r="L21" s="293">
        <f t="shared" si="45"/>
        <v>3360624</v>
      </c>
      <c r="M21" s="293">
        <f t="shared" si="45"/>
        <v>0</v>
      </c>
      <c r="N21" s="293">
        <f t="shared" si="45"/>
        <v>0</v>
      </c>
      <c r="O21" s="293">
        <f t="shared" si="45"/>
        <v>2134322</v>
      </c>
      <c r="P21" s="293">
        <f t="shared" si="45"/>
        <v>3698596</v>
      </c>
      <c r="Q21" s="293">
        <f t="shared" si="45"/>
        <v>4399177</v>
      </c>
      <c r="R21" s="274">
        <f t="shared" si="3"/>
        <v>49341458</v>
      </c>
      <c r="S21" s="295"/>
      <c r="T21" s="276">
        <f>I21-R21</f>
        <v>-246856.8728640005</v>
      </c>
      <c r="U21" s="277">
        <f>SUM(U22:U24)</f>
        <v>7824161</v>
      </c>
      <c r="V21" s="277">
        <f t="shared" si="38"/>
        <v>262377</v>
      </c>
      <c r="W21" s="277">
        <f t="shared" si="39"/>
        <v>0.96646579741904592</v>
      </c>
      <c r="X21" s="282"/>
      <c r="Y21" s="293">
        <f t="shared" ref="Y21:AA21" si="46">Y22+Y23+Y24</f>
        <v>7602270</v>
      </c>
      <c r="Z21" s="293">
        <f t="shared" si="46"/>
        <v>7549070</v>
      </c>
      <c r="AA21" s="293">
        <f t="shared" si="46"/>
        <v>7255474.75</v>
      </c>
      <c r="AB21" s="296">
        <f t="shared" ref="AB21:AB84" si="47">AA21/Y21</f>
        <v>0.95438267122846199</v>
      </c>
      <c r="AC21" s="296">
        <f t="shared" ref="AC21:AC84" si="48">K21/Y21</f>
        <v>0.99467448538397085</v>
      </c>
      <c r="AD21" s="293">
        <f t="shared" si="41"/>
        <v>1.2642387356700389E-7</v>
      </c>
      <c r="AF21" s="276">
        <f t="shared" si="4"/>
        <v>40486</v>
      </c>
      <c r="AI21" s="293">
        <f t="shared" ref="AI21" si="49">AI22+AI23+AI24</f>
        <v>7602270</v>
      </c>
      <c r="AJ21" s="282">
        <f t="shared" ref="AJ21:AJ84" si="50">AI21-K21</f>
        <v>40486</v>
      </c>
    </row>
    <row r="22" spans="1:37" ht="76.5">
      <c r="A22" s="311" t="s">
        <v>46</v>
      </c>
      <c r="B22" s="312" t="s">
        <v>724</v>
      </c>
      <c r="C22" s="313" t="s">
        <v>230</v>
      </c>
      <c r="D22" s="313" t="s">
        <v>290</v>
      </c>
      <c r="E22" s="313"/>
      <c r="F22" s="313" t="s">
        <v>725</v>
      </c>
      <c r="G22" s="314">
        <v>0</v>
      </c>
      <c r="H22" s="314">
        <v>0</v>
      </c>
      <c r="I22" s="314">
        <v>0</v>
      </c>
      <c r="J22" s="297">
        <v>0</v>
      </c>
      <c r="K22" s="297">
        <v>0</v>
      </c>
      <c r="L22" s="298">
        <v>0</v>
      </c>
      <c r="M22" s="298">
        <v>0</v>
      </c>
      <c r="N22" s="298">
        <v>0</v>
      </c>
      <c r="O22" s="297">
        <v>0</v>
      </c>
      <c r="P22" s="297">
        <v>0</v>
      </c>
      <c r="Q22" s="297">
        <v>0</v>
      </c>
      <c r="R22" s="297">
        <f t="shared" si="3"/>
        <v>0</v>
      </c>
      <c r="S22" s="295"/>
      <c r="T22" s="276">
        <f t="shared" si="6"/>
        <v>0</v>
      </c>
      <c r="U22" s="315">
        <v>0</v>
      </c>
      <c r="V22" s="316">
        <f t="shared" si="38"/>
        <v>0</v>
      </c>
      <c r="W22" s="316" t="e">
        <f t="shared" si="39"/>
        <v>#DIV/0!</v>
      </c>
      <c r="X22" s="282"/>
      <c r="Y22" s="302">
        <v>0</v>
      </c>
      <c r="Z22" s="302">
        <v>0</v>
      </c>
      <c r="AA22" s="302">
        <v>0</v>
      </c>
      <c r="AB22" s="317" t="e">
        <f t="shared" si="47"/>
        <v>#DIV/0!</v>
      </c>
      <c r="AC22" s="317" t="e">
        <f t="shared" si="48"/>
        <v>#DIV/0!</v>
      </c>
      <c r="AD22" s="318" t="e">
        <f t="shared" si="41"/>
        <v>#DIV/0!</v>
      </c>
      <c r="AF22" s="276">
        <f t="shared" si="4"/>
        <v>0</v>
      </c>
      <c r="AI22" s="302">
        <v>0</v>
      </c>
      <c r="AJ22" s="282">
        <f t="shared" si="50"/>
        <v>0</v>
      </c>
    </row>
    <row r="23" spans="1:37" ht="153">
      <c r="A23" s="311" t="s">
        <v>47</v>
      </c>
      <c r="B23" s="312" t="s">
        <v>726</v>
      </c>
      <c r="C23" s="313" t="s">
        <v>230</v>
      </c>
      <c r="D23" s="313" t="s">
        <v>290</v>
      </c>
      <c r="E23" s="313"/>
      <c r="F23" s="313" t="s">
        <v>725</v>
      </c>
      <c r="G23" s="314">
        <v>44631455.57</v>
      </c>
      <c r="H23" s="314">
        <v>4463145.5571360001</v>
      </c>
      <c r="I23" s="314">
        <v>49094601.127136</v>
      </c>
      <c r="J23" s="319">
        <v>28186955</v>
      </c>
      <c r="K23" s="297">
        <v>7561784</v>
      </c>
      <c r="L23" s="298">
        <v>3360624</v>
      </c>
      <c r="M23" s="298">
        <v>0</v>
      </c>
      <c r="N23" s="298">
        <v>0</v>
      </c>
      <c r="O23" s="297">
        <v>2134322</v>
      </c>
      <c r="P23" s="297">
        <v>3698596</v>
      </c>
      <c r="Q23" s="297">
        <v>4399177</v>
      </c>
      <c r="R23" s="297">
        <f>J23+K23+L23+M23+N23+O23+P23+Q23</f>
        <v>49341458</v>
      </c>
      <c r="S23" s="295" t="s">
        <v>727</v>
      </c>
      <c r="T23" s="276">
        <f t="shared" si="6"/>
        <v>-246856.8728640005</v>
      </c>
      <c r="U23" s="320">
        <v>7824161</v>
      </c>
      <c r="V23" s="316">
        <f t="shared" si="38"/>
        <v>262377</v>
      </c>
      <c r="W23" s="316">
        <f t="shared" si="39"/>
        <v>0.96646579741904592</v>
      </c>
      <c r="X23" s="282"/>
      <c r="Y23" s="302">
        <v>7602270</v>
      </c>
      <c r="Z23" s="302">
        <v>7549070</v>
      </c>
      <c r="AA23" s="302">
        <v>7255474.75</v>
      </c>
      <c r="AB23" s="317">
        <f>AA23/Y23</f>
        <v>0.95438267122846199</v>
      </c>
      <c r="AC23" s="317">
        <f t="shared" si="48"/>
        <v>0.99467448538397085</v>
      </c>
      <c r="AD23" s="318">
        <f t="shared" si="41"/>
        <v>1.2642387356700389E-7</v>
      </c>
      <c r="AF23" s="276">
        <f t="shared" si="4"/>
        <v>40486</v>
      </c>
      <c r="AG23" s="276">
        <v>40486</v>
      </c>
      <c r="AI23" s="302">
        <v>7602270</v>
      </c>
      <c r="AJ23" s="291">
        <f t="shared" si="50"/>
        <v>40486</v>
      </c>
      <c r="AK23" s="256">
        <v>40486</v>
      </c>
    </row>
    <row r="24" spans="1:37" ht="51">
      <c r="A24" s="311" t="s">
        <v>137</v>
      </c>
      <c r="B24" s="312" t="s">
        <v>728</v>
      </c>
      <c r="C24" s="313" t="s">
        <v>230</v>
      </c>
      <c r="D24" s="313" t="s">
        <v>290</v>
      </c>
      <c r="E24" s="313"/>
      <c r="F24" s="313" t="s">
        <v>729</v>
      </c>
      <c r="G24" s="314">
        <v>0</v>
      </c>
      <c r="H24" s="314">
        <v>0</v>
      </c>
      <c r="I24" s="314">
        <v>0</v>
      </c>
      <c r="J24" s="297">
        <v>0</v>
      </c>
      <c r="K24" s="297">
        <v>0</v>
      </c>
      <c r="L24" s="298">
        <v>0</v>
      </c>
      <c r="M24" s="298">
        <v>0</v>
      </c>
      <c r="N24" s="298">
        <v>0</v>
      </c>
      <c r="O24" s="297">
        <v>0</v>
      </c>
      <c r="P24" s="297">
        <v>0</v>
      </c>
      <c r="Q24" s="297">
        <v>0</v>
      </c>
      <c r="R24" s="297">
        <f t="shared" si="3"/>
        <v>0</v>
      </c>
      <c r="S24" s="295"/>
      <c r="T24" s="276">
        <f t="shared" si="6"/>
        <v>0</v>
      </c>
      <c r="U24" s="315">
        <v>0</v>
      </c>
      <c r="V24" s="316">
        <f t="shared" si="38"/>
        <v>0</v>
      </c>
      <c r="W24" s="316" t="e">
        <f t="shared" si="39"/>
        <v>#DIV/0!</v>
      </c>
      <c r="X24" s="282"/>
      <c r="Y24" s="302">
        <v>0</v>
      </c>
      <c r="Z24" s="302">
        <v>0</v>
      </c>
      <c r="AA24" s="302">
        <v>0</v>
      </c>
      <c r="AB24" s="317" t="e">
        <f t="shared" si="47"/>
        <v>#DIV/0!</v>
      </c>
      <c r="AC24" s="317" t="e">
        <f t="shared" si="48"/>
        <v>#DIV/0!</v>
      </c>
      <c r="AD24" s="318" t="e">
        <f t="shared" si="41"/>
        <v>#DIV/0!</v>
      </c>
      <c r="AF24" s="276">
        <f t="shared" si="4"/>
        <v>0</v>
      </c>
      <c r="AI24" s="302">
        <v>0</v>
      </c>
      <c r="AJ24" s="282">
        <f t="shared" si="50"/>
        <v>0</v>
      </c>
    </row>
    <row r="25" spans="1:37" ht="51">
      <c r="A25" s="272" t="s">
        <v>241</v>
      </c>
      <c r="B25" s="310" t="s">
        <v>730</v>
      </c>
      <c r="C25" s="292" t="s">
        <v>230</v>
      </c>
      <c r="D25" s="292" t="s">
        <v>290</v>
      </c>
      <c r="E25" s="292"/>
      <c r="F25" s="292"/>
      <c r="G25" s="321">
        <f>G26+G29</f>
        <v>46886746.359999999</v>
      </c>
      <c r="H25" s="321">
        <f t="shared" ref="H25:Q25" si="51">H26+H29</f>
        <v>0</v>
      </c>
      <c r="I25" s="321">
        <f>I26+I29</f>
        <v>46886746.359999999</v>
      </c>
      <c r="J25" s="321">
        <f>J26+J29</f>
        <v>31610752.969999999</v>
      </c>
      <c r="K25" s="321">
        <f t="shared" si="51"/>
        <v>7415614</v>
      </c>
      <c r="L25" s="321">
        <f>L26+L29</f>
        <v>3214336</v>
      </c>
      <c r="M25" s="321">
        <f t="shared" si="51"/>
        <v>2908225</v>
      </c>
      <c r="N25" s="321">
        <f t="shared" si="51"/>
        <v>1683574</v>
      </c>
      <c r="O25" s="321">
        <f t="shared" si="51"/>
        <v>-613607</v>
      </c>
      <c r="P25" s="321">
        <f t="shared" si="51"/>
        <v>87457</v>
      </c>
      <c r="Q25" s="321">
        <f t="shared" si="51"/>
        <v>54057</v>
      </c>
      <c r="R25" s="274">
        <f t="shared" si="3"/>
        <v>46360408.969999999</v>
      </c>
      <c r="S25" s="295"/>
      <c r="T25" s="276">
        <f t="shared" si="6"/>
        <v>526337.3900000006</v>
      </c>
      <c r="U25" s="277">
        <f>U26+U29</f>
        <v>4214055</v>
      </c>
      <c r="V25" s="277">
        <f t="shared" si="38"/>
        <v>-3201559</v>
      </c>
      <c r="W25" s="277">
        <f t="shared" si="39"/>
        <v>1.7597335582948015</v>
      </c>
      <c r="X25" s="282"/>
      <c r="Y25" s="321">
        <f t="shared" ref="Y25:AA25" si="52">Y26+Y29</f>
        <v>7589059</v>
      </c>
      <c r="Z25" s="321">
        <f t="shared" si="52"/>
        <v>7020377</v>
      </c>
      <c r="AA25" s="321">
        <f t="shared" si="52"/>
        <v>6153170.2199999997</v>
      </c>
      <c r="AB25" s="296">
        <f t="shared" si="47"/>
        <v>0.81079488511026199</v>
      </c>
      <c r="AC25" s="322">
        <f t="shared" si="48"/>
        <v>0.97714538785375105</v>
      </c>
      <c r="AD25" s="293">
        <f t="shared" si="41"/>
        <v>1.1549164455274439E-7</v>
      </c>
      <c r="AF25" s="276">
        <f t="shared" si="4"/>
        <v>173445</v>
      </c>
      <c r="AI25" s="321">
        <f t="shared" ref="AI25" si="53">AI26+AI29</f>
        <v>7589059</v>
      </c>
      <c r="AJ25" s="282">
        <f t="shared" si="50"/>
        <v>173445</v>
      </c>
    </row>
    <row r="26" spans="1:37" ht="51">
      <c r="A26" s="311" t="s">
        <v>243</v>
      </c>
      <c r="B26" s="312" t="s">
        <v>731</v>
      </c>
      <c r="C26" s="313" t="s">
        <v>230</v>
      </c>
      <c r="D26" s="313" t="s">
        <v>290</v>
      </c>
      <c r="E26" s="313"/>
      <c r="F26" s="313"/>
      <c r="G26" s="314">
        <f>G27+G28</f>
        <v>45885251.359999999</v>
      </c>
      <c r="H26" s="314">
        <f t="shared" ref="H26:Q26" si="54">H27+H28</f>
        <v>0</v>
      </c>
      <c r="I26" s="314">
        <f t="shared" si="54"/>
        <v>45885251.359999999</v>
      </c>
      <c r="J26" s="314">
        <f>J27+J28</f>
        <v>31362033</v>
      </c>
      <c r="K26" s="314">
        <f>K27+K28</f>
        <v>6778742</v>
      </c>
      <c r="L26" s="314">
        <f>L27+L28</f>
        <v>3098433</v>
      </c>
      <c r="M26" s="314">
        <f t="shared" si="54"/>
        <v>2908225</v>
      </c>
      <c r="N26" s="314">
        <f t="shared" si="54"/>
        <v>1683574</v>
      </c>
      <c r="O26" s="314">
        <f t="shared" si="54"/>
        <v>-613607</v>
      </c>
      <c r="P26" s="314">
        <f t="shared" si="54"/>
        <v>87457</v>
      </c>
      <c r="Q26" s="314">
        <f t="shared" si="54"/>
        <v>54057</v>
      </c>
      <c r="R26" s="297">
        <f t="shared" si="3"/>
        <v>45358914</v>
      </c>
      <c r="S26" s="295"/>
      <c r="T26" s="276">
        <f t="shared" si="6"/>
        <v>526337.3599999994</v>
      </c>
      <c r="U26" s="315">
        <f>SUM(U27:U28)</f>
        <v>3737593</v>
      </c>
      <c r="V26" s="316">
        <f t="shared" si="38"/>
        <v>-3041149</v>
      </c>
      <c r="W26" s="316">
        <f t="shared" si="39"/>
        <v>1.8136651047880281</v>
      </c>
      <c r="X26" s="282"/>
      <c r="Y26" s="314">
        <f t="shared" ref="Y26:AA26" si="55">Y27+Y28</f>
        <v>6952187</v>
      </c>
      <c r="Z26" s="314">
        <f t="shared" si="55"/>
        <v>6428512</v>
      </c>
      <c r="AA26" s="314">
        <f t="shared" si="55"/>
        <v>5582723.0899999999</v>
      </c>
      <c r="AB26" s="317">
        <f t="shared" si="47"/>
        <v>0.80301681902399924</v>
      </c>
      <c r="AC26" s="317">
        <f t="shared" si="48"/>
        <v>0.97505173551862168</v>
      </c>
      <c r="AD26" s="318">
        <f t="shared" si="41"/>
        <v>1.2491488217242173E-7</v>
      </c>
      <c r="AF26" s="276">
        <f t="shared" si="4"/>
        <v>173445</v>
      </c>
      <c r="AI26" s="314">
        <f t="shared" ref="AI26" si="56">AI27+AI28</f>
        <v>6952187</v>
      </c>
      <c r="AJ26" s="282">
        <f t="shared" si="50"/>
        <v>173445</v>
      </c>
    </row>
    <row r="27" spans="1:37" ht="51">
      <c r="A27" s="311" t="s">
        <v>48</v>
      </c>
      <c r="B27" s="323" t="s">
        <v>732</v>
      </c>
      <c r="C27" s="313" t="s">
        <v>230</v>
      </c>
      <c r="D27" s="313" t="s">
        <v>290</v>
      </c>
      <c r="E27" s="313"/>
      <c r="F27" s="324" t="s">
        <v>733</v>
      </c>
      <c r="G27" s="314">
        <v>8717031</v>
      </c>
      <c r="H27" s="314">
        <v>0</v>
      </c>
      <c r="I27" s="314">
        <v>8717031</v>
      </c>
      <c r="J27" s="319">
        <v>5234447</v>
      </c>
      <c r="K27" s="297">
        <v>1407000</v>
      </c>
      <c r="L27" s="298">
        <v>734053</v>
      </c>
      <c r="M27" s="298">
        <v>586081</v>
      </c>
      <c r="N27" s="298">
        <v>198761</v>
      </c>
      <c r="O27" s="297">
        <v>37088</v>
      </c>
      <c r="P27" s="297">
        <v>16682</v>
      </c>
      <c r="Q27" s="297">
        <v>849</v>
      </c>
      <c r="R27" s="297">
        <f>J27+K27+L27+M27+N27+O27+P27+Q27</f>
        <v>8214961</v>
      </c>
      <c r="S27" s="325" t="s">
        <v>734</v>
      </c>
      <c r="T27" s="276">
        <f t="shared" si="6"/>
        <v>502070</v>
      </c>
      <c r="U27" s="315">
        <v>329757</v>
      </c>
      <c r="V27" s="316">
        <f t="shared" si="38"/>
        <v>-1077243</v>
      </c>
      <c r="W27" s="316">
        <f t="shared" si="39"/>
        <v>4.2667782639943956</v>
      </c>
      <c r="X27" s="282"/>
      <c r="Y27" s="302">
        <v>1524685</v>
      </c>
      <c r="Z27" s="302">
        <v>1240341</v>
      </c>
      <c r="AA27" s="302">
        <v>1134652.6399999999</v>
      </c>
      <c r="AB27" s="317">
        <f t="shared" si="47"/>
        <v>0.74418823560276381</v>
      </c>
      <c r="AC27" s="317">
        <f t="shared" si="48"/>
        <v>0.92281356476911625</v>
      </c>
      <c r="AD27" s="318">
        <f t="shared" si="41"/>
        <v>5.9998680653365794E-7</v>
      </c>
      <c r="AF27" s="276">
        <f t="shared" si="4"/>
        <v>117685</v>
      </c>
      <c r="AI27" s="302">
        <v>1524685</v>
      </c>
      <c r="AJ27" s="282">
        <f t="shared" si="50"/>
        <v>117685</v>
      </c>
    </row>
    <row r="28" spans="1:37" ht="51">
      <c r="A28" s="311" t="s">
        <v>73</v>
      </c>
      <c r="B28" s="323" t="s">
        <v>735</v>
      </c>
      <c r="C28" s="313" t="s">
        <v>230</v>
      </c>
      <c r="D28" s="313" t="s">
        <v>290</v>
      </c>
      <c r="E28" s="313"/>
      <c r="F28" s="326"/>
      <c r="G28" s="314">
        <v>37168220.359999999</v>
      </c>
      <c r="H28" s="314">
        <v>0</v>
      </c>
      <c r="I28" s="314">
        <v>37168220.359999999</v>
      </c>
      <c r="J28" s="319">
        <v>26127586</v>
      </c>
      <c r="K28" s="297">
        <v>5371742</v>
      </c>
      <c r="L28" s="298">
        <v>2364380</v>
      </c>
      <c r="M28" s="298">
        <v>2322144</v>
      </c>
      <c r="N28" s="298">
        <v>1484813</v>
      </c>
      <c r="O28" s="297">
        <v>-650695</v>
      </c>
      <c r="P28" s="297">
        <v>70775</v>
      </c>
      <c r="Q28" s="297">
        <v>53208</v>
      </c>
      <c r="R28" s="297">
        <f t="shared" si="3"/>
        <v>37143953</v>
      </c>
      <c r="S28" s="325" t="s">
        <v>736</v>
      </c>
      <c r="T28" s="276">
        <f t="shared" si="6"/>
        <v>24267.359999999404</v>
      </c>
      <c r="U28" s="315">
        <v>3407836</v>
      </c>
      <c r="V28" s="316">
        <f t="shared" si="38"/>
        <v>-1963906</v>
      </c>
      <c r="W28" s="316">
        <f t="shared" si="39"/>
        <v>1.5762912299770293</v>
      </c>
      <c r="X28" s="282"/>
      <c r="Y28" s="302">
        <v>5427502</v>
      </c>
      <c r="Z28" s="302">
        <v>5188171</v>
      </c>
      <c r="AA28" s="302">
        <v>4448070.45</v>
      </c>
      <c r="AB28" s="317">
        <f t="shared" si="47"/>
        <v>0.81954284862538973</v>
      </c>
      <c r="AC28" s="317">
        <f t="shared" si="48"/>
        <v>0.9897263971528707</v>
      </c>
      <c r="AD28" s="318">
        <f t="shared" si="41"/>
        <v>1.5796373107698063E-7</v>
      </c>
      <c r="AF28" s="276">
        <f t="shared" si="4"/>
        <v>55760</v>
      </c>
      <c r="AI28" s="302">
        <v>5427502</v>
      </c>
      <c r="AJ28" s="282">
        <f t="shared" si="50"/>
        <v>55760</v>
      </c>
    </row>
    <row r="29" spans="1:37" ht="51">
      <c r="A29" s="311" t="s">
        <v>249</v>
      </c>
      <c r="B29" s="312" t="s">
        <v>737</v>
      </c>
      <c r="C29" s="313" t="s">
        <v>230</v>
      </c>
      <c r="D29" s="313" t="s">
        <v>290</v>
      </c>
      <c r="E29" s="313"/>
      <c r="F29" s="313"/>
      <c r="G29" s="314">
        <f>G30+G31</f>
        <v>1001495</v>
      </c>
      <c r="H29" s="314">
        <f t="shared" ref="H29:Q29" si="57">H30+H31</f>
        <v>0</v>
      </c>
      <c r="I29" s="314">
        <f>I30+I31</f>
        <v>1001495</v>
      </c>
      <c r="J29" s="314">
        <f t="shared" si="57"/>
        <v>248719.97</v>
      </c>
      <c r="K29" s="314">
        <f t="shared" si="57"/>
        <v>636872</v>
      </c>
      <c r="L29" s="314">
        <f t="shared" si="57"/>
        <v>115903</v>
      </c>
      <c r="M29" s="314">
        <f t="shared" si="57"/>
        <v>0</v>
      </c>
      <c r="N29" s="314">
        <f t="shared" si="57"/>
        <v>0</v>
      </c>
      <c r="O29" s="314">
        <f t="shared" si="57"/>
        <v>0</v>
      </c>
      <c r="P29" s="314">
        <f t="shared" si="57"/>
        <v>0</v>
      </c>
      <c r="Q29" s="314">
        <f t="shared" si="57"/>
        <v>0</v>
      </c>
      <c r="R29" s="297">
        <f t="shared" si="3"/>
        <v>1001494.97</v>
      </c>
      <c r="S29" s="295"/>
      <c r="T29" s="276">
        <f t="shared" si="6"/>
        <v>3.0000000027939677E-2</v>
      </c>
      <c r="U29" s="315">
        <f>SUM(U30:U31)</f>
        <v>476462</v>
      </c>
      <c r="V29" s="316">
        <f t="shared" si="38"/>
        <v>-160410</v>
      </c>
      <c r="W29" s="316">
        <f t="shared" si="39"/>
        <v>1.3366690313183422</v>
      </c>
      <c r="X29" s="282"/>
      <c r="Y29" s="314">
        <f t="shared" ref="Y29:AA29" si="58">Y30+Y31</f>
        <v>636872</v>
      </c>
      <c r="Z29" s="314">
        <f t="shared" si="58"/>
        <v>591865</v>
      </c>
      <c r="AA29" s="314">
        <f t="shared" si="58"/>
        <v>570447.13</v>
      </c>
      <c r="AB29" s="317">
        <f t="shared" si="47"/>
        <v>0.89570138112524966</v>
      </c>
      <c r="AC29" s="317">
        <f t="shared" si="48"/>
        <v>1</v>
      </c>
      <c r="AD29" s="318">
        <f t="shared" si="41"/>
        <v>1.5133541958474477E-6</v>
      </c>
      <c r="AF29" s="276">
        <f t="shared" si="4"/>
        <v>0</v>
      </c>
      <c r="AI29" s="314">
        <f t="shared" ref="AI29" si="59">AI30+AI31</f>
        <v>636872</v>
      </c>
      <c r="AJ29" s="282">
        <f t="shared" si="50"/>
        <v>0</v>
      </c>
    </row>
    <row r="30" spans="1:37" ht="102">
      <c r="A30" s="311" t="s">
        <v>49</v>
      </c>
      <c r="B30" s="323" t="s">
        <v>738</v>
      </c>
      <c r="C30" s="313" t="s">
        <v>230</v>
      </c>
      <c r="D30" s="313" t="s">
        <v>290</v>
      </c>
      <c r="E30" s="313"/>
      <c r="F30" s="324" t="s">
        <v>733</v>
      </c>
      <c r="G30" s="314">
        <v>1001495</v>
      </c>
      <c r="H30" s="314">
        <v>0</v>
      </c>
      <c r="I30" s="314">
        <v>1001495</v>
      </c>
      <c r="J30" s="297">
        <v>248719.97</v>
      </c>
      <c r="K30" s="297">
        <v>636872</v>
      </c>
      <c r="L30" s="298">
        <v>115903</v>
      </c>
      <c r="M30" s="298">
        <v>0</v>
      </c>
      <c r="N30" s="298">
        <v>0</v>
      </c>
      <c r="O30" s="297">
        <v>0</v>
      </c>
      <c r="P30" s="297">
        <v>0</v>
      </c>
      <c r="Q30" s="297">
        <v>0</v>
      </c>
      <c r="R30" s="297">
        <f t="shared" si="3"/>
        <v>1001494.97</v>
      </c>
      <c r="S30" s="295"/>
      <c r="T30" s="276">
        <f t="shared" si="6"/>
        <v>3.0000000027939677E-2</v>
      </c>
      <c r="U30" s="315">
        <v>476462</v>
      </c>
      <c r="V30" s="316">
        <f t="shared" si="38"/>
        <v>-160410</v>
      </c>
      <c r="W30" s="316">
        <f t="shared" si="39"/>
        <v>1.3366690313183422</v>
      </c>
      <c r="X30" s="282"/>
      <c r="Y30" s="302">
        <v>636872</v>
      </c>
      <c r="Z30" s="302">
        <v>591865</v>
      </c>
      <c r="AA30" s="302">
        <v>570447.13</v>
      </c>
      <c r="AB30" s="317">
        <f t="shared" si="47"/>
        <v>0.89570138112524966</v>
      </c>
      <c r="AC30" s="317">
        <f t="shared" si="48"/>
        <v>1</v>
      </c>
      <c r="AD30" s="318">
        <f t="shared" si="41"/>
        <v>1.5133541958474477E-6</v>
      </c>
      <c r="AF30" s="276">
        <f t="shared" si="4"/>
        <v>0</v>
      </c>
      <c r="AI30" s="302">
        <v>636872</v>
      </c>
      <c r="AJ30" s="282">
        <f t="shared" si="50"/>
        <v>0</v>
      </c>
    </row>
    <row r="31" spans="1:37" ht="63.75">
      <c r="A31" s="311" t="s">
        <v>50</v>
      </c>
      <c r="B31" s="323" t="s">
        <v>739</v>
      </c>
      <c r="C31" s="313" t="s">
        <v>230</v>
      </c>
      <c r="D31" s="313" t="s">
        <v>290</v>
      </c>
      <c r="E31" s="313"/>
      <c r="F31" s="324" t="s">
        <v>733</v>
      </c>
      <c r="G31" s="314">
        <v>0</v>
      </c>
      <c r="H31" s="314">
        <v>0</v>
      </c>
      <c r="I31" s="314">
        <v>0</v>
      </c>
      <c r="J31" s="297">
        <v>0</v>
      </c>
      <c r="K31" s="297">
        <v>0</v>
      </c>
      <c r="L31" s="298">
        <v>0</v>
      </c>
      <c r="M31" s="298">
        <v>0</v>
      </c>
      <c r="N31" s="298">
        <v>0</v>
      </c>
      <c r="O31" s="297">
        <v>0</v>
      </c>
      <c r="P31" s="297">
        <v>0</v>
      </c>
      <c r="Q31" s="297">
        <v>0</v>
      </c>
      <c r="R31" s="297">
        <f t="shared" si="3"/>
        <v>0</v>
      </c>
      <c r="S31" s="295"/>
      <c r="T31" s="276">
        <f t="shared" si="6"/>
        <v>0</v>
      </c>
      <c r="U31" s="315">
        <v>0</v>
      </c>
      <c r="V31" s="316">
        <f t="shared" si="38"/>
        <v>0</v>
      </c>
      <c r="W31" s="316" t="e">
        <f t="shared" si="39"/>
        <v>#DIV/0!</v>
      </c>
      <c r="X31" s="282"/>
      <c r="Y31" s="302">
        <v>0</v>
      </c>
      <c r="Z31" s="302">
        <v>0</v>
      </c>
      <c r="AA31" s="302">
        <v>0</v>
      </c>
      <c r="AB31" s="317" t="e">
        <f t="shared" si="47"/>
        <v>#DIV/0!</v>
      </c>
      <c r="AC31" s="317" t="e">
        <f t="shared" si="48"/>
        <v>#DIV/0!</v>
      </c>
      <c r="AD31" s="318" t="e">
        <f t="shared" si="41"/>
        <v>#DIV/0!</v>
      </c>
      <c r="AF31" s="276">
        <f t="shared" si="4"/>
        <v>0</v>
      </c>
      <c r="AI31" s="302">
        <v>0</v>
      </c>
      <c r="AJ31" s="282">
        <f t="shared" si="50"/>
        <v>0</v>
      </c>
    </row>
    <row r="32" spans="1:37" ht="25.5">
      <c r="A32" s="272" t="s">
        <v>253</v>
      </c>
      <c r="B32" s="310" t="s">
        <v>740</v>
      </c>
      <c r="C32" s="292" t="s">
        <v>230</v>
      </c>
      <c r="D32" s="292" t="s">
        <v>290</v>
      </c>
      <c r="E32" s="292"/>
      <c r="F32" s="292"/>
      <c r="G32" s="321">
        <f>G33+G43</f>
        <v>102661491.78</v>
      </c>
      <c r="H32" s="321">
        <f t="shared" ref="H32:Q32" si="60">H33+H43</f>
        <v>7300000</v>
      </c>
      <c r="I32" s="321">
        <f t="shared" si="60"/>
        <v>109961491.78</v>
      </c>
      <c r="J32" s="321">
        <f t="shared" si="60"/>
        <v>70177741.530000001</v>
      </c>
      <c r="K32" s="321">
        <f t="shared" si="60"/>
        <v>16800641</v>
      </c>
      <c r="L32" s="321">
        <f t="shared" si="60"/>
        <v>11480568</v>
      </c>
      <c r="M32" s="321">
        <f t="shared" si="60"/>
        <v>565561</v>
      </c>
      <c r="N32" s="321">
        <f t="shared" si="60"/>
        <v>138939</v>
      </c>
      <c r="O32" s="321">
        <f t="shared" si="60"/>
        <v>3616694</v>
      </c>
      <c r="P32" s="321">
        <f t="shared" si="60"/>
        <v>5224837</v>
      </c>
      <c r="Q32" s="321">
        <f t="shared" si="60"/>
        <v>2124356</v>
      </c>
      <c r="R32" s="274">
        <f t="shared" si="3"/>
        <v>110129337.53</v>
      </c>
      <c r="S32" s="295"/>
      <c r="T32" s="276">
        <f t="shared" si="6"/>
        <v>-167845.75</v>
      </c>
      <c r="U32" s="277">
        <f>U33+U43</f>
        <v>18142704</v>
      </c>
      <c r="V32" s="277">
        <f t="shared" si="38"/>
        <v>1342063</v>
      </c>
      <c r="W32" s="277">
        <f t="shared" si="39"/>
        <v>0.92602739922340127</v>
      </c>
      <c r="X32" s="282"/>
      <c r="Y32" s="321">
        <f t="shared" ref="Y32:AA32" si="61">Y33+Y43</f>
        <v>18686837</v>
      </c>
      <c r="Z32" s="321">
        <f t="shared" si="61"/>
        <v>14161691</v>
      </c>
      <c r="AA32" s="321">
        <f t="shared" si="61"/>
        <v>12676747.119999999</v>
      </c>
      <c r="AB32" s="296">
        <f t="shared" si="47"/>
        <v>0.67837842862331377</v>
      </c>
      <c r="AC32" s="296">
        <f t="shared" si="48"/>
        <v>0.89906285370820116</v>
      </c>
      <c r="AD32" s="293">
        <f t="shared" si="41"/>
        <v>4.7902360574264314E-8</v>
      </c>
      <c r="AF32" s="276">
        <f t="shared" si="4"/>
        <v>1886196</v>
      </c>
      <c r="AI32" s="321">
        <f t="shared" ref="AI32" si="62">AI33+AI43</f>
        <v>18686837</v>
      </c>
      <c r="AJ32" s="282">
        <f t="shared" si="50"/>
        <v>1886196</v>
      </c>
    </row>
    <row r="33" spans="1:37" ht="63.75">
      <c r="A33" s="272" t="s">
        <v>255</v>
      </c>
      <c r="B33" s="310" t="s">
        <v>741</v>
      </c>
      <c r="C33" s="292" t="s">
        <v>230</v>
      </c>
      <c r="D33" s="292" t="s">
        <v>290</v>
      </c>
      <c r="E33" s="292"/>
      <c r="F33" s="292"/>
      <c r="G33" s="321">
        <f>G34+G39</f>
        <v>66176803</v>
      </c>
      <c r="H33" s="321">
        <f t="shared" ref="H33:Q33" si="63">H34+H39</f>
        <v>4300000</v>
      </c>
      <c r="I33" s="321">
        <f t="shared" si="63"/>
        <v>70476803</v>
      </c>
      <c r="J33" s="321">
        <f t="shared" si="63"/>
        <v>42576995.329999998</v>
      </c>
      <c r="K33" s="321">
        <f t="shared" si="63"/>
        <v>12582775</v>
      </c>
      <c r="L33" s="321">
        <f t="shared" si="63"/>
        <v>7943651</v>
      </c>
      <c r="M33" s="321">
        <f t="shared" si="63"/>
        <v>17530</v>
      </c>
      <c r="N33" s="321">
        <f t="shared" si="63"/>
        <v>0</v>
      </c>
      <c r="O33" s="321">
        <f t="shared" si="63"/>
        <v>2505305</v>
      </c>
      <c r="P33" s="321">
        <f t="shared" si="63"/>
        <v>3417796</v>
      </c>
      <c r="Q33" s="321">
        <f t="shared" si="63"/>
        <v>1604356</v>
      </c>
      <c r="R33" s="274">
        <f t="shared" si="3"/>
        <v>70648408.329999998</v>
      </c>
      <c r="S33" s="295"/>
      <c r="T33" s="276">
        <f t="shared" si="6"/>
        <v>-171605.32999999821</v>
      </c>
      <c r="U33" s="277">
        <f>U34+U39</f>
        <v>13174503</v>
      </c>
      <c r="V33" s="277">
        <f t="shared" si="38"/>
        <v>591728</v>
      </c>
      <c r="W33" s="277">
        <f t="shared" si="39"/>
        <v>0.95508536451052461</v>
      </c>
      <c r="X33" s="282"/>
      <c r="Y33" s="321">
        <f>Y34+Y39</f>
        <v>13191748</v>
      </c>
      <c r="Z33" s="321">
        <f t="shared" ref="Z33:AA33" si="64">Z34+Z39</f>
        <v>10332132</v>
      </c>
      <c r="AA33" s="321">
        <f t="shared" si="64"/>
        <v>9179319.9499999993</v>
      </c>
      <c r="AB33" s="296">
        <f t="shared" si="47"/>
        <v>0.69583803071435257</v>
      </c>
      <c r="AC33" s="296">
        <f t="shared" si="48"/>
        <v>0.95383682283803484</v>
      </c>
      <c r="AD33" s="293">
        <f t="shared" si="41"/>
        <v>6.734699389384036E-8</v>
      </c>
      <c r="AF33" s="276">
        <f t="shared" si="4"/>
        <v>608973</v>
      </c>
      <c r="AI33" s="321">
        <f>AI34+AI39</f>
        <v>13191748</v>
      </c>
      <c r="AJ33" s="282">
        <f t="shared" si="50"/>
        <v>608973</v>
      </c>
    </row>
    <row r="34" spans="1:37" ht="89.25">
      <c r="A34" s="311" t="s">
        <v>257</v>
      </c>
      <c r="B34" s="312" t="s">
        <v>742</v>
      </c>
      <c r="C34" s="313" t="s">
        <v>230</v>
      </c>
      <c r="D34" s="313" t="s">
        <v>290</v>
      </c>
      <c r="E34" s="313"/>
      <c r="F34" s="313"/>
      <c r="G34" s="314">
        <f>G35+G36+G37+G38</f>
        <v>46171801</v>
      </c>
      <c r="H34" s="314">
        <f t="shared" ref="H34:Q34" si="65">H35+H36+H37+H38</f>
        <v>4300000</v>
      </c>
      <c r="I34" s="314">
        <f t="shared" si="65"/>
        <v>50471801</v>
      </c>
      <c r="J34" s="314">
        <f>J35+J36+J37+J38</f>
        <v>24872120.280000001</v>
      </c>
      <c r="K34" s="314">
        <f t="shared" si="65"/>
        <v>11356397</v>
      </c>
      <c r="L34" s="314">
        <f t="shared" si="65"/>
        <v>6885611</v>
      </c>
      <c r="M34" s="314">
        <f t="shared" si="65"/>
        <v>17530</v>
      </c>
      <c r="N34" s="314">
        <f t="shared" si="65"/>
        <v>0</v>
      </c>
      <c r="O34" s="314">
        <f t="shared" si="65"/>
        <v>2474570</v>
      </c>
      <c r="P34" s="314">
        <f t="shared" si="65"/>
        <v>3417796</v>
      </c>
      <c r="Q34" s="314">
        <f t="shared" si="65"/>
        <v>1604356</v>
      </c>
      <c r="R34" s="297">
        <f>J34+K34+L34+M34+N34+O34+P34+Q34</f>
        <v>50628380.280000001</v>
      </c>
      <c r="S34" s="295"/>
      <c r="T34" s="276">
        <f>I34-R34</f>
        <v>-156579.28000000119</v>
      </c>
      <c r="U34" s="315">
        <f>SUM(U35:U38)</f>
        <v>11739324</v>
      </c>
      <c r="V34" s="316">
        <f t="shared" si="38"/>
        <v>382927</v>
      </c>
      <c r="W34" s="316">
        <f t="shared" si="39"/>
        <v>0.96738083044645495</v>
      </c>
      <c r="X34" s="282"/>
      <c r="Y34" s="314">
        <f>Y35+Y36+Y37+Y38</f>
        <v>11727569</v>
      </c>
      <c r="Z34" s="314">
        <f t="shared" ref="Z34:AA34" si="66">Z35+Z36+Z37+Z38</f>
        <v>9174426</v>
      </c>
      <c r="AA34" s="314">
        <f t="shared" si="66"/>
        <v>8083885.8799999999</v>
      </c>
      <c r="AB34" s="317">
        <f t="shared" si="47"/>
        <v>0.68930618783824682</v>
      </c>
      <c r="AC34" s="317">
        <f t="shared" si="48"/>
        <v>0.96835047399849017</v>
      </c>
      <c r="AD34" s="318">
        <f t="shared" si="41"/>
        <v>7.5133440265172647E-8</v>
      </c>
      <c r="AF34" s="276">
        <f t="shared" si="4"/>
        <v>371172</v>
      </c>
      <c r="AI34" s="314">
        <f>AI35+AI36+AI37+AI38</f>
        <v>11727569</v>
      </c>
      <c r="AJ34" s="282">
        <f t="shared" si="50"/>
        <v>371172</v>
      </c>
    </row>
    <row r="35" spans="1:37" ht="140.25">
      <c r="A35" s="311" t="s">
        <v>51</v>
      </c>
      <c r="B35" s="323" t="s">
        <v>743</v>
      </c>
      <c r="C35" s="313" t="s">
        <v>230</v>
      </c>
      <c r="D35" s="313" t="s">
        <v>290</v>
      </c>
      <c r="E35" s="313"/>
      <c r="F35" s="313" t="s">
        <v>744</v>
      </c>
      <c r="G35" s="327">
        <v>2393420</v>
      </c>
      <c r="H35" s="327">
        <v>0</v>
      </c>
      <c r="I35" s="327">
        <v>2393420</v>
      </c>
      <c r="J35" s="297">
        <v>346476.51</v>
      </c>
      <c r="K35" s="297">
        <v>656969</v>
      </c>
      <c r="L35" s="298">
        <v>1546553</v>
      </c>
      <c r="M35" s="298">
        <v>0</v>
      </c>
      <c r="N35" s="298">
        <v>0</v>
      </c>
      <c r="O35" s="297">
        <v>0</v>
      </c>
      <c r="P35" s="297">
        <v>0</v>
      </c>
      <c r="Q35" s="297">
        <v>0</v>
      </c>
      <c r="R35" s="297">
        <f t="shared" si="3"/>
        <v>2549998.5099999998</v>
      </c>
      <c r="S35" s="328" t="s">
        <v>745</v>
      </c>
      <c r="T35" s="276">
        <f t="shared" si="6"/>
        <v>-156578.50999999978</v>
      </c>
      <c r="U35" s="315">
        <v>1251969</v>
      </c>
      <c r="V35" s="316">
        <f t="shared" si="38"/>
        <v>595000</v>
      </c>
      <c r="W35" s="316">
        <f t="shared" si="39"/>
        <v>0.52474861598010814</v>
      </c>
      <c r="X35" s="282"/>
      <c r="Y35" s="302">
        <v>656969</v>
      </c>
      <c r="Z35" s="302">
        <v>517621</v>
      </c>
      <c r="AA35" s="302">
        <v>336651.2</v>
      </c>
      <c r="AB35" s="317">
        <f t="shared" si="47"/>
        <v>0.5124308757338627</v>
      </c>
      <c r="AC35" s="317">
        <f t="shared" si="48"/>
        <v>1</v>
      </c>
      <c r="AD35" s="318">
        <f t="shared" si="41"/>
        <v>9.8997311881446596E-7</v>
      </c>
      <c r="AF35" s="276">
        <f t="shared" si="4"/>
        <v>0</v>
      </c>
      <c r="AI35" s="302">
        <v>656969</v>
      </c>
      <c r="AJ35" s="282">
        <f t="shared" si="50"/>
        <v>0</v>
      </c>
    </row>
    <row r="36" spans="1:37" ht="76.5">
      <c r="A36" s="311" t="s">
        <v>52</v>
      </c>
      <c r="B36" s="323" t="s">
        <v>746</v>
      </c>
      <c r="C36" s="313" t="s">
        <v>230</v>
      </c>
      <c r="D36" s="313" t="s">
        <v>290</v>
      </c>
      <c r="E36" s="313" t="s">
        <v>747</v>
      </c>
      <c r="F36" s="313" t="s">
        <v>748</v>
      </c>
      <c r="G36" s="327">
        <v>6382398</v>
      </c>
      <c r="H36" s="327">
        <v>0</v>
      </c>
      <c r="I36" s="327">
        <v>6382398</v>
      </c>
      <c r="J36" s="297">
        <v>3720423.38</v>
      </c>
      <c r="K36" s="297">
        <v>1682488</v>
      </c>
      <c r="L36" s="298">
        <v>909171</v>
      </c>
      <c r="M36" s="298">
        <v>17530</v>
      </c>
      <c r="N36" s="298">
        <v>0</v>
      </c>
      <c r="O36" s="297">
        <v>52786</v>
      </c>
      <c r="P36" s="297">
        <v>0</v>
      </c>
      <c r="Q36" s="297">
        <v>0</v>
      </c>
      <c r="R36" s="297">
        <f t="shared" si="3"/>
        <v>6382398.3799999999</v>
      </c>
      <c r="S36" s="295"/>
      <c r="T36" s="276">
        <f t="shared" si="6"/>
        <v>-0.37999999988824129</v>
      </c>
      <c r="U36" s="315">
        <v>1623283</v>
      </c>
      <c r="V36" s="316">
        <f t="shared" si="38"/>
        <v>-59205</v>
      </c>
      <c r="W36" s="316">
        <f t="shared" si="39"/>
        <v>1.0364723834352976</v>
      </c>
      <c r="X36" s="282"/>
      <c r="Y36" s="302">
        <v>2048842</v>
      </c>
      <c r="Z36" s="302">
        <v>1878794</v>
      </c>
      <c r="AA36" s="302">
        <v>1388494.89</v>
      </c>
      <c r="AB36" s="317">
        <f t="shared" si="47"/>
        <v>0.67769739687101294</v>
      </c>
      <c r="AC36" s="317">
        <f t="shared" si="48"/>
        <v>0.82118972570847337</v>
      </c>
      <c r="AD36" s="318">
        <f t="shared" si="41"/>
        <v>3.6070872957387181E-7</v>
      </c>
      <c r="AF36" s="276">
        <f t="shared" si="4"/>
        <v>366354</v>
      </c>
      <c r="AI36" s="302">
        <f>2048842-205481</f>
        <v>1843361</v>
      </c>
      <c r="AJ36" s="282">
        <f t="shared" si="50"/>
        <v>160873</v>
      </c>
    </row>
    <row r="37" spans="1:37" ht="114.75">
      <c r="A37" s="311" t="s">
        <v>53</v>
      </c>
      <c r="B37" s="323" t="s">
        <v>749</v>
      </c>
      <c r="C37" s="313" t="s">
        <v>230</v>
      </c>
      <c r="D37" s="313" t="s">
        <v>290</v>
      </c>
      <c r="E37" s="313"/>
      <c r="F37" s="313" t="s">
        <v>750</v>
      </c>
      <c r="G37" s="327">
        <v>11564421</v>
      </c>
      <c r="H37" s="327">
        <v>509500</v>
      </c>
      <c r="I37" s="327">
        <v>12073921</v>
      </c>
      <c r="J37" s="297">
        <v>4377281.32</v>
      </c>
      <c r="K37" s="297">
        <v>2758925</v>
      </c>
      <c r="L37" s="298">
        <v>1032279</v>
      </c>
      <c r="M37" s="298">
        <v>0</v>
      </c>
      <c r="N37" s="298">
        <v>0</v>
      </c>
      <c r="O37" s="297">
        <v>872721</v>
      </c>
      <c r="P37" s="297">
        <v>2020000</v>
      </c>
      <c r="Q37" s="297">
        <v>1012715</v>
      </c>
      <c r="R37" s="297">
        <f t="shared" si="3"/>
        <v>12073921.32</v>
      </c>
      <c r="S37" s="295"/>
      <c r="T37" s="276">
        <f t="shared" si="6"/>
        <v>-0.32000000029802322</v>
      </c>
      <c r="U37" s="315">
        <v>2764908</v>
      </c>
      <c r="V37" s="316">
        <f t="shared" si="38"/>
        <v>5983</v>
      </c>
      <c r="W37" s="316">
        <f t="shared" si="39"/>
        <v>0.99783609436552678</v>
      </c>
      <c r="X37" s="282"/>
      <c r="Y37" s="302">
        <v>2918994</v>
      </c>
      <c r="Z37" s="302">
        <v>2177981</v>
      </c>
      <c r="AA37" s="302">
        <v>1867105.03</v>
      </c>
      <c r="AB37" s="317">
        <f t="shared" si="47"/>
        <v>0.63963989991072268</v>
      </c>
      <c r="AC37" s="317">
        <f t="shared" si="48"/>
        <v>0.94516295682690676</v>
      </c>
      <c r="AD37" s="318">
        <f t="shared" si="41"/>
        <v>2.9368479335252356E-7</v>
      </c>
      <c r="AF37" s="276">
        <f t="shared" si="4"/>
        <v>160069</v>
      </c>
      <c r="AG37" s="256">
        <v>160069</v>
      </c>
      <c r="AI37" s="302">
        <v>2918994</v>
      </c>
      <c r="AJ37" s="282">
        <f t="shared" si="50"/>
        <v>160069</v>
      </c>
      <c r="AK37" s="256">
        <v>160069</v>
      </c>
    </row>
    <row r="38" spans="1:37" ht="63.75">
      <c r="A38" s="311" t="s">
        <v>54</v>
      </c>
      <c r="B38" s="323" t="s">
        <v>751</v>
      </c>
      <c r="C38" s="313" t="s">
        <v>230</v>
      </c>
      <c r="D38" s="313" t="s">
        <v>290</v>
      </c>
      <c r="E38" s="313"/>
      <c r="F38" s="313" t="s">
        <v>725</v>
      </c>
      <c r="G38" s="327">
        <v>25831562</v>
      </c>
      <c r="H38" s="327">
        <v>3790500</v>
      </c>
      <c r="I38" s="327">
        <v>29622062</v>
      </c>
      <c r="J38" s="297">
        <v>16427939.07</v>
      </c>
      <c r="K38" s="297">
        <v>6258015</v>
      </c>
      <c r="L38" s="298">
        <v>3397608</v>
      </c>
      <c r="M38" s="298">
        <v>0</v>
      </c>
      <c r="N38" s="298">
        <v>0</v>
      </c>
      <c r="O38" s="297">
        <v>1549063</v>
      </c>
      <c r="P38" s="297">
        <v>1397796</v>
      </c>
      <c r="Q38" s="297">
        <v>591641</v>
      </c>
      <c r="R38" s="297">
        <f t="shared" si="3"/>
        <v>29622062.07</v>
      </c>
      <c r="S38" s="295"/>
      <c r="T38" s="276">
        <f t="shared" si="6"/>
        <v>-7.0000000298023224E-2</v>
      </c>
      <c r="U38" s="315">
        <v>6099164</v>
      </c>
      <c r="V38" s="316">
        <f t="shared" si="38"/>
        <v>-158851</v>
      </c>
      <c r="W38" s="316">
        <f t="shared" si="39"/>
        <v>1.0260447169480933</v>
      </c>
      <c r="X38" s="282"/>
      <c r="Y38" s="302">
        <v>6102764</v>
      </c>
      <c r="Z38" s="302">
        <v>4600030</v>
      </c>
      <c r="AA38" s="302">
        <v>4491634.76</v>
      </c>
      <c r="AB38" s="317">
        <f t="shared" si="47"/>
        <v>0.73600007472024143</v>
      </c>
      <c r="AC38" s="317">
        <f t="shared" si="48"/>
        <v>1.0254394566134295</v>
      </c>
      <c r="AD38" s="318">
        <f t="shared" si="41"/>
        <v>1.5999897277196919E-7</v>
      </c>
      <c r="AF38" s="276">
        <f t="shared" si="4"/>
        <v>-155251</v>
      </c>
      <c r="AI38" s="302">
        <f>6102764+205481</f>
        <v>6308245</v>
      </c>
      <c r="AJ38" s="282">
        <f t="shared" si="50"/>
        <v>50230</v>
      </c>
    </row>
    <row r="39" spans="1:37" ht="38.25">
      <c r="A39" s="311" t="s">
        <v>263</v>
      </c>
      <c r="B39" s="312" t="s">
        <v>752</v>
      </c>
      <c r="C39" s="313" t="s">
        <v>230</v>
      </c>
      <c r="D39" s="313" t="s">
        <v>290</v>
      </c>
      <c r="E39" s="313"/>
      <c r="F39" s="313"/>
      <c r="G39" s="314">
        <f>G40+G41+G42</f>
        <v>20005002</v>
      </c>
      <c r="H39" s="314">
        <f t="shared" ref="H39:Q39" si="67">H40+H41+H42</f>
        <v>0</v>
      </c>
      <c r="I39" s="314">
        <f t="shared" si="67"/>
        <v>20005002</v>
      </c>
      <c r="J39" s="314">
        <f t="shared" si="67"/>
        <v>17704875.050000001</v>
      </c>
      <c r="K39" s="314">
        <f t="shared" si="67"/>
        <v>1226378</v>
      </c>
      <c r="L39" s="314">
        <f t="shared" si="67"/>
        <v>1058040</v>
      </c>
      <c r="M39" s="314">
        <f t="shared" si="67"/>
        <v>0</v>
      </c>
      <c r="N39" s="314">
        <f t="shared" si="67"/>
        <v>0</v>
      </c>
      <c r="O39" s="314">
        <f t="shared" si="67"/>
        <v>30735</v>
      </c>
      <c r="P39" s="314">
        <f t="shared" si="67"/>
        <v>0</v>
      </c>
      <c r="Q39" s="314">
        <f t="shared" si="67"/>
        <v>0</v>
      </c>
      <c r="R39" s="297">
        <f t="shared" si="3"/>
        <v>20020028.050000001</v>
      </c>
      <c r="S39" s="295"/>
      <c r="T39" s="276">
        <f t="shared" si="6"/>
        <v>-15026.050000000745</v>
      </c>
      <c r="U39" s="315">
        <f>SUM(U40:U42)</f>
        <v>1435179</v>
      </c>
      <c r="V39" s="316">
        <f t="shared" si="38"/>
        <v>208801</v>
      </c>
      <c r="W39" s="316">
        <f t="shared" si="39"/>
        <v>0.85451222460752285</v>
      </c>
      <c r="X39" s="282"/>
      <c r="Y39" s="314">
        <f>Y40+Y41+Y42</f>
        <v>1464179</v>
      </c>
      <c r="Z39" s="314">
        <f t="shared" ref="Z39:AA39" si="68">Z40+Z41+Z42</f>
        <v>1157706</v>
      </c>
      <c r="AA39" s="314">
        <f t="shared" si="68"/>
        <v>1095434.0699999998</v>
      </c>
      <c r="AB39" s="317">
        <f t="shared" si="47"/>
        <v>0.74815584023538095</v>
      </c>
      <c r="AC39" s="317">
        <f t="shared" si="48"/>
        <v>0.83758748076567135</v>
      </c>
      <c r="AD39" s="318">
        <f t="shared" si="41"/>
        <v>6.4623992640219617E-7</v>
      </c>
      <c r="AF39" s="276">
        <f t="shared" si="4"/>
        <v>237801</v>
      </c>
      <c r="AI39" s="314">
        <f>AI40+AI41+AI42</f>
        <v>1464179</v>
      </c>
      <c r="AJ39" s="282">
        <f t="shared" si="50"/>
        <v>237801</v>
      </c>
    </row>
    <row r="40" spans="1:37" ht="114.75">
      <c r="A40" s="311" t="s">
        <v>55</v>
      </c>
      <c r="B40" s="323" t="s">
        <v>753</v>
      </c>
      <c r="C40" s="313" t="s">
        <v>230</v>
      </c>
      <c r="D40" s="313" t="s">
        <v>290</v>
      </c>
      <c r="E40" s="313"/>
      <c r="F40" s="313" t="s">
        <v>725</v>
      </c>
      <c r="G40" s="327">
        <v>4945607</v>
      </c>
      <c r="H40" s="314">
        <v>0</v>
      </c>
      <c r="I40" s="327">
        <v>4945607</v>
      </c>
      <c r="J40" s="319">
        <v>5177643</v>
      </c>
      <c r="K40" s="297">
        <v>11737</v>
      </c>
      <c r="L40" s="298">
        <v>0</v>
      </c>
      <c r="M40" s="298">
        <v>0</v>
      </c>
      <c r="N40" s="298">
        <v>0</v>
      </c>
      <c r="O40" s="297">
        <v>0</v>
      </c>
      <c r="P40" s="297">
        <v>0</v>
      </c>
      <c r="Q40" s="297">
        <v>0</v>
      </c>
      <c r="R40" s="297">
        <f t="shared" si="3"/>
        <v>5189380</v>
      </c>
      <c r="S40" s="295" t="s">
        <v>754</v>
      </c>
      <c r="T40" s="276">
        <f t="shared" si="6"/>
        <v>-243773</v>
      </c>
      <c r="U40" s="315">
        <v>11737</v>
      </c>
      <c r="V40" s="316">
        <f t="shared" si="38"/>
        <v>0</v>
      </c>
      <c r="W40" s="316">
        <f t="shared" si="39"/>
        <v>1</v>
      </c>
      <c r="X40" s="282"/>
      <c r="Y40" s="302">
        <v>11737</v>
      </c>
      <c r="Z40" s="302">
        <v>11737</v>
      </c>
      <c r="AA40" s="302">
        <v>11736.43</v>
      </c>
      <c r="AB40" s="317">
        <f t="shared" si="47"/>
        <v>0.99995143563091082</v>
      </c>
      <c r="AC40" s="317">
        <f t="shared" si="48"/>
        <v>1</v>
      </c>
      <c r="AD40" s="318">
        <f t="shared" si="41"/>
        <v>8.5196509809228147E-5</v>
      </c>
      <c r="AF40" s="276">
        <f t="shared" si="4"/>
        <v>0</v>
      </c>
      <c r="AI40" s="302">
        <v>11737</v>
      </c>
      <c r="AJ40" s="282">
        <f t="shared" si="50"/>
        <v>0</v>
      </c>
    </row>
    <row r="41" spans="1:37" ht="89.25">
      <c r="A41" s="311" t="s">
        <v>56</v>
      </c>
      <c r="B41" s="323" t="s">
        <v>755</v>
      </c>
      <c r="C41" s="313" t="s">
        <v>230</v>
      </c>
      <c r="D41" s="313" t="s">
        <v>290</v>
      </c>
      <c r="E41" s="313"/>
      <c r="F41" s="313" t="s">
        <v>725</v>
      </c>
      <c r="G41" s="327">
        <v>11135931</v>
      </c>
      <c r="H41" s="314">
        <v>0</v>
      </c>
      <c r="I41" s="327">
        <v>11135931</v>
      </c>
      <c r="J41" s="297">
        <v>10884847.24</v>
      </c>
      <c r="K41" s="297">
        <v>22337</v>
      </c>
      <c r="L41" s="298">
        <v>0</v>
      </c>
      <c r="M41" s="298">
        <v>0</v>
      </c>
      <c r="N41" s="298">
        <v>0</v>
      </c>
      <c r="O41" s="297">
        <v>0</v>
      </c>
      <c r="P41" s="297">
        <v>0</v>
      </c>
      <c r="Q41" s="297">
        <v>0</v>
      </c>
      <c r="R41" s="297">
        <f t="shared" si="3"/>
        <v>10907184.24</v>
      </c>
      <c r="S41" s="295" t="s">
        <v>756</v>
      </c>
      <c r="T41" s="276">
        <f t="shared" si="6"/>
        <v>228746.75999999978</v>
      </c>
      <c r="U41" s="315">
        <v>161534</v>
      </c>
      <c r="V41" s="316">
        <f t="shared" si="38"/>
        <v>139197</v>
      </c>
      <c r="W41" s="316">
        <f t="shared" si="39"/>
        <v>0.13828048584198993</v>
      </c>
      <c r="X41" s="282"/>
      <c r="Y41" s="302">
        <v>161534</v>
      </c>
      <c r="Z41" s="302">
        <v>22338</v>
      </c>
      <c r="AA41" s="302">
        <v>22336.94</v>
      </c>
      <c r="AB41" s="317">
        <f t="shared" si="47"/>
        <v>0.13828011440315971</v>
      </c>
      <c r="AC41" s="317">
        <f t="shared" si="48"/>
        <v>0.13828048584198993</v>
      </c>
      <c r="AD41" s="318">
        <f t="shared" si="41"/>
        <v>6.1903534068922779E-6</v>
      </c>
      <c r="AF41" s="276">
        <f t="shared" si="4"/>
        <v>139197</v>
      </c>
      <c r="AI41" s="302">
        <v>161534</v>
      </c>
      <c r="AJ41" s="282">
        <f t="shared" si="50"/>
        <v>139197</v>
      </c>
    </row>
    <row r="42" spans="1:37" ht="76.5">
      <c r="A42" s="311" t="s">
        <v>57</v>
      </c>
      <c r="B42" s="323" t="s">
        <v>757</v>
      </c>
      <c r="C42" s="313" t="s">
        <v>230</v>
      </c>
      <c r="D42" s="313" t="s">
        <v>290</v>
      </c>
      <c r="E42" s="313"/>
      <c r="F42" s="313" t="s">
        <v>725</v>
      </c>
      <c r="G42" s="327">
        <v>3923464</v>
      </c>
      <c r="H42" s="314">
        <v>0</v>
      </c>
      <c r="I42" s="327">
        <v>3923464</v>
      </c>
      <c r="J42" s="297">
        <v>1642384.81</v>
      </c>
      <c r="K42" s="297">
        <v>1192304</v>
      </c>
      <c r="L42" s="298">
        <v>1058040</v>
      </c>
      <c r="M42" s="298">
        <v>0</v>
      </c>
      <c r="N42" s="298">
        <v>0</v>
      </c>
      <c r="O42" s="297">
        <v>30735</v>
      </c>
      <c r="P42" s="297">
        <v>0</v>
      </c>
      <c r="Q42" s="297">
        <v>0</v>
      </c>
      <c r="R42" s="297">
        <f t="shared" si="3"/>
        <v>3923463.81</v>
      </c>
      <c r="S42" s="295"/>
      <c r="T42" s="276">
        <f t="shared" si="6"/>
        <v>0.18999999994412065</v>
      </c>
      <c r="U42" s="315">
        <v>1261908</v>
      </c>
      <c r="V42" s="316">
        <f t="shared" si="38"/>
        <v>69604</v>
      </c>
      <c r="W42" s="316">
        <f t="shared" si="39"/>
        <v>0.94484225474440287</v>
      </c>
      <c r="X42" s="282"/>
      <c r="Y42" s="302">
        <v>1290908</v>
      </c>
      <c r="Z42" s="302">
        <v>1123631</v>
      </c>
      <c r="AA42" s="302">
        <v>1061360.7</v>
      </c>
      <c r="AB42" s="317">
        <f t="shared" si="47"/>
        <v>0.82218151874494538</v>
      </c>
      <c r="AC42" s="317">
        <f t="shared" si="48"/>
        <v>0.92361655516891983</v>
      </c>
      <c r="AD42" s="318">
        <f t="shared" si="41"/>
        <v>7.3171843669758614E-7</v>
      </c>
      <c r="AF42" s="276">
        <f t="shared" si="4"/>
        <v>98604</v>
      </c>
      <c r="AI42" s="302">
        <v>1290908</v>
      </c>
      <c r="AJ42" s="282">
        <f t="shared" si="50"/>
        <v>98604</v>
      </c>
    </row>
    <row r="43" spans="1:37" ht="140.25">
      <c r="A43" s="272" t="s">
        <v>269</v>
      </c>
      <c r="B43" s="310" t="s">
        <v>758</v>
      </c>
      <c r="C43" s="292" t="s">
        <v>230</v>
      </c>
      <c r="D43" s="292" t="s">
        <v>290</v>
      </c>
      <c r="E43" s="292"/>
      <c r="F43" s="292"/>
      <c r="G43" s="321">
        <f>G44+G49+G52+G55</f>
        <v>36484688.780000001</v>
      </c>
      <c r="H43" s="321">
        <f>H44+H49+H52+H55</f>
        <v>3000000</v>
      </c>
      <c r="I43" s="321">
        <f t="shared" ref="I43:Q43" si="69">I44+I49+I52+I55</f>
        <v>39484688.780000001</v>
      </c>
      <c r="J43" s="321">
        <f t="shared" si="69"/>
        <v>27600746.199999999</v>
      </c>
      <c r="K43" s="321">
        <f t="shared" si="69"/>
        <v>4217866</v>
      </c>
      <c r="L43" s="321">
        <f t="shared" si="69"/>
        <v>3536917</v>
      </c>
      <c r="M43" s="321">
        <f t="shared" si="69"/>
        <v>548031</v>
      </c>
      <c r="N43" s="321">
        <f t="shared" si="69"/>
        <v>138939</v>
      </c>
      <c r="O43" s="321">
        <f t="shared" si="69"/>
        <v>1111389</v>
      </c>
      <c r="P43" s="321">
        <f t="shared" si="69"/>
        <v>1807041</v>
      </c>
      <c r="Q43" s="321">
        <f t="shared" si="69"/>
        <v>520000</v>
      </c>
      <c r="R43" s="274">
        <f>J43+K43+L43+M43+N43+O43+P43+Q43</f>
        <v>39480929.200000003</v>
      </c>
      <c r="S43" s="295"/>
      <c r="T43" s="276">
        <f t="shared" si="6"/>
        <v>3759.5799999982119</v>
      </c>
      <c r="U43" s="277">
        <f>U44+U49+U52+U55</f>
        <v>4968201</v>
      </c>
      <c r="V43" s="277">
        <f t="shared" si="38"/>
        <v>750335</v>
      </c>
      <c r="W43" s="277">
        <f t="shared" si="39"/>
        <v>0.84897249527545282</v>
      </c>
      <c r="X43" s="282"/>
      <c r="Y43" s="321">
        <f>Y44+Y49+Y52+Y55</f>
        <v>5495089</v>
      </c>
      <c r="Z43" s="321">
        <f t="shared" ref="Z43" si="70">Z44+Z49+Z52+Z55</f>
        <v>3829559</v>
      </c>
      <c r="AA43" s="321">
        <f>AA44+AA49+AA52+AA55</f>
        <v>3497427.17</v>
      </c>
      <c r="AB43" s="322">
        <f t="shared" si="47"/>
        <v>0.63646415371980325</v>
      </c>
      <c r="AC43" s="322">
        <f t="shared" si="48"/>
        <v>0.7675700975907761</v>
      </c>
      <c r="AD43" s="273">
        <f t="shared" si="41"/>
        <v>1.6619776682375261E-7</v>
      </c>
      <c r="AF43" s="276">
        <f t="shared" si="4"/>
        <v>1277223</v>
      </c>
      <c r="AI43" s="321">
        <f>AI44+AI49+AI52+AI55</f>
        <v>5495089</v>
      </c>
      <c r="AJ43" s="282">
        <f t="shared" si="50"/>
        <v>1277223</v>
      </c>
    </row>
    <row r="44" spans="1:37" ht="38.25">
      <c r="A44" s="311" t="s">
        <v>271</v>
      </c>
      <c r="B44" s="312" t="s">
        <v>759</v>
      </c>
      <c r="C44" s="313" t="s">
        <v>230</v>
      </c>
      <c r="D44" s="313" t="s">
        <v>290</v>
      </c>
      <c r="E44" s="313"/>
      <c r="F44" s="313"/>
      <c r="G44" s="314">
        <f>G45+G46+G47+G48</f>
        <v>25389715.649999999</v>
      </c>
      <c r="H44" s="314">
        <f t="shared" ref="H44:Q44" si="71">H45+H46+H47+H48</f>
        <v>1000000</v>
      </c>
      <c r="I44" s="314">
        <f t="shared" si="71"/>
        <v>26389715.649999999</v>
      </c>
      <c r="J44" s="314">
        <f t="shared" si="71"/>
        <v>22850484.98</v>
      </c>
      <c r="K44" s="314">
        <f t="shared" si="71"/>
        <v>1458970</v>
      </c>
      <c r="L44" s="314">
        <f t="shared" si="71"/>
        <v>1076501</v>
      </c>
      <c r="M44" s="314">
        <f t="shared" si="71"/>
        <v>0</v>
      </c>
      <c r="N44" s="314">
        <f t="shared" si="71"/>
        <v>0</v>
      </c>
      <c r="O44" s="314">
        <f t="shared" si="71"/>
        <v>500000</v>
      </c>
      <c r="P44" s="314">
        <f t="shared" si="71"/>
        <v>500000</v>
      </c>
      <c r="Q44" s="314">
        <f t="shared" si="71"/>
        <v>0</v>
      </c>
      <c r="R44" s="297">
        <f t="shared" si="3"/>
        <v>26385955.98</v>
      </c>
      <c r="S44" s="295"/>
      <c r="T44" s="276">
        <f t="shared" si="6"/>
        <v>3759.6699999980628</v>
      </c>
      <c r="U44" s="315">
        <f>SUM(U45:U48)</f>
        <v>2575113</v>
      </c>
      <c r="V44" s="316">
        <f t="shared" si="38"/>
        <v>1116143</v>
      </c>
      <c r="W44" s="316">
        <f t="shared" si="39"/>
        <v>0.5665654283909094</v>
      </c>
      <c r="X44" s="282"/>
      <c r="Y44" s="314">
        <f>Y45+Y46+Y47+Y48</f>
        <v>2484257</v>
      </c>
      <c r="Z44" s="314">
        <f t="shared" ref="Z44:AA44" si="72">Z45+Z46+Z47+Z48</f>
        <v>1336017</v>
      </c>
      <c r="AA44" s="314">
        <f t="shared" si="72"/>
        <v>1280573.3400000001</v>
      </c>
      <c r="AB44" s="317">
        <f t="shared" si="47"/>
        <v>0.5154753876108632</v>
      </c>
      <c r="AC44" s="317">
        <f t="shared" si="48"/>
        <v>0.58728625903036602</v>
      </c>
      <c r="AD44" s="318">
        <f t="shared" si="41"/>
        <v>3.8582996145323243E-7</v>
      </c>
      <c r="AF44" s="276">
        <f t="shared" si="4"/>
        <v>1025287</v>
      </c>
      <c r="AI44" s="314">
        <f>AI45+AI46+AI47+AI48</f>
        <v>2484257</v>
      </c>
      <c r="AJ44" s="282">
        <f t="shared" si="50"/>
        <v>1025287</v>
      </c>
    </row>
    <row r="45" spans="1:37" ht="114.75">
      <c r="A45" s="311" t="s">
        <v>58</v>
      </c>
      <c r="B45" s="323" t="s">
        <v>760</v>
      </c>
      <c r="C45" s="313" t="s">
        <v>230</v>
      </c>
      <c r="D45" s="313" t="s">
        <v>290</v>
      </c>
      <c r="E45" s="313"/>
      <c r="F45" s="313" t="s">
        <v>725</v>
      </c>
      <c r="G45" s="314">
        <v>0</v>
      </c>
      <c r="H45" s="314">
        <v>0</v>
      </c>
      <c r="I45" s="314">
        <v>0</v>
      </c>
      <c r="J45" s="297">
        <v>0</v>
      </c>
      <c r="K45" s="297">
        <v>0</v>
      </c>
      <c r="L45" s="298">
        <v>0</v>
      </c>
      <c r="M45" s="298">
        <v>0</v>
      </c>
      <c r="N45" s="298">
        <v>0</v>
      </c>
      <c r="O45" s="297">
        <v>0</v>
      </c>
      <c r="P45" s="297">
        <v>0</v>
      </c>
      <c r="Q45" s="297">
        <v>0</v>
      </c>
      <c r="R45" s="297">
        <f t="shared" si="3"/>
        <v>0</v>
      </c>
      <c r="S45" s="295"/>
      <c r="T45" s="276">
        <f t="shared" si="6"/>
        <v>0</v>
      </c>
      <c r="U45" s="315">
        <v>0</v>
      </c>
      <c r="V45" s="316">
        <f t="shared" si="38"/>
        <v>0</v>
      </c>
      <c r="W45" s="316" t="e">
        <f t="shared" si="39"/>
        <v>#DIV/0!</v>
      </c>
      <c r="X45" s="282"/>
      <c r="Y45" s="302">
        <v>0</v>
      </c>
      <c r="Z45" s="302">
        <v>0</v>
      </c>
      <c r="AA45" s="302">
        <v>0</v>
      </c>
      <c r="AB45" s="317" t="e">
        <f t="shared" si="47"/>
        <v>#DIV/0!</v>
      </c>
      <c r="AC45" s="317" t="e">
        <f t="shared" si="48"/>
        <v>#DIV/0!</v>
      </c>
      <c r="AD45" s="318" t="e">
        <f t="shared" si="41"/>
        <v>#DIV/0!</v>
      </c>
      <c r="AF45" s="276">
        <f t="shared" si="4"/>
        <v>0</v>
      </c>
      <c r="AI45" s="302">
        <v>0</v>
      </c>
      <c r="AJ45" s="282">
        <f t="shared" si="50"/>
        <v>0</v>
      </c>
    </row>
    <row r="46" spans="1:37" ht="51">
      <c r="A46" s="311" t="s">
        <v>21</v>
      </c>
      <c r="B46" s="323" t="s">
        <v>761</v>
      </c>
      <c r="C46" s="313" t="s">
        <v>230</v>
      </c>
      <c r="D46" s="313" t="s">
        <v>762</v>
      </c>
      <c r="E46" s="313"/>
      <c r="F46" s="313" t="s">
        <v>725</v>
      </c>
      <c r="G46" s="314">
        <v>5441400</v>
      </c>
      <c r="H46" s="314">
        <v>1000000</v>
      </c>
      <c r="I46" s="314">
        <v>6441400</v>
      </c>
      <c r="J46" s="297">
        <v>3514381</v>
      </c>
      <c r="K46" s="297">
        <v>850518</v>
      </c>
      <c r="L46" s="298">
        <v>1076501</v>
      </c>
      <c r="M46" s="298">
        <v>0</v>
      </c>
      <c r="N46" s="298">
        <v>0</v>
      </c>
      <c r="O46" s="297">
        <v>500000</v>
      </c>
      <c r="P46" s="297">
        <v>500000</v>
      </c>
      <c r="Q46" s="297">
        <v>0</v>
      </c>
      <c r="R46" s="297">
        <f t="shared" si="3"/>
        <v>6441400</v>
      </c>
      <c r="S46" s="295"/>
      <c r="T46" s="276">
        <f t="shared" si="6"/>
        <v>0</v>
      </c>
      <c r="U46" s="315">
        <v>850518</v>
      </c>
      <c r="V46" s="316">
        <f t="shared" si="38"/>
        <v>0</v>
      </c>
      <c r="W46" s="316">
        <f t="shared" si="39"/>
        <v>1</v>
      </c>
      <c r="X46" s="282"/>
      <c r="Y46" s="302">
        <v>850518</v>
      </c>
      <c r="Z46" s="302">
        <v>672121</v>
      </c>
      <c r="AA46" s="302">
        <v>672120.93</v>
      </c>
      <c r="AB46" s="317">
        <f t="shared" si="47"/>
        <v>0.79024891889413285</v>
      </c>
      <c r="AC46" s="317">
        <f t="shared" si="48"/>
        <v>1</v>
      </c>
      <c r="AD46" s="318">
        <f t="shared" si="41"/>
        <v>1.1757539474203794E-6</v>
      </c>
      <c r="AF46" s="276">
        <f t="shared" si="4"/>
        <v>0</v>
      </c>
      <c r="AI46" s="302">
        <v>850518</v>
      </c>
      <c r="AJ46" s="282">
        <f t="shared" si="50"/>
        <v>0</v>
      </c>
    </row>
    <row r="47" spans="1:37" ht="51">
      <c r="A47" s="311" t="s">
        <v>59</v>
      </c>
      <c r="B47" s="323" t="s">
        <v>763</v>
      </c>
      <c r="C47" s="313" t="s">
        <v>230</v>
      </c>
      <c r="D47" s="313" t="s">
        <v>290</v>
      </c>
      <c r="E47" s="313"/>
      <c r="F47" s="313" t="s">
        <v>725</v>
      </c>
      <c r="G47" s="314">
        <v>0</v>
      </c>
      <c r="H47" s="314">
        <v>0</v>
      </c>
      <c r="I47" s="314">
        <v>0</v>
      </c>
      <c r="J47" s="297">
        <v>0</v>
      </c>
      <c r="K47" s="297">
        <v>0</v>
      </c>
      <c r="L47" s="298">
        <v>0</v>
      </c>
      <c r="M47" s="298">
        <v>0</v>
      </c>
      <c r="N47" s="298">
        <v>0</v>
      </c>
      <c r="O47" s="297">
        <v>0</v>
      </c>
      <c r="P47" s="297">
        <v>0</v>
      </c>
      <c r="Q47" s="297">
        <v>0</v>
      </c>
      <c r="R47" s="297">
        <f t="shared" si="3"/>
        <v>0</v>
      </c>
      <c r="S47" s="295"/>
      <c r="T47" s="276">
        <f t="shared" si="6"/>
        <v>0</v>
      </c>
      <c r="U47" s="315">
        <v>0</v>
      </c>
      <c r="V47" s="316">
        <f t="shared" si="38"/>
        <v>0</v>
      </c>
      <c r="W47" s="316" t="e">
        <f t="shared" si="39"/>
        <v>#DIV/0!</v>
      </c>
      <c r="X47" s="282"/>
      <c r="Y47" s="302">
        <v>0</v>
      </c>
      <c r="Z47" s="302">
        <v>0</v>
      </c>
      <c r="AA47" s="302">
        <v>0</v>
      </c>
      <c r="AB47" s="317" t="e">
        <f t="shared" si="47"/>
        <v>#DIV/0!</v>
      </c>
      <c r="AC47" s="317" t="e">
        <f t="shared" si="48"/>
        <v>#DIV/0!</v>
      </c>
      <c r="AD47" s="318" t="e">
        <f t="shared" si="41"/>
        <v>#DIV/0!</v>
      </c>
      <c r="AF47" s="276">
        <f t="shared" si="4"/>
        <v>0</v>
      </c>
      <c r="AI47" s="302">
        <v>0</v>
      </c>
      <c r="AJ47" s="282">
        <f t="shared" si="50"/>
        <v>0</v>
      </c>
    </row>
    <row r="48" spans="1:37" ht="89.25">
      <c r="A48" s="329" t="s">
        <v>764</v>
      </c>
      <c r="B48" s="323" t="s">
        <v>765</v>
      </c>
      <c r="C48" s="313" t="s">
        <v>230</v>
      </c>
      <c r="D48" s="313" t="s">
        <v>290</v>
      </c>
      <c r="E48" s="313"/>
      <c r="F48" s="313" t="s">
        <v>725</v>
      </c>
      <c r="G48" s="314">
        <v>19948315.649999999</v>
      </c>
      <c r="H48" s="314">
        <v>0</v>
      </c>
      <c r="I48" s="314">
        <v>19948315.649999999</v>
      </c>
      <c r="J48" s="297">
        <v>19336103.98</v>
      </c>
      <c r="K48" s="297">
        <v>608452</v>
      </c>
      <c r="L48" s="298">
        <v>0</v>
      </c>
      <c r="M48" s="298">
        <v>0</v>
      </c>
      <c r="N48" s="298">
        <v>0</v>
      </c>
      <c r="O48" s="297">
        <v>0</v>
      </c>
      <c r="P48" s="297">
        <v>0</v>
      </c>
      <c r="Q48" s="297">
        <v>0</v>
      </c>
      <c r="R48" s="297">
        <f t="shared" si="3"/>
        <v>19944555.98</v>
      </c>
      <c r="S48" s="295" t="s">
        <v>756</v>
      </c>
      <c r="T48" s="276">
        <f t="shared" si="6"/>
        <v>3759.6699999980628</v>
      </c>
      <c r="U48" s="315">
        <v>1724595</v>
      </c>
      <c r="V48" s="316">
        <f t="shared" si="38"/>
        <v>1116143</v>
      </c>
      <c r="W48" s="316">
        <f t="shared" si="39"/>
        <v>0.35280863043207245</v>
      </c>
      <c r="X48" s="282"/>
      <c r="Y48" s="302">
        <v>1633739</v>
      </c>
      <c r="Z48" s="302">
        <v>663896</v>
      </c>
      <c r="AA48" s="302">
        <v>608452.41</v>
      </c>
      <c r="AB48" s="317">
        <f t="shared" si="47"/>
        <v>0.37242938437535006</v>
      </c>
      <c r="AC48" s="317">
        <f t="shared" si="48"/>
        <v>0.37242913341727168</v>
      </c>
      <c r="AD48" s="318">
        <f t="shared" si="41"/>
        <v>5.6097549070238421E-7</v>
      </c>
      <c r="AF48" s="276">
        <f t="shared" si="4"/>
        <v>1025287</v>
      </c>
      <c r="AI48" s="302">
        <v>1633739</v>
      </c>
      <c r="AJ48" s="282">
        <f t="shared" si="50"/>
        <v>1025287</v>
      </c>
    </row>
    <row r="49" spans="1:37" ht="76.5">
      <c r="A49" s="311" t="s">
        <v>278</v>
      </c>
      <c r="B49" s="312" t="s">
        <v>766</v>
      </c>
      <c r="C49" s="313" t="s">
        <v>230</v>
      </c>
      <c r="D49" s="313" t="s">
        <v>290</v>
      </c>
      <c r="E49" s="313"/>
      <c r="F49" s="313"/>
      <c r="G49" s="314">
        <f>G50+G51</f>
        <v>0</v>
      </c>
      <c r="H49" s="314">
        <f>H50+H51</f>
        <v>2000000</v>
      </c>
      <c r="I49" s="314">
        <f t="shared" ref="I49:Q49" si="73">I50+I51</f>
        <v>2000000</v>
      </c>
      <c r="J49" s="314">
        <f t="shared" si="73"/>
        <v>0</v>
      </c>
      <c r="K49" s="314">
        <f t="shared" si="73"/>
        <v>0</v>
      </c>
      <c r="L49" s="314">
        <f t="shared" si="73"/>
        <v>0</v>
      </c>
      <c r="M49" s="314">
        <f t="shared" si="73"/>
        <v>0</v>
      </c>
      <c r="N49" s="314">
        <f t="shared" si="73"/>
        <v>0</v>
      </c>
      <c r="O49" s="314">
        <f t="shared" si="73"/>
        <v>80000</v>
      </c>
      <c r="P49" s="314">
        <f t="shared" si="73"/>
        <v>1400000</v>
      </c>
      <c r="Q49" s="314">
        <f t="shared" si="73"/>
        <v>520000</v>
      </c>
      <c r="R49" s="297">
        <f t="shared" si="3"/>
        <v>2000000</v>
      </c>
      <c r="S49" s="295"/>
      <c r="T49" s="276">
        <f t="shared" si="6"/>
        <v>0</v>
      </c>
      <c r="U49" s="315">
        <f>SUM(U50:U51)</f>
        <v>0</v>
      </c>
      <c r="V49" s="316">
        <f t="shared" si="38"/>
        <v>0</v>
      </c>
      <c r="W49" s="316" t="e">
        <f t="shared" si="39"/>
        <v>#DIV/0!</v>
      </c>
      <c r="X49" s="282"/>
      <c r="Y49" s="314">
        <f t="shared" ref="Y49:AA49" si="74">Y50+Y51</f>
        <v>0</v>
      </c>
      <c r="Z49" s="314">
        <f t="shared" si="74"/>
        <v>0</v>
      </c>
      <c r="AA49" s="314">
        <f t="shared" si="74"/>
        <v>0</v>
      </c>
      <c r="AB49" s="317" t="e">
        <f t="shared" si="47"/>
        <v>#DIV/0!</v>
      </c>
      <c r="AC49" s="317" t="e">
        <f t="shared" si="48"/>
        <v>#DIV/0!</v>
      </c>
      <c r="AD49" s="318" t="e">
        <f t="shared" si="41"/>
        <v>#DIV/0!</v>
      </c>
      <c r="AF49" s="276">
        <f t="shared" si="4"/>
        <v>0</v>
      </c>
      <c r="AI49" s="314">
        <f t="shared" ref="AI49" si="75">AI50+AI51</f>
        <v>0</v>
      </c>
      <c r="AJ49" s="282">
        <f t="shared" si="50"/>
        <v>0</v>
      </c>
    </row>
    <row r="50" spans="1:37" ht="76.5">
      <c r="A50" s="311" t="s">
        <v>61</v>
      </c>
      <c r="B50" s="323" t="s">
        <v>767</v>
      </c>
      <c r="C50" s="313" t="s">
        <v>230</v>
      </c>
      <c r="D50" s="313" t="s">
        <v>290</v>
      </c>
      <c r="E50" s="313"/>
      <c r="F50" s="313" t="s">
        <v>725</v>
      </c>
      <c r="G50" s="314">
        <v>0</v>
      </c>
      <c r="H50" s="314">
        <v>2000000</v>
      </c>
      <c r="I50" s="314">
        <v>2000000</v>
      </c>
      <c r="J50" s="297">
        <v>0</v>
      </c>
      <c r="K50" s="297">
        <v>0</v>
      </c>
      <c r="L50" s="298">
        <v>0</v>
      </c>
      <c r="M50" s="298">
        <v>0</v>
      </c>
      <c r="N50" s="298">
        <v>0</v>
      </c>
      <c r="O50" s="297">
        <v>80000</v>
      </c>
      <c r="P50" s="297">
        <v>1400000</v>
      </c>
      <c r="Q50" s="297">
        <v>520000</v>
      </c>
      <c r="R50" s="297">
        <f t="shared" si="3"/>
        <v>2000000</v>
      </c>
      <c r="S50" s="295"/>
      <c r="T50" s="276">
        <f t="shared" si="6"/>
        <v>0</v>
      </c>
      <c r="U50" s="315">
        <v>0</v>
      </c>
      <c r="V50" s="316">
        <f t="shared" si="38"/>
        <v>0</v>
      </c>
      <c r="W50" s="316" t="e">
        <f t="shared" si="39"/>
        <v>#DIV/0!</v>
      </c>
      <c r="X50" s="282"/>
      <c r="Y50" s="302">
        <v>0</v>
      </c>
      <c r="Z50" s="302">
        <v>0</v>
      </c>
      <c r="AA50" s="302">
        <v>0</v>
      </c>
      <c r="AB50" s="317" t="e">
        <f t="shared" si="47"/>
        <v>#DIV/0!</v>
      </c>
      <c r="AC50" s="317" t="e">
        <f t="shared" si="48"/>
        <v>#DIV/0!</v>
      </c>
      <c r="AD50" s="318" t="e">
        <f t="shared" si="41"/>
        <v>#DIV/0!</v>
      </c>
      <c r="AF50" s="276">
        <f t="shared" si="4"/>
        <v>0</v>
      </c>
      <c r="AI50" s="302">
        <v>0</v>
      </c>
      <c r="AJ50" s="282">
        <f t="shared" si="50"/>
        <v>0</v>
      </c>
    </row>
    <row r="51" spans="1:37" ht="114.75">
      <c r="A51" s="311" t="s">
        <v>62</v>
      </c>
      <c r="B51" s="323" t="s">
        <v>768</v>
      </c>
      <c r="C51" s="313" t="s">
        <v>230</v>
      </c>
      <c r="D51" s="313" t="s">
        <v>290</v>
      </c>
      <c r="E51" s="313"/>
      <c r="F51" s="313" t="s">
        <v>769</v>
      </c>
      <c r="G51" s="314">
        <v>0</v>
      </c>
      <c r="H51" s="314">
        <v>0</v>
      </c>
      <c r="I51" s="314">
        <v>0</v>
      </c>
      <c r="J51" s="297">
        <v>0</v>
      </c>
      <c r="K51" s="297">
        <v>0</v>
      </c>
      <c r="L51" s="298">
        <v>0</v>
      </c>
      <c r="M51" s="298">
        <v>0</v>
      </c>
      <c r="N51" s="298">
        <v>0</v>
      </c>
      <c r="O51" s="297">
        <v>0</v>
      </c>
      <c r="P51" s="297">
        <v>0</v>
      </c>
      <c r="Q51" s="297">
        <v>0</v>
      </c>
      <c r="R51" s="297">
        <f t="shared" si="3"/>
        <v>0</v>
      </c>
      <c r="S51" s="295"/>
      <c r="T51" s="276">
        <f t="shared" si="6"/>
        <v>0</v>
      </c>
      <c r="U51" s="315">
        <v>0</v>
      </c>
      <c r="V51" s="316">
        <f t="shared" si="38"/>
        <v>0</v>
      </c>
      <c r="W51" s="316" t="e">
        <f t="shared" si="39"/>
        <v>#DIV/0!</v>
      </c>
      <c r="X51" s="282"/>
      <c r="Y51" s="302">
        <v>0</v>
      </c>
      <c r="Z51" s="302">
        <v>0</v>
      </c>
      <c r="AA51" s="302">
        <v>0</v>
      </c>
      <c r="AB51" s="317" t="e">
        <f t="shared" si="47"/>
        <v>#DIV/0!</v>
      </c>
      <c r="AC51" s="317" t="e">
        <f t="shared" si="48"/>
        <v>#DIV/0!</v>
      </c>
      <c r="AD51" s="318" t="e">
        <f t="shared" si="41"/>
        <v>#DIV/0!</v>
      </c>
      <c r="AF51" s="276">
        <f t="shared" si="4"/>
        <v>0</v>
      </c>
      <c r="AI51" s="302">
        <v>0</v>
      </c>
      <c r="AJ51" s="282">
        <f t="shared" si="50"/>
        <v>0</v>
      </c>
    </row>
    <row r="52" spans="1:37" ht="102">
      <c r="A52" s="311" t="s">
        <v>282</v>
      </c>
      <c r="B52" s="312" t="s">
        <v>770</v>
      </c>
      <c r="C52" s="313" t="s">
        <v>230</v>
      </c>
      <c r="D52" s="313" t="s">
        <v>290</v>
      </c>
      <c r="E52" s="313"/>
      <c r="F52" s="313"/>
      <c r="G52" s="314">
        <f>G53+G54</f>
        <v>973356.13</v>
      </c>
      <c r="H52" s="314">
        <f t="shared" ref="H52:Q52" si="76">H53+H54</f>
        <v>0</v>
      </c>
      <c r="I52" s="314">
        <f t="shared" si="76"/>
        <v>973356.13</v>
      </c>
      <c r="J52" s="314">
        <f t="shared" si="76"/>
        <v>239932.83</v>
      </c>
      <c r="K52" s="314">
        <f t="shared" si="76"/>
        <v>192380</v>
      </c>
      <c r="L52" s="314">
        <f t="shared" si="76"/>
        <v>227747</v>
      </c>
      <c r="M52" s="314">
        <f t="shared" si="76"/>
        <v>174357</v>
      </c>
      <c r="N52" s="314">
        <f t="shared" si="76"/>
        <v>138939</v>
      </c>
      <c r="O52" s="314">
        <f t="shared" si="76"/>
        <v>0</v>
      </c>
      <c r="P52" s="314">
        <f t="shared" si="76"/>
        <v>0</v>
      </c>
      <c r="Q52" s="314">
        <f t="shared" si="76"/>
        <v>0</v>
      </c>
      <c r="R52" s="297">
        <f t="shared" si="3"/>
        <v>973355.83</v>
      </c>
      <c r="S52" s="295"/>
      <c r="T52" s="276">
        <f t="shared" si="6"/>
        <v>0.30000000004656613</v>
      </c>
      <c r="U52" s="315">
        <f>SUM(U53:U54)</f>
        <v>192378</v>
      </c>
      <c r="V52" s="316">
        <f t="shared" si="38"/>
        <v>-2</v>
      </c>
      <c r="W52" s="316">
        <f t="shared" si="39"/>
        <v>1.0000103961991496</v>
      </c>
      <c r="X52" s="282"/>
      <c r="Y52" s="314">
        <f>Y53+Y54</f>
        <v>192378</v>
      </c>
      <c r="Z52" s="314">
        <f t="shared" ref="Z52:AA52" si="77">Z53+Z54</f>
        <v>132085</v>
      </c>
      <c r="AA52" s="314">
        <f t="shared" si="77"/>
        <v>129924.31</v>
      </c>
      <c r="AB52" s="317">
        <f t="shared" si="47"/>
        <v>0.67535950056659289</v>
      </c>
      <c r="AC52" s="317">
        <f t="shared" si="48"/>
        <v>1.0000103961991496</v>
      </c>
      <c r="AD52" s="318">
        <f t="shared" si="41"/>
        <v>5.1130673472884347E-6</v>
      </c>
      <c r="AF52" s="276">
        <f t="shared" si="4"/>
        <v>-2</v>
      </c>
      <c r="AI52" s="314">
        <f>AI53+AI54</f>
        <v>192378</v>
      </c>
      <c r="AJ52" s="282">
        <f t="shared" si="50"/>
        <v>-2</v>
      </c>
    </row>
    <row r="53" spans="1:37" ht="102">
      <c r="A53" s="311" t="s">
        <v>63</v>
      </c>
      <c r="B53" s="323" t="s">
        <v>771</v>
      </c>
      <c r="C53" s="313" t="s">
        <v>230</v>
      </c>
      <c r="D53" s="313" t="s">
        <v>290</v>
      </c>
      <c r="E53" s="313"/>
      <c r="F53" s="313" t="s">
        <v>725</v>
      </c>
      <c r="G53" s="314">
        <v>0</v>
      </c>
      <c r="H53" s="314">
        <v>0</v>
      </c>
      <c r="I53" s="314">
        <v>0</v>
      </c>
      <c r="J53" s="297">
        <v>0</v>
      </c>
      <c r="K53" s="297">
        <v>0</v>
      </c>
      <c r="L53" s="298">
        <v>0</v>
      </c>
      <c r="M53" s="298">
        <v>0</v>
      </c>
      <c r="N53" s="298">
        <v>0</v>
      </c>
      <c r="O53" s="297">
        <v>0</v>
      </c>
      <c r="P53" s="297">
        <v>0</v>
      </c>
      <c r="Q53" s="297">
        <v>0</v>
      </c>
      <c r="R53" s="297">
        <f t="shared" si="3"/>
        <v>0</v>
      </c>
      <c r="S53" s="295"/>
      <c r="T53" s="276">
        <f t="shared" si="6"/>
        <v>0</v>
      </c>
      <c r="U53" s="315">
        <v>0</v>
      </c>
      <c r="V53" s="316">
        <f t="shared" si="38"/>
        <v>0</v>
      </c>
      <c r="W53" s="316" t="e">
        <f t="shared" si="39"/>
        <v>#DIV/0!</v>
      </c>
      <c r="X53" s="282"/>
      <c r="Y53" s="302">
        <v>0</v>
      </c>
      <c r="Z53" s="302">
        <v>0</v>
      </c>
      <c r="AA53" s="302">
        <v>0</v>
      </c>
      <c r="AB53" s="317" t="e">
        <f t="shared" si="47"/>
        <v>#DIV/0!</v>
      </c>
      <c r="AC53" s="317" t="e">
        <f t="shared" si="48"/>
        <v>#DIV/0!</v>
      </c>
      <c r="AD53" s="318" t="e">
        <f t="shared" si="41"/>
        <v>#DIV/0!</v>
      </c>
      <c r="AF53" s="276">
        <f t="shared" si="4"/>
        <v>0</v>
      </c>
      <c r="AI53" s="302">
        <v>0</v>
      </c>
      <c r="AJ53" s="282">
        <f t="shared" si="50"/>
        <v>0</v>
      </c>
    </row>
    <row r="54" spans="1:37" ht="25.5">
      <c r="A54" s="311" t="s">
        <v>64</v>
      </c>
      <c r="B54" s="323" t="s">
        <v>772</v>
      </c>
      <c r="C54" s="313" t="s">
        <v>230</v>
      </c>
      <c r="D54" s="313" t="s">
        <v>290</v>
      </c>
      <c r="E54" s="313"/>
      <c r="F54" s="313" t="s">
        <v>725</v>
      </c>
      <c r="G54" s="314">
        <v>973356.13</v>
      </c>
      <c r="H54" s="314">
        <v>0</v>
      </c>
      <c r="I54" s="314">
        <v>973356.13</v>
      </c>
      <c r="J54" s="297">
        <v>239932.83</v>
      </c>
      <c r="K54" s="297">
        <v>192380</v>
      </c>
      <c r="L54" s="298">
        <v>227747</v>
      </c>
      <c r="M54" s="298">
        <v>174357</v>
      </c>
      <c r="N54" s="298">
        <v>138939</v>
      </c>
      <c r="O54" s="297">
        <v>0</v>
      </c>
      <c r="P54" s="297">
        <v>0</v>
      </c>
      <c r="Q54" s="297">
        <v>0</v>
      </c>
      <c r="R54" s="297">
        <f t="shared" si="3"/>
        <v>973355.83</v>
      </c>
      <c r="S54" s="295"/>
      <c r="T54" s="276">
        <f t="shared" si="6"/>
        <v>0.30000000004656613</v>
      </c>
      <c r="U54" s="315">
        <v>192378</v>
      </c>
      <c r="V54" s="316">
        <f t="shared" si="38"/>
        <v>-2</v>
      </c>
      <c r="W54" s="316">
        <f t="shared" si="39"/>
        <v>1.0000103961991496</v>
      </c>
      <c r="X54" s="282"/>
      <c r="Y54" s="302">
        <v>192378</v>
      </c>
      <c r="Z54" s="302">
        <v>132085</v>
      </c>
      <c r="AA54" s="302">
        <v>129924.31</v>
      </c>
      <c r="AB54" s="317">
        <f t="shared" si="47"/>
        <v>0.67535950056659289</v>
      </c>
      <c r="AC54" s="317">
        <f t="shared" si="48"/>
        <v>1.0000103961991496</v>
      </c>
      <c r="AD54" s="318">
        <f t="shared" si="41"/>
        <v>5.1130673472884347E-6</v>
      </c>
      <c r="AF54" s="276">
        <f t="shared" si="4"/>
        <v>-2</v>
      </c>
      <c r="AI54" s="302">
        <v>192378</v>
      </c>
      <c r="AJ54" s="282">
        <f t="shared" si="50"/>
        <v>-2</v>
      </c>
    </row>
    <row r="55" spans="1:37" ht="114.75">
      <c r="A55" s="311" t="s">
        <v>286</v>
      </c>
      <c r="B55" s="312" t="s">
        <v>773</v>
      </c>
      <c r="C55" s="313" t="s">
        <v>230</v>
      </c>
      <c r="D55" s="313" t="s">
        <v>290</v>
      </c>
      <c r="E55" s="313"/>
      <c r="F55" s="313"/>
      <c r="G55" s="314">
        <f>G56+G57</f>
        <v>10121617</v>
      </c>
      <c r="H55" s="314">
        <f t="shared" ref="H55:Q55" si="78">H56+H57</f>
        <v>0</v>
      </c>
      <c r="I55" s="314">
        <f t="shared" si="78"/>
        <v>10121617</v>
      </c>
      <c r="J55" s="314">
        <f t="shared" si="78"/>
        <v>4510328.3899999997</v>
      </c>
      <c r="K55" s="314">
        <f t="shared" si="78"/>
        <v>2566516</v>
      </c>
      <c r="L55" s="314">
        <f>L56+L57</f>
        <v>2232669</v>
      </c>
      <c r="M55" s="314">
        <f t="shared" si="78"/>
        <v>373674</v>
      </c>
      <c r="N55" s="314">
        <f t="shared" si="78"/>
        <v>0</v>
      </c>
      <c r="O55" s="314">
        <f t="shared" si="78"/>
        <v>531389</v>
      </c>
      <c r="P55" s="314">
        <f t="shared" si="78"/>
        <v>-92959</v>
      </c>
      <c r="Q55" s="314">
        <f t="shared" si="78"/>
        <v>0</v>
      </c>
      <c r="R55" s="297">
        <f t="shared" si="3"/>
        <v>10121617.390000001</v>
      </c>
      <c r="S55" s="295"/>
      <c r="T55" s="276">
        <f t="shared" si="6"/>
        <v>-0.39000000059604645</v>
      </c>
      <c r="U55" s="315">
        <f>SUM(U56:U57)</f>
        <v>2200710</v>
      </c>
      <c r="V55" s="316">
        <f t="shared" si="38"/>
        <v>-365806</v>
      </c>
      <c r="W55" s="316">
        <f t="shared" si="39"/>
        <v>1.1662218102339699</v>
      </c>
      <c r="X55" s="282"/>
      <c r="Y55" s="314">
        <f>Y56+Y57</f>
        <v>2818454</v>
      </c>
      <c r="Z55" s="314">
        <f>Z56+Z57</f>
        <v>2361457</v>
      </c>
      <c r="AA55" s="314">
        <f>AA56+AA57</f>
        <v>2086929.52</v>
      </c>
      <c r="AB55" s="317">
        <f>AA55/Y55</f>
        <v>0.74045186474570812</v>
      </c>
      <c r="AC55" s="317">
        <f t="shared" si="48"/>
        <v>0.91061127838169431</v>
      </c>
      <c r="AD55" s="318">
        <f t="shared" si="41"/>
        <v>3.135572084292486E-7</v>
      </c>
      <c r="AF55" s="276">
        <f t="shared" si="4"/>
        <v>251938</v>
      </c>
      <c r="AI55" s="314">
        <f>AI56+AI57</f>
        <v>2818454</v>
      </c>
      <c r="AJ55" s="282">
        <f t="shared" si="50"/>
        <v>251938</v>
      </c>
    </row>
    <row r="56" spans="1:37" ht="165.75">
      <c r="A56" s="311" t="s">
        <v>65</v>
      </c>
      <c r="B56" s="323" t="s">
        <v>774</v>
      </c>
      <c r="C56" s="313" t="s">
        <v>230</v>
      </c>
      <c r="D56" s="313" t="s">
        <v>290</v>
      </c>
      <c r="E56" s="313"/>
      <c r="F56" s="313" t="s">
        <v>725</v>
      </c>
      <c r="G56" s="314">
        <v>4216824</v>
      </c>
      <c r="H56" s="314">
        <v>0</v>
      </c>
      <c r="I56" s="314">
        <v>4216824</v>
      </c>
      <c r="J56" s="297">
        <v>729760</v>
      </c>
      <c r="K56" s="297">
        <v>1467307</v>
      </c>
      <c r="L56" s="298">
        <v>1912576</v>
      </c>
      <c r="M56" s="298">
        <v>160000</v>
      </c>
      <c r="N56" s="298">
        <v>0</v>
      </c>
      <c r="O56" s="297">
        <v>23423</v>
      </c>
      <c r="P56" s="297">
        <v>-76242</v>
      </c>
      <c r="Q56" s="297">
        <v>0</v>
      </c>
      <c r="R56" s="297">
        <f t="shared" si="3"/>
        <v>4216824</v>
      </c>
      <c r="S56" s="295"/>
      <c r="T56" s="276">
        <f t="shared" si="6"/>
        <v>0</v>
      </c>
      <c r="U56" s="315">
        <v>1795084</v>
      </c>
      <c r="V56" s="316">
        <f t="shared" si="38"/>
        <v>327777</v>
      </c>
      <c r="W56" s="316">
        <f t="shared" si="39"/>
        <v>0.81740297389982863</v>
      </c>
      <c r="X56" s="282"/>
      <c r="Y56" s="302">
        <v>1512594</v>
      </c>
      <c r="Z56" s="302">
        <v>1288324</v>
      </c>
      <c r="AA56" s="302">
        <v>1183258.3700000001</v>
      </c>
      <c r="AB56" s="317">
        <f t="shared" si="47"/>
        <v>0.78227096630027626</v>
      </c>
      <c r="AC56" s="317">
        <f t="shared" si="48"/>
        <v>0.97006004254942169</v>
      </c>
      <c r="AD56" s="318">
        <f t="shared" si="41"/>
        <v>6.0720049172434591E-7</v>
      </c>
      <c r="AF56" s="276">
        <f t="shared" si="4"/>
        <v>45287</v>
      </c>
      <c r="AI56" s="302">
        <v>1512594</v>
      </c>
      <c r="AJ56" s="282">
        <f t="shared" si="50"/>
        <v>45287</v>
      </c>
    </row>
    <row r="57" spans="1:37" ht="127.5">
      <c r="A57" s="311" t="s">
        <v>66</v>
      </c>
      <c r="B57" s="323" t="s">
        <v>775</v>
      </c>
      <c r="C57" s="313" t="s">
        <v>230</v>
      </c>
      <c r="D57" s="313" t="s">
        <v>290</v>
      </c>
      <c r="E57" s="313"/>
      <c r="F57" s="313" t="s">
        <v>776</v>
      </c>
      <c r="G57" s="327">
        <v>5904793</v>
      </c>
      <c r="H57" s="314">
        <v>0</v>
      </c>
      <c r="I57" s="327">
        <v>5904793</v>
      </c>
      <c r="J57" s="297">
        <v>3780568.3899999997</v>
      </c>
      <c r="K57" s="297">
        <v>1099209</v>
      </c>
      <c r="L57" s="298">
        <v>320093</v>
      </c>
      <c r="M57" s="298">
        <v>213674</v>
      </c>
      <c r="N57" s="298">
        <v>0</v>
      </c>
      <c r="O57" s="297">
        <v>507966</v>
      </c>
      <c r="P57" s="297">
        <v>-16717</v>
      </c>
      <c r="Q57" s="297">
        <v>0</v>
      </c>
      <c r="R57" s="297">
        <f t="shared" si="3"/>
        <v>5904793.3899999997</v>
      </c>
      <c r="S57" s="295"/>
      <c r="T57" s="276">
        <f t="shared" si="6"/>
        <v>-0.38999999966472387</v>
      </c>
      <c r="U57" s="315">
        <v>405626</v>
      </c>
      <c r="V57" s="316">
        <f t="shared" si="38"/>
        <v>-693583</v>
      </c>
      <c r="W57" s="316">
        <f t="shared" si="39"/>
        <v>2.709907648917969</v>
      </c>
      <c r="X57" s="282"/>
      <c r="Y57" s="302">
        <v>1305860</v>
      </c>
      <c r="Z57" s="302">
        <v>1073133</v>
      </c>
      <c r="AA57" s="302">
        <v>903671.15</v>
      </c>
      <c r="AB57" s="317">
        <f t="shared" si="47"/>
        <v>0.69201227543534527</v>
      </c>
      <c r="AC57" s="317">
        <f t="shared" si="48"/>
        <v>0.84175102997258511</v>
      </c>
      <c r="AD57" s="318">
        <f t="shared" si="41"/>
        <v>6.4485229271240872E-7</v>
      </c>
      <c r="AF57" s="276">
        <f t="shared" si="4"/>
        <v>206651</v>
      </c>
      <c r="AG57" s="256">
        <v>206651</v>
      </c>
      <c r="AI57" s="302">
        <v>1305860</v>
      </c>
      <c r="AJ57" s="282">
        <f t="shared" si="50"/>
        <v>206651</v>
      </c>
      <c r="AK57" s="256">
        <v>206651</v>
      </c>
    </row>
    <row r="58" spans="1:37" ht="63.75">
      <c r="A58" s="272" t="s">
        <v>777</v>
      </c>
      <c r="B58" s="310" t="s">
        <v>778</v>
      </c>
      <c r="C58" s="292" t="s">
        <v>230</v>
      </c>
      <c r="D58" s="292"/>
      <c r="E58" s="292"/>
      <c r="F58" s="292"/>
      <c r="G58" s="321">
        <f>G59+G76</f>
        <v>198980165.65000001</v>
      </c>
      <c r="H58" s="321">
        <f t="shared" ref="H58:Q58" si="79">H59+H76</f>
        <v>26978867.81377</v>
      </c>
      <c r="I58" s="321">
        <f t="shared" si="79"/>
        <v>225959032.65000001</v>
      </c>
      <c r="J58" s="321">
        <f t="shared" si="79"/>
        <v>144589308.70000014</v>
      </c>
      <c r="K58" s="321">
        <f t="shared" si="79"/>
        <v>27472444</v>
      </c>
      <c r="L58" s="321">
        <f t="shared" si="79"/>
        <v>31661494</v>
      </c>
      <c r="M58" s="321">
        <f t="shared" si="79"/>
        <v>12034086</v>
      </c>
      <c r="N58" s="321">
        <f t="shared" si="79"/>
        <v>3120542</v>
      </c>
      <c r="O58" s="321">
        <f t="shared" si="79"/>
        <v>673409</v>
      </c>
      <c r="P58" s="321">
        <f t="shared" si="79"/>
        <v>2615733</v>
      </c>
      <c r="Q58" s="321">
        <f t="shared" si="79"/>
        <v>3726681</v>
      </c>
      <c r="R58" s="274">
        <f t="shared" si="3"/>
        <v>225893697.70000014</v>
      </c>
      <c r="S58" s="295"/>
      <c r="T58" s="276">
        <f t="shared" si="6"/>
        <v>65334.94999986887</v>
      </c>
      <c r="U58" s="277">
        <f>U59+U76</f>
        <v>13110155</v>
      </c>
      <c r="V58" s="277">
        <f t="shared" si="38"/>
        <v>-14362289</v>
      </c>
      <c r="W58" s="277">
        <f t="shared" si="39"/>
        <v>2.0955087106140242</v>
      </c>
      <c r="X58" s="282"/>
      <c r="Y58" s="321">
        <f t="shared" ref="Y58:AA58" si="80">Y59+Y76</f>
        <v>28080242</v>
      </c>
      <c r="Z58" s="321">
        <f t="shared" si="80"/>
        <v>21037905</v>
      </c>
      <c r="AA58" s="321">
        <f t="shared" si="80"/>
        <v>20463563.340000004</v>
      </c>
      <c r="AB58" s="296">
        <f t="shared" si="47"/>
        <v>0.72875309764068286</v>
      </c>
      <c r="AC58" s="296">
        <f t="shared" si="48"/>
        <v>0.97835495862179533</v>
      </c>
      <c r="AD58" s="293">
        <f t="shared" si="41"/>
        <v>3.4640003253208094E-8</v>
      </c>
      <c r="AF58" s="276">
        <f t="shared" si="4"/>
        <v>607798</v>
      </c>
      <c r="AI58" s="321">
        <f t="shared" ref="AI58" si="81">AI59+AI76</f>
        <v>28080242</v>
      </c>
      <c r="AJ58" s="282">
        <f t="shared" si="50"/>
        <v>607798</v>
      </c>
    </row>
    <row r="59" spans="1:37" ht="25.5">
      <c r="A59" s="272" t="s">
        <v>293</v>
      </c>
      <c r="B59" s="310" t="s">
        <v>779</v>
      </c>
      <c r="C59" s="292" t="s">
        <v>230</v>
      </c>
      <c r="D59" s="292"/>
      <c r="E59" s="292"/>
      <c r="F59" s="292"/>
      <c r="G59" s="321">
        <f>G60+G66+G67+G70+G71+G72+G73+G74+G75</f>
        <v>188881910.65000001</v>
      </c>
      <c r="H59" s="321">
        <f t="shared" ref="H59:Q59" si="82">H60+H66+H67+H70+H71+H72+H73+H74+H75</f>
        <v>25778867.81377</v>
      </c>
      <c r="I59" s="321">
        <f t="shared" si="82"/>
        <v>214660777.65000001</v>
      </c>
      <c r="J59" s="321">
        <f t="shared" si="82"/>
        <v>137624840.70000014</v>
      </c>
      <c r="K59" s="321">
        <f t="shared" si="82"/>
        <v>25572444</v>
      </c>
      <c r="L59" s="321">
        <f t="shared" si="82"/>
        <v>30325110</v>
      </c>
      <c r="M59" s="321">
        <f t="shared" si="82"/>
        <v>12034086</v>
      </c>
      <c r="N59" s="321">
        <f t="shared" si="82"/>
        <v>3120542</v>
      </c>
      <c r="O59" s="321">
        <f t="shared" si="82"/>
        <v>673409</v>
      </c>
      <c r="P59" s="321">
        <f t="shared" si="82"/>
        <v>1415733</v>
      </c>
      <c r="Q59" s="321">
        <f t="shared" si="82"/>
        <v>3726681</v>
      </c>
      <c r="R59" s="274">
        <f t="shared" si="3"/>
        <v>214492845.70000014</v>
      </c>
      <c r="S59" s="295"/>
      <c r="T59" s="276">
        <f t="shared" si="6"/>
        <v>167931.94999986887</v>
      </c>
      <c r="U59" s="277">
        <f>U60+U66+U67+U70+U71+U72+U73+U74+U75</f>
        <v>11210155</v>
      </c>
      <c r="V59" s="277">
        <f t="shared" si="38"/>
        <v>-14362289</v>
      </c>
      <c r="W59" s="277">
        <f t="shared" si="39"/>
        <v>2.2811855857479224</v>
      </c>
      <c r="X59" s="282"/>
      <c r="Y59" s="321">
        <f>Y60+Y66+Y67+Y70+Y71+Y72+Y73+Y74+Y75</f>
        <v>26180242</v>
      </c>
      <c r="Z59" s="321">
        <f t="shared" ref="Z59:AA59" si="83">Z60+Z66+Z67+Z70+Z71+Z72+Z73+Z74+Z75</f>
        <v>19528281</v>
      </c>
      <c r="AA59" s="321">
        <f t="shared" si="83"/>
        <v>19351881.510000002</v>
      </c>
      <c r="AB59" s="296">
        <f t="shared" si="47"/>
        <v>0.73917886282334599</v>
      </c>
      <c r="AC59" s="296">
        <f t="shared" si="48"/>
        <v>0.97678409542585587</v>
      </c>
      <c r="AD59" s="293">
        <f t="shared" si="41"/>
        <v>3.7851711721238851E-8</v>
      </c>
      <c r="AF59" s="276">
        <f t="shared" si="4"/>
        <v>607798</v>
      </c>
      <c r="AI59" s="321">
        <f>AI60+AI66+AI67+AI70+AI71+AI72+AI73+AI74+AI75</f>
        <v>26180242</v>
      </c>
      <c r="AJ59" s="282">
        <f t="shared" si="50"/>
        <v>607798</v>
      </c>
    </row>
    <row r="60" spans="1:37" ht="114.75">
      <c r="A60" s="311" t="s">
        <v>295</v>
      </c>
      <c r="B60" s="312" t="s">
        <v>780</v>
      </c>
      <c r="C60" s="313" t="s">
        <v>230</v>
      </c>
      <c r="D60" s="313"/>
      <c r="E60" s="313"/>
      <c r="F60" s="313"/>
      <c r="G60" s="314">
        <f>G61+G62+G63+G64+G65</f>
        <v>103338140.67</v>
      </c>
      <c r="H60" s="314">
        <f t="shared" ref="H60:Q60" si="84">H61+H62+H63+H64+H65</f>
        <v>10071088.81377</v>
      </c>
      <c r="I60" s="314">
        <f t="shared" si="84"/>
        <v>113409228.67</v>
      </c>
      <c r="J60" s="314">
        <f t="shared" si="84"/>
        <v>60475234.650000118</v>
      </c>
      <c r="K60" s="314">
        <f t="shared" si="84"/>
        <v>14077206</v>
      </c>
      <c r="L60" s="314">
        <f t="shared" si="84"/>
        <v>19074182</v>
      </c>
      <c r="M60" s="314">
        <f t="shared" si="84"/>
        <v>9485913</v>
      </c>
      <c r="N60" s="314">
        <f t="shared" si="84"/>
        <v>3120542</v>
      </c>
      <c r="O60" s="314">
        <f t="shared" si="84"/>
        <v>596120</v>
      </c>
      <c r="P60" s="314">
        <f t="shared" si="84"/>
        <v>1413001</v>
      </c>
      <c r="Q60" s="314">
        <f t="shared" si="84"/>
        <v>3726681</v>
      </c>
      <c r="R60" s="297">
        <f t="shared" si="3"/>
        <v>111968879.65000013</v>
      </c>
      <c r="S60" s="295"/>
      <c r="T60" s="276">
        <f t="shared" si="6"/>
        <v>1440349.0199998766</v>
      </c>
      <c r="U60" s="330">
        <f t="shared" ref="U60" si="85">SUM(U61:U65)</f>
        <v>10098153</v>
      </c>
      <c r="V60" s="316">
        <f t="shared" si="38"/>
        <v>-3979053</v>
      </c>
      <c r="W60" s="316">
        <f t="shared" si="39"/>
        <v>1.3940377017460519</v>
      </c>
      <c r="X60" s="282"/>
      <c r="Y60" s="314">
        <f>Y61+Y62+Y63+Y64+Y65</f>
        <v>14604982</v>
      </c>
      <c r="Z60" s="314">
        <f t="shared" ref="Z60:AA60" si="86">Z61+Z62+Z63+Z64+Z65</f>
        <v>10722020</v>
      </c>
      <c r="AA60" s="314">
        <f t="shared" si="86"/>
        <v>10583915.530000001</v>
      </c>
      <c r="AB60" s="317">
        <f t="shared" si="47"/>
        <v>0.72467843712508517</v>
      </c>
      <c r="AC60" s="317">
        <f t="shared" si="48"/>
        <v>0.96386328993763903</v>
      </c>
      <c r="AD60" s="318">
        <f t="shared" si="41"/>
        <v>6.7587864705072852E-8</v>
      </c>
      <c r="AF60" s="276">
        <f t="shared" si="4"/>
        <v>527776</v>
      </c>
      <c r="AI60" s="314">
        <f>AI61+AI62+AI63+AI64+AI65</f>
        <v>14604982</v>
      </c>
      <c r="AJ60" s="282">
        <f t="shared" si="50"/>
        <v>527776</v>
      </c>
    </row>
    <row r="61" spans="1:37" ht="89.25">
      <c r="A61" s="311" t="s">
        <v>33</v>
      </c>
      <c r="B61" s="323" t="s">
        <v>781</v>
      </c>
      <c r="C61" s="313" t="s">
        <v>230</v>
      </c>
      <c r="D61" s="313" t="s">
        <v>782</v>
      </c>
      <c r="E61" s="313"/>
      <c r="F61" s="313" t="s">
        <v>783</v>
      </c>
      <c r="G61" s="314">
        <v>18120843.920000002</v>
      </c>
      <c r="H61" s="314">
        <v>2500000</v>
      </c>
      <c r="I61" s="314">
        <v>20620843.920000002</v>
      </c>
      <c r="J61" s="297">
        <v>2958499.4299999997</v>
      </c>
      <c r="K61" s="297">
        <v>4801241</v>
      </c>
      <c r="L61" s="298">
        <v>6406378</v>
      </c>
      <c r="M61" s="298">
        <v>1228045</v>
      </c>
      <c r="N61" s="298">
        <v>0</v>
      </c>
      <c r="O61" s="297">
        <v>0</v>
      </c>
      <c r="P61" s="297">
        <v>0</v>
      </c>
      <c r="Q61" s="297">
        <v>2726681</v>
      </c>
      <c r="R61" s="297">
        <f>J61+K61+L61+M61+N61+O61+P61+Q61</f>
        <v>18120844.43</v>
      </c>
      <c r="S61" s="325" t="s">
        <v>784</v>
      </c>
      <c r="T61" s="276">
        <f t="shared" si="6"/>
        <v>2499999.4900000021</v>
      </c>
      <c r="U61" s="315">
        <f>4534332+794685</f>
        <v>5329017</v>
      </c>
      <c r="V61" s="316">
        <f t="shared" si="38"/>
        <v>527776</v>
      </c>
      <c r="W61" s="316">
        <f t="shared" si="39"/>
        <v>0.90096184718494987</v>
      </c>
      <c r="X61" s="282"/>
      <c r="Y61" s="302">
        <v>5329017</v>
      </c>
      <c r="Z61" s="302">
        <v>3902152</v>
      </c>
      <c r="AA61" s="302">
        <v>3764048.99</v>
      </c>
      <c r="AB61" s="317">
        <f t="shared" si="47"/>
        <v>0.70633082799323033</v>
      </c>
      <c r="AC61" s="317">
        <f t="shared" si="48"/>
        <v>0.90096184718494987</v>
      </c>
      <c r="AD61" s="318">
        <f t="shared" si="41"/>
        <v>1.8101058800201281E-7</v>
      </c>
      <c r="AF61" s="276">
        <f t="shared" si="4"/>
        <v>527776</v>
      </c>
      <c r="AI61" s="302">
        <v>5329017</v>
      </c>
      <c r="AJ61" s="282">
        <f t="shared" si="50"/>
        <v>527776</v>
      </c>
    </row>
    <row r="62" spans="1:37" ht="51">
      <c r="A62" s="311" t="s">
        <v>22</v>
      </c>
      <c r="B62" s="323" t="s">
        <v>785</v>
      </c>
      <c r="C62" s="313" t="s">
        <v>230</v>
      </c>
      <c r="D62" s="313" t="s">
        <v>762</v>
      </c>
      <c r="E62" s="313"/>
      <c r="F62" s="313" t="s">
        <v>786</v>
      </c>
      <c r="G62" s="314">
        <v>75810889</v>
      </c>
      <c r="H62" s="314">
        <v>7571088.8137699999</v>
      </c>
      <c r="I62" s="314">
        <v>83381977</v>
      </c>
      <c r="J62" s="297">
        <v>51428936.980000101</v>
      </c>
      <c r="K62" s="297">
        <v>9275965</v>
      </c>
      <c r="L62" s="331">
        <v>12667804</v>
      </c>
      <c r="M62" s="298">
        <v>8257868</v>
      </c>
      <c r="N62" s="298">
        <v>3120542</v>
      </c>
      <c r="O62" s="297">
        <v>96120</v>
      </c>
      <c r="P62" s="297">
        <v>-86999</v>
      </c>
      <c r="Q62" s="297">
        <v>0</v>
      </c>
      <c r="R62" s="297">
        <f t="shared" si="3"/>
        <v>84760236.980000108</v>
      </c>
      <c r="S62" s="295" t="s">
        <v>787</v>
      </c>
      <c r="T62" s="276">
        <f t="shared" si="6"/>
        <v>-1378259.9800001085</v>
      </c>
      <c r="U62" s="315">
        <v>4769136</v>
      </c>
      <c r="V62" s="316">
        <f t="shared" si="38"/>
        <v>-4506829</v>
      </c>
      <c r="W62" s="316">
        <f t="shared" si="39"/>
        <v>1.9449990522392315</v>
      </c>
      <c r="X62" s="282"/>
      <c r="Y62" s="302">
        <v>9275965</v>
      </c>
      <c r="Z62" s="302">
        <v>6819868</v>
      </c>
      <c r="AA62" s="302">
        <v>6819866.54</v>
      </c>
      <c r="AB62" s="317">
        <f t="shared" si="47"/>
        <v>0.73521908933464064</v>
      </c>
      <c r="AC62" s="317">
        <f t="shared" si="48"/>
        <v>1</v>
      </c>
      <c r="AD62" s="318">
        <f t="shared" si="41"/>
        <v>1.0780547209046284E-7</v>
      </c>
      <c r="AF62" s="276">
        <f t="shared" si="4"/>
        <v>0</v>
      </c>
      <c r="AI62" s="302">
        <v>9275965</v>
      </c>
      <c r="AJ62" s="282">
        <f t="shared" si="50"/>
        <v>0</v>
      </c>
    </row>
    <row r="63" spans="1:37" ht="140.25">
      <c r="A63" s="311" t="s">
        <v>34</v>
      </c>
      <c r="B63" s="323" t="s">
        <v>788</v>
      </c>
      <c r="C63" s="313" t="s">
        <v>230</v>
      </c>
      <c r="D63" s="313" t="s">
        <v>782</v>
      </c>
      <c r="E63" s="313"/>
      <c r="F63" s="313" t="s">
        <v>789</v>
      </c>
      <c r="G63" s="314">
        <v>2398644.75</v>
      </c>
      <c r="H63" s="314">
        <v>0</v>
      </c>
      <c r="I63" s="314">
        <v>2398644.75</v>
      </c>
      <c r="J63" s="297">
        <v>1992268.84</v>
      </c>
      <c r="K63" s="297">
        <v>0</v>
      </c>
      <c r="L63" s="298">
        <v>0</v>
      </c>
      <c r="M63" s="298">
        <v>0</v>
      </c>
      <c r="N63" s="298">
        <v>0</v>
      </c>
      <c r="O63" s="297">
        <v>0</v>
      </c>
      <c r="P63" s="297">
        <v>0</v>
      </c>
      <c r="Q63" s="297">
        <v>0</v>
      </c>
      <c r="R63" s="297">
        <f t="shared" si="3"/>
        <v>1992268.84</v>
      </c>
      <c r="S63" s="325" t="s">
        <v>790</v>
      </c>
      <c r="T63" s="276">
        <f t="shared" si="6"/>
        <v>406375.90999999992</v>
      </c>
      <c r="U63" s="315">
        <v>0</v>
      </c>
      <c r="V63" s="316">
        <f t="shared" si="38"/>
        <v>0</v>
      </c>
      <c r="W63" s="316" t="e">
        <f t="shared" si="39"/>
        <v>#DIV/0!</v>
      </c>
      <c r="X63" s="282"/>
      <c r="Y63" s="302">
        <v>0</v>
      </c>
      <c r="Z63" s="302">
        <v>0</v>
      </c>
      <c r="AA63" s="302">
        <v>0</v>
      </c>
      <c r="AB63" s="317" t="e">
        <f t="shared" si="47"/>
        <v>#DIV/0!</v>
      </c>
      <c r="AC63" s="317" t="e">
        <f t="shared" si="48"/>
        <v>#DIV/0!</v>
      </c>
      <c r="AD63" s="318" t="e">
        <f t="shared" si="41"/>
        <v>#DIV/0!</v>
      </c>
      <c r="AF63" s="276">
        <f t="shared" si="4"/>
        <v>0</v>
      </c>
      <c r="AI63" s="302">
        <v>0</v>
      </c>
      <c r="AJ63" s="282">
        <f t="shared" si="50"/>
        <v>0</v>
      </c>
    </row>
    <row r="64" spans="1:37" ht="51">
      <c r="A64" s="311" t="s">
        <v>152</v>
      </c>
      <c r="B64" s="323" t="s">
        <v>791</v>
      </c>
      <c r="C64" s="313" t="s">
        <v>230</v>
      </c>
      <c r="D64" s="313" t="s">
        <v>762</v>
      </c>
      <c r="E64" s="313"/>
      <c r="F64" s="313" t="s">
        <v>786</v>
      </c>
      <c r="G64" s="314">
        <v>4007763</v>
      </c>
      <c r="H64" s="314">
        <v>0</v>
      </c>
      <c r="I64" s="314">
        <v>4007763</v>
      </c>
      <c r="J64" s="297">
        <v>4095529.4000000102</v>
      </c>
      <c r="K64" s="297">
        <v>0</v>
      </c>
      <c r="L64" s="298">
        <v>0</v>
      </c>
      <c r="M64" s="298">
        <v>0</v>
      </c>
      <c r="N64" s="298">
        <v>0</v>
      </c>
      <c r="O64" s="297">
        <v>0</v>
      </c>
      <c r="P64" s="297">
        <v>0</v>
      </c>
      <c r="Q64" s="297">
        <v>0</v>
      </c>
      <c r="R64" s="297">
        <f t="shared" si="3"/>
        <v>4095529.4000000102</v>
      </c>
      <c r="S64" s="295" t="s">
        <v>787</v>
      </c>
      <c r="T64" s="276">
        <f t="shared" si="6"/>
        <v>-87766.400000010151</v>
      </c>
      <c r="U64" s="315">
        <v>0</v>
      </c>
      <c r="V64" s="316">
        <f t="shared" si="38"/>
        <v>0</v>
      </c>
      <c r="W64" s="316" t="e">
        <f t="shared" si="39"/>
        <v>#DIV/0!</v>
      </c>
      <c r="X64" s="282"/>
      <c r="Y64" s="302">
        <v>0</v>
      </c>
      <c r="Z64" s="302">
        <v>0</v>
      </c>
      <c r="AA64" s="302">
        <v>0</v>
      </c>
      <c r="AB64" s="317" t="e">
        <f t="shared" si="47"/>
        <v>#DIV/0!</v>
      </c>
      <c r="AC64" s="317" t="e">
        <f t="shared" si="48"/>
        <v>#DIV/0!</v>
      </c>
      <c r="AD64" s="318" t="e">
        <f t="shared" si="41"/>
        <v>#DIV/0!</v>
      </c>
      <c r="AF64" s="276">
        <f t="shared" si="4"/>
        <v>0</v>
      </c>
      <c r="AI64" s="302">
        <v>0</v>
      </c>
      <c r="AJ64" s="282">
        <f t="shared" si="50"/>
        <v>0</v>
      </c>
    </row>
    <row r="65" spans="1:36" ht="76.5">
      <c r="A65" s="311" t="s">
        <v>154</v>
      </c>
      <c r="B65" s="323" t="s">
        <v>792</v>
      </c>
      <c r="C65" s="313" t="s">
        <v>230</v>
      </c>
      <c r="D65" s="332" t="s">
        <v>782</v>
      </c>
      <c r="E65" s="313"/>
      <c r="F65" s="313" t="s">
        <v>793</v>
      </c>
      <c r="G65" s="314">
        <v>3000000</v>
      </c>
      <c r="H65" s="314">
        <v>0</v>
      </c>
      <c r="I65" s="314">
        <v>3000000</v>
      </c>
      <c r="J65" s="333">
        <v>0</v>
      </c>
      <c r="K65" s="333">
        <v>0</v>
      </c>
      <c r="L65" s="334">
        <v>0</v>
      </c>
      <c r="M65" s="334">
        <v>0</v>
      </c>
      <c r="N65" s="334">
        <v>0</v>
      </c>
      <c r="O65" s="333">
        <v>500000</v>
      </c>
      <c r="P65" s="333">
        <v>1500000</v>
      </c>
      <c r="Q65" s="333">
        <v>1000000</v>
      </c>
      <c r="R65" s="333">
        <f t="shared" si="3"/>
        <v>3000000</v>
      </c>
      <c r="S65" s="335" t="s">
        <v>794</v>
      </c>
      <c r="T65" s="276">
        <f t="shared" si="6"/>
        <v>0</v>
      </c>
      <c r="U65" s="315">
        <v>0</v>
      </c>
      <c r="V65" s="316">
        <f t="shared" si="38"/>
        <v>0</v>
      </c>
      <c r="W65" s="316" t="e">
        <f t="shared" si="39"/>
        <v>#DIV/0!</v>
      </c>
      <c r="X65" s="282"/>
      <c r="Y65" s="333">
        <v>0</v>
      </c>
      <c r="Z65" s="333">
        <v>0</v>
      </c>
      <c r="AA65" s="333">
        <v>0</v>
      </c>
      <c r="AB65" s="317" t="e">
        <f t="shared" si="47"/>
        <v>#DIV/0!</v>
      </c>
      <c r="AC65" s="317" t="e">
        <f t="shared" si="48"/>
        <v>#DIV/0!</v>
      </c>
      <c r="AD65" s="318" t="e">
        <f t="shared" si="41"/>
        <v>#DIV/0!</v>
      </c>
      <c r="AF65" s="276">
        <f t="shared" si="4"/>
        <v>0</v>
      </c>
      <c r="AI65" s="333">
        <v>0</v>
      </c>
      <c r="AJ65" s="282">
        <f t="shared" si="50"/>
        <v>0</v>
      </c>
    </row>
    <row r="66" spans="1:36" ht="51">
      <c r="A66" s="311" t="s">
        <v>35</v>
      </c>
      <c r="B66" s="312" t="s">
        <v>795</v>
      </c>
      <c r="C66" s="313" t="s">
        <v>230</v>
      </c>
      <c r="D66" s="313" t="s">
        <v>782</v>
      </c>
      <c r="E66" s="313"/>
      <c r="F66" s="313" t="s">
        <v>796</v>
      </c>
      <c r="G66" s="314">
        <v>14315239</v>
      </c>
      <c r="H66" s="314">
        <v>0</v>
      </c>
      <c r="I66" s="314">
        <v>14315239</v>
      </c>
      <c r="J66" s="297">
        <v>14315238</v>
      </c>
      <c r="K66" s="297">
        <v>0</v>
      </c>
      <c r="L66" s="298">
        <v>0</v>
      </c>
      <c r="M66" s="298">
        <v>0</v>
      </c>
      <c r="N66" s="298">
        <v>0</v>
      </c>
      <c r="O66" s="297">
        <v>0</v>
      </c>
      <c r="P66" s="297">
        <v>0</v>
      </c>
      <c r="Q66" s="297">
        <v>0</v>
      </c>
      <c r="R66" s="297">
        <f t="shared" si="3"/>
        <v>14315238</v>
      </c>
      <c r="S66" s="295"/>
      <c r="T66" s="276">
        <f t="shared" si="6"/>
        <v>1</v>
      </c>
      <c r="U66" s="315">
        <v>0</v>
      </c>
      <c r="V66" s="316">
        <f t="shared" si="38"/>
        <v>0</v>
      </c>
      <c r="W66" s="316" t="e">
        <f t="shared" si="39"/>
        <v>#DIV/0!</v>
      </c>
      <c r="X66" s="282"/>
      <c r="Y66" s="302">
        <v>0</v>
      </c>
      <c r="Z66" s="302">
        <v>0</v>
      </c>
      <c r="AA66" s="302">
        <v>0</v>
      </c>
      <c r="AB66" s="317" t="e">
        <f t="shared" si="47"/>
        <v>#DIV/0!</v>
      </c>
      <c r="AC66" s="317" t="e">
        <f t="shared" si="48"/>
        <v>#DIV/0!</v>
      </c>
      <c r="AD66" s="318" t="e">
        <f t="shared" si="41"/>
        <v>#DIV/0!</v>
      </c>
      <c r="AF66" s="276">
        <f t="shared" si="4"/>
        <v>0</v>
      </c>
      <c r="AI66" s="302">
        <v>0</v>
      </c>
      <c r="AJ66" s="282">
        <f t="shared" si="50"/>
        <v>0</v>
      </c>
    </row>
    <row r="67" spans="1:36" ht="102">
      <c r="A67" s="311" t="s">
        <v>307</v>
      </c>
      <c r="B67" s="312" t="s">
        <v>797</v>
      </c>
      <c r="C67" s="313" t="s">
        <v>230</v>
      </c>
      <c r="D67" s="313" t="s">
        <v>762</v>
      </c>
      <c r="E67" s="313"/>
      <c r="F67" s="313"/>
      <c r="G67" s="314">
        <f>G68+G69</f>
        <v>7300105.8599999994</v>
      </c>
      <c r="H67" s="314">
        <f t="shared" ref="H67:Q67" si="87">H68+H69</f>
        <v>0</v>
      </c>
      <c r="I67" s="314">
        <f t="shared" si="87"/>
        <v>7300105.8599999994</v>
      </c>
      <c r="J67" s="314">
        <f t="shared" si="87"/>
        <v>6696939.0899999999</v>
      </c>
      <c r="K67" s="314">
        <f t="shared" si="87"/>
        <v>130905</v>
      </c>
      <c r="L67" s="314">
        <f t="shared" si="87"/>
        <v>0</v>
      </c>
      <c r="M67" s="314">
        <f t="shared" si="87"/>
        <v>573133</v>
      </c>
      <c r="N67" s="314">
        <f t="shared" si="87"/>
        <v>0</v>
      </c>
      <c r="O67" s="314">
        <f t="shared" si="87"/>
        <v>0</v>
      </c>
      <c r="P67" s="314">
        <f t="shared" si="87"/>
        <v>0</v>
      </c>
      <c r="Q67" s="314">
        <f t="shared" si="87"/>
        <v>0</v>
      </c>
      <c r="R67" s="297">
        <f t="shared" si="3"/>
        <v>7400977.0899999999</v>
      </c>
      <c r="S67" s="295"/>
      <c r="T67" s="276">
        <f t="shared" si="6"/>
        <v>-100871.23000000045</v>
      </c>
      <c r="U67" s="315">
        <f>SUM(U68:U69)</f>
        <v>130906</v>
      </c>
      <c r="V67" s="316">
        <f t="shared" si="38"/>
        <v>1</v>
      </c>
      <c r="W67" s="316">
        <f t="shared" si="39"/>
        <v>0.99999236093074417</v>
      </c>
      <c r="X67" s="282"/>
      <c r="Y67" s="314">
        <f>Y68+Y69</f>
        <v>130906</v>
      </c>
      <c r="Z67" s="314">
        <f t="shared" ref="Z67:AA67" si="88">Z68+Z69</f>
        <v>130906</v>
      </c>
      <c r="AA67" s="314">
        <f t="shared" si="88"/>
        <v>130905.44</v>
      </c>
      <c r="AB67" s="317">
        <f t="shared" si="47"/>
        <v>0.99999572212121679</v>
      </c>
      <c r="AC67" s="317">
        <f t="shared" si="48"/>
        <v>0.99999236093074417</v>
      </c>
      <c r="AD67" s="318">
        <f t="shared" si="41"/>
        <v>7.6390365767895801E-6</v>
      </c>
      <c r="AF67" s="276">
        <f t="shared" si="4"/>
        <v>1</v>
      </c>
      <c r="AI67" s="314">
        <f>AI68+AI69</f>
        <v>130906</v>
      </c>
      <c r="AJ67" s="282">
        <f t="shared" si="50"/>
        <v>1</v>
      </c>
    </row>
    <row r="68" spans="1:36" ht="89.25">
      <c r="A68" s="311" t="s">
        <v>153</v>
      </c>
      <c r="B68" s="323" t="s">
        <v>798</v>
      </c>
      <c r="C68" s="313" t="s">
        <v>230</v>
      </c>
      <c r="D68" s="313" t="s">
        <v>762</v>
      </c>
      <c r="E68" s="313"/>
      <c r="F68" s="313" t="s">
        <v>744</v>
      </c>
      <c r="G68" s="314">
        <v>611457.76</v>
      </c>
      <c r="H68" s="314">
        <v>0</v>
      </c>
      <c r="I68" s="314">
        <v>611457.76</v>
      </c>
      <c r="J68" s="297">
        <v>718063</v>
      </c>
      <c r="K68" s="297">
        <v>0</v>
      </c>
      <c r="L68" s="298">
        <v>0</v>
      </c>
      <c r="M68" s="298">
        <v>0</v>
      </c>
      <c r="N68" s="298">
        <v>0</v>
      </c>
      <c r="O68" s="297">
        <v>0</v>
      </c>
      <c r="P68" s="297">
        <v>0</v>
      </c>
      <c r="Q68" s="297">
        <v>0</v>
      </c>
      <c r="R68" s="297">
        <f t="shared" si="3"/>
        <v>718063</v>
      </c>
      <c r="S68" s="295" t="s">
        <v>787</v>
      </c>
      <c r="T68" s="276">
        <f t="shared" si="6"/>
        <v>-106605.23999999999</v>
      </c>
      <c r="U68" s="315">
        <v>0</v>
      </c>
      <c r="V68" s="316">
        <f t="shared" si="38"/>
        <v>0</v>
      </c>
      <c r="W68" s="316" t="e">
        <f t="shared" si="39"/>
        <v>#DIV/0!</v>
      </c>
      <c r="X68" s="282"/>
      <c r="Y68" s="302">
        <v>0</v>
      </c>
      <c r="Z68" s="302">
        <v>0</v>
      </c>
      <c r="AA68" s="302">
        <v>0</v>
      </c>
      <c r="AB68" s="317" t="e">
        <f t="shared" si="47"/>
        <v>#DIV/0!</v>
      </c>
      <c r="AC68" s="317" t="e">
        <f t="shared" si="48"/>
        <v>#DIV/0!</v>
      </c>
      <c r="AD68" s="318" t="e">
        <f t="shared" si="41"/>
        <v>#DIV/0!</v>
      </c>
      <c r="AF68" s="276">
        <f t="shared" si="4"/>
        <v>0</v>
      </c>
      <c r="AI68" s="302">
        <v>0</v>
      </c>
      <c r="AJ68" s="282">
        <f t="shared" si="50"/>
        <v>0</v>
      </c>
    </row>
    <row r="69" spans="1:36" ht="102">
      <c r="A69" s="311" t="s">
        <v>23</v>
      </c>
      <c r="B69" s="323" t="s">
        <v>799</v>
      </c>
      <c r="C69" s="313" t="s">
        <v>230</v>
      </c>
      <c r="D69" s="313" t="s">
        <v>762</v>
      </c>
      <c r="E69" s="313"/>
      <c r="F69" s="313" t="s">
        <v>800</v>
      </c>
      <c r="G69" s="314">
        <v>6688648.0999999996</v>
      </c>
      <c r="H69" s="314">
        <v>0</v>
      </c>
      <c r="I69" s="314">
        <v>6688648.0999999996</v>
      </c>
      <c r="J69" s="297">
        <v>5978876.0899999999</v>
      </c>
      <c r="K69" s="297">
        <v>130905</v>
      </c>
      <c r="L69" s="298">
        <v>0</v>
      </c>
      <c r="M69" s="298">
        <v>573133</v>
      </c>
      <c r="N69" s="298">
        <v>0</v>
      </c>
      <c r="O69" s="297">
        <v>0</v>
      </c>
      <c r="P69" s="297">
        <v>0</v>
      </c>
      <c r="Q69" s="297">
        <v>0</v>
      </c>
      <c r="R69" s="297">
        <f>J69+K69+L69+M69+N69+O69+P69+Q69</f>
        <v>6682914.0899999999</v>
      </c>
      <c r="S69" s="295" t="s">
        <v>801</v>
      </c>
      <c r="T69" s="276">
        <f t="shared" si="6"/>
        <v>5734.0099999997765</v>
      </c>
      <c r="U69" s="315">
        <f>433519-198385-105835+1607</f>
        <v>130906</v>
      </c>
      <c r="V69" s="316">
        <f t="shared" si="38"/>
        <v>1</v>
      </c>
      <c r="W69" s="316">
        <f t="shared" si="39"/>
        <v>0.99999236093074417</v>
      </c>
      <c r="X69" s="282"/>
      <c r="Y69" s="302">
        <v>130906</v>
      </c>
      <c r="Z69" s="302">
        <v>130906</v>
      </c>
      <c r="AA69" s="302">
        <v>130905.44</v>
      </c>
      <c r="AB69" s="317">
        <f t="shared" si="47"/>
        <v>0.99999572212121679</v>
      </c>
      <c r="AC69" s="317">
        <f t="shared" si="48"/>
        <v>0.99999236093074417</v>
      </c>
      <c r="AD69" s="318">
        <f t="shared" si="41"/>
        <v>7.6390365767895801E-6</v>
      </c>
      <c r="AF69" s="276">
        <f t="shared" si="4"/>
        <v>1</v>
      </c>
      <c r="AI69" s="302">
        <v>130906</v>
      </c>
      <c r="AJ69" s="282">
        <f t="shared" si="50"/>
        <v>1</v>
      </c>
    </row>
    <row r="70" spans="1:36" ht="76.5">
      <c r="A70" s="311" t="s">
        <v>24</v>
      </c>
      <c r="B70" s="312" t="s">
        <v>802</v>
      </c>
      <c r="C70" s="313" t="s">
        <v>230</v>
      </c>
      <c r="D70" s="313" t="s">
        <v>762</v>
      </c>
      <c r="E70" s="313"/>
      <c r="F70" s="313" t="s">
        <v>744</v>
      </c>
      <c r="G70" s="314">
        <v>2318345.88</v>
      </c>
      <c r="H70" s="314">
        <v>0</v>
      </c>
      <c r="I70" s="314">
        <v>2318345.88</v>
      </c>
      <c r="J70" s="297">
        <v>1601943</v>
      </c>
      <c r="K70" s="297">
        <v>465728</v>
      </c>
      <c r="L70" s="298">
        <v>452239</v>
      </c>
      <c r="M70" s="298">
        <v>0</v>
      </c>
      <c r="N70" s="298">
        <v>0</v>
      </c>
      <c r="O70" s="297">
        <v>37000</v>
      </c>
      <c r="P70" s="297">
        <v>0</v>
      </c>
      <c r="Q70" s="297">
        <v>0</v>
      </c>
      <c r="R70" s="297">
        <f t="shared" si="3"/>
        <v>2556910</v>
      </c>
      <c r="S70" s="295" t="s">
        <v>803</v>
      </c>
      <c r="T70" s="276">
        <f t="shared" si="6"/>
        <v>-238564.12000000011</v>
      </c>
      <c r="U70" s="315">
        <f>566229</f>
        <v>566229</v>
      </c>
      <c r="V70" s="316">
        <f t="shared" si="38"/>
        <v>100501</v>
      </c>
      <c r="W70" s="316">
        <f t="shared" si="39"/>
        <v>0.8225082078099144</v>
      </c>
      <c r="X70" s="282"/>
      <c r="Y70" s="302">
        <v>502728</v>
      </c>
      <c r="Z70" s="302">
        <v>285299</v>
      </c>
      <c r="AA70" s="302">
        <v>285297.18</v>
      </c>
      <c r="AB70" s="317">
        <f t="shared" si="47"/>
        <v>0.56749809041867572</v>
      </c>
      <c r="AC70" s="317">
        <f t="shared" si="48"/>
        <v>0.92640155312614381</v>
      </c>
      <c r="AD70" s="318">
        <f t="shared" si="41"/>
        <v>1.9891345234952654E-6</v>
      </c>
      <c r="AF70" s="276">
        <f t="shared" si="4"/>
        <v>37000</v>
      </c>
      <c r="AI70" s="302">
        <v>502728</v>
      </c>
      <c r="AJ70" s="282">
        <f t="shared" si="50"/>
        <v>37000</v>
      </c>
    </row>
    <row r="71" spans="1:36" ht="76.5">
      <c r="A71" s="311" t="s">
        <v>313</v>
      </c>
      <c r="B71" s="312" t="s">
        <v>804</v>
      </c>
      <c r="C71" s="313" t="s">
        <v>230</v>
      </c>
      <c r="D71" s="313" t="s">
        <v>762</v>
      </c>
      <c r="E71" s="313"/>
      <c r="F71" s="313" t="s">
        <v>805</v>
      </c>
      <c r="G71" s="314">
        <v>60503786.329999998</v>
      </c>
      <c r="H71" s="314">
        <v>15707779</v>
      </c>
      <c r="I71" s="314">
        <v>76211565.329999998</v>
      </c>
      <c r="J71" s="297">
        <v>54239639.689999998</v>
      </c>
      <c r="K71" s="297">
        <v>10598440</v>
      </c>
      <c r="L71" s="298">
        <v>10402799</v>
      </c>
      <c r="M71" s="298">
        <v>1899010</v>
      </c>
      <c r="N71" s="298">
        <v>0</v>
      </c>
      <c r="O71" s="297">
        <v>10000</v>
      </c>
      <c r="P71" s="297">
        <v>0</v>
      </c>
      <c r="Q71" s="297">
        <v>0</v>
      </c>
      <c r="R71" s="297">
        <f t="shared" ref="R71:R134" si="89">J71+K71+L71+M71+N71+O71+P71+Q71</f>
        <v>77149888.689999998</v>
      </c>
      <c r="S71" s="295" t="s">
        <v>806</v>
      </c>
      <c r="T71" s="276">
        <f t="shared" si="6"/>
        <v>-938323.3599999994</v>
      </c>
      <c r="U71" s="315">
        <v>0</v>
      </c>
      <c r="V71" s="316">
        <f t="shared" si="38"/>
        <v>-10598440</v>
      </c>
      <c r="W71" s="316" t="e">
        <f t="shared" si="39"/>
        <v>#DIV/0!</v>
      </c>
      <c r="X71" s="282"/>
      <c r="Y71" s="302">
        <v>10608440</v>
      </c>
      <c r="Z71" s="302">
        <v>8154204</v>
      </c>
      <c r="AA71" s="302">
        <v>8154168.3399999999</v>
      </c>
      <c r="AB71" s="317">
        <f t="shared" si="47"/>
        <v>0.76864914539743823</v>
      </c>
      <c r="AC71" s="317">
        <f t="shared" si="48"/>
        <v>0.99905735433296505</v>
      </c>
      <c r="AD71" s="318">
        <f t="shared" si="41"/>
        <v>9.426415446528419E-8</v>
      </c>
      <c r="AF71" s="276">
        <f t="shared" ref="AF71:AF134" si="90">Y71-K71</f>
        <v>10000</v>
      </c>
      <c r="AI71" s="302">
        <v>10608440</v>
      </c>
      <c r="AJ71" s="282">
        <f t="shared" si="50"/>
        <v>10000</v>
      </c>
    </row>
    <row r="72" spans="1:36" ht="51">
      <c r="A72" s="311" t="s">
        <v>25</v>
      </c>
      <c r="B72" s="312" t="s">
        <v>807</v>
      </c>
      <c r="C72" s="313" t="s">
        <v>230</v>
      </c>
      <c r="D72" s="313" t="s">
        <v>762</v>
      </c>
      <c r="E72" s="313"/>
      <c r="F72" s="313" t="s">
        <v>786</v>
      </c>
      <c r="G72" s="314">
        <v>0</v>
      </c>
      <c r="H72" s="314">
        <v>0</v>
      </c>
      <c r="I72" s="314">
        <v>0</v>
      </c>
      <c r="J72" s="297">
        <v>0</v>
      </c>
      <c r="K72" s="297">
        <v>0</v>
      </c>
      <c r="L72" s="298">
        <v>0</v>
      </c>
      <c r="M72" s="298">
        <v>0</v>
      </c>
      <c r="N72" s="298">
        <v>0</v>
      </c>
      <c r="O72" s="297">
        <v>0</v>
      </c>
      <c r="P72" s="297">
        <v>0</v>
      </c>
      <c r="Q72" s="297">
        <v>0</v>
      </c>
      <c r="R72" s="297">
        <f t="shared" si="89"/>
        <v>0</v>
      </c>
      <c r="S72" s="295"/>
      <c r="T72" s="276">
        <f t="shared" ref="T72:T135" si="91">I72-R72</f>
        <v>0</v>
      </c>
      <c r="U72" s="315">
        <v>0</v>
      </c>
      <c r="V72" s="316">
        <f t="shared" si="38"/>
        <v>0</v>
      </c>
      <c r="W72" s="316" t="e">
        <f t="shared" si="39"/>
        <v>#DIV/0!</v>
      </c>
      <c r="X72" s="282"/>
      <c r="Y72" s="302">
        <v>0</v>
      </c>
      <c r="Z72" s="302">
        <v>0</v>
      </c>
      <c r="AA72" s="302">
        <v>0</v>
      </c>
      <c r="AB72" s="317" t="e">
        <f t="shared" si="47"/>
        <v>#DIV/0!</v>
      </c>
      <c r="AC72" s="317" t="e">
        <f t="shared" si="48"/>
        <v>#DIV/0!</v>
      </c>
      <c r="AD72" s="318" t="e">
        <f t="shared" si="41"/>
        <v>#DIV/0!</v>
      </c>
      <c r="AF72" s="276">
        <f t="shared" si="90"/>
        <v>0</v>
      </c>
      <c r="AI72" s="302">
        <v>0</v>
      </c>
      <c r="AJ72" s="282">
        <f t="shared" si="50"/>
        <v>0</v>
      </c>
    </row>
    <row r="73" spans="1:36" ht="102">
      <c r="A73" s="311" t="s">
        <v>26</v>
      </c>
      <c r="B73" s="312" t="s">
        <v>808</v>
      </c>
      <c r="C73" s="313" t="s">
        <v>230</v>
      </c>
      <c r="D73" s="313" t="s">
        <v>762</v>
      </c>
      <c r="E73" s="313"/>
      <c r="F73" s="313" t="s">
        <v>786</v>
      </c>
      <c r="G73" s="314">
        <v>1000000.13</v>
      </c>
      <c r="H73" s="314">
        <v>0</v>
      </c>
      <c r="I73" s="314">
        <v>1000000.13</v>
      </c>
      <c r="J73" s="297">
        <v>194894.06</v>
      </c>
      <c r="K73" s="297">
        <v>300165</v>
      </c>
      <c r="L73" s="298">
        <v>395890</v>
      </c>
      <c r="M73" s="298">
        <v>76030</v>
      </c>
      <c r="N73" s="298">
        <v>0</v>
      </c>
      <c r="O73" s="297">
        <v>30289</v>
      </c>
      <c r="P73" s="297">
        <v>2732</v>
      </c>
      <c r="Q73" s="297">
        <v>0</v>
      </c>
      <c r="R73" s="297">
        <f t="shared" si="89"/>
        <v>1000000.06</v>
      </c>
      <c r="S73" s="295"/>
      <c r="T73" s="276">
        <f t="shared" si="91"/>
        <v>6.9999999948777258E-2</v>
      </c>
      <c r="U73" s="315">
        <v>414867</v>
      </c>
      <c r="V73" s="316">
        <f t="shared" si="38"/>
        <v>114702</v>
      </c>
      <c r="W73" s="316">
        <f t="shared" si="39"/>
        <v>0.72352103204159401</v>
      </c>
      <c r="X73" s="282"/>
      <c r="Y73" s="302">
        <v>333186</v>
      </c>
      <c r="Z73" s="302">
        <v>235852</v>
      </c>
      <c r="AA73" s="302">
        <v>197595.02</v>
      </c>
      <c r="AB73" s="317">
        <f t="shared" si="47"/>
        <v>0.59304718685659064</v>
      </c>
      <c r="AC73" s="317">
        <f t="shared" si="48"/>
        <v>0.90089319479209806</v>
      </c>
      <c r="AD73" s="318">
        <f t="shared" si="41"/>
        <v>2.5144886914530749E-6</v>
      </c>
      <c r="AF73" s="276">
        <f t="shared" si="90"/>
        <v>33021</v>
      </c>
      <c r="AI73" s="302">
        <v>333186</v>
      </c>
      <c r="AJ73" s="282">
        <f t="shared" si="50"/>
        <v>33021</v>
      </c>
    </row>
    <row r="74" spans="1:36" ht="127.5">
      <c r="A74" s="311" t="s">
        <v>27</v>
      </c>
      <c r="B74" s="312" t="s">
        <v>809</v>
      </c>
      <c r="C74" s="313" t="s">
        <v>230</v>
      </c>
      <c r="D74" s="313" t="s">
        <v>762</v>
      </c>
      <c r="E74" s="313"/>
      <c r="F74" s="313" t="s">
        <v>786</v>
      </c>
      <c r="G74" s="314">
        <v>0</v>
      </c>
      <c r="H74" s="314">
        <v>0</v>
      </c>
      <c r="I74" s="314">
        <v>0</v>
      </c>
      <c r="J74" s="297">
        <v>0</v>
      </c>
      <c r="K74" s="297">
        <v>0</v>
      </c>
      <c r="L74" s="298">
        <v>0</v>
      </c>
      <c r="M74" s="298">
        <v>0</v>
      </c>
      <c r="N74" s="298">
        <v>0</v>
      </c>
      <c r="O74" s="297">
        <v>0</v>
      </c>
      <c r="P74" s="297">
        <v>0</v>
      </c>
      <c r="Q74" s="297">
        <v>0</v>
      </c>
      <c r="R74" s="297">
        <f t="shared" si="89"/>
        <v>0</v>
      </c>
      <c r="S74" s="295"/>
      <c r="T74" s="276">
        <f t="shared" si="91"/>
        <v>0</v>
      </c>
      <c r="U74" s="315">
        <v>0</v>
      </c>
      <c r="V74" s="316">
        <f t="shared" si="38"/>
        <v>0</v>
      </c>
      <c r="W74" s="316" t="e">
        <f t="shared" si="39"/>
        <v>#DIV/0!</v>
      </c>
      <c r="X74" s="282"/>
      <c r="Y74" s="302">
        <v>0</v>
      </c>
      <c r="Z74" s="302">
        <v>0</v>
      </c>
      <c r="AA74" s="302">
        <v>0</v>
      </c>
      <c r="AB74" s="317" t="e">
        <f t="shared" si="47"/>
        <v>#DIV/0!</v>
      </c>
      <c r="AC74" s="317" t="e">
        <f t="shared" si="48"/>
        <v>#DIV/0!</v>
      </c>
      <c r="AD74" s="318" t="e">
        <f t="shared" si="41"/>
        <v>#DIV/0!</v>
      </c>
      <c r="AF74" s="276">
        <f t="shared" si="90"/>
        <v>0</v>
      </c>
      <c r="AI74" s="302">
        <v>0</v>
      </c>
      <c r="AJ74" s="282">
        <f t="shared" si="50"/>
        <v>0</v>
      </c>
    </row>
    <row r="75" spans="1:36" ht="38.25">
      <c r="A75" s="311" t="s">
        <v>36</v>
      </c>
      <c r="B75" s="312" t="s">
        <v>810</v>
      </c>
      <c r="C75" s="313" t="s">
        <v>230</v>
      </c>
      <c r="D75" s="313" t="s">
        <v>782</v>
      </c>
      <c r="E75" s="313"/>
      <c r="F75" s="313" t="s">
        <v>811</v>
      </c>
      <c r="G75" s="314">
        <v>106292.78</v>
      </c>
      <c r="H75" s="314">
        <v>0</v>
      </c>
      <c r="I75" s="314">
        <v>106292.78</v>
      </c>
      <c r="J75" s="297">
        <v>100952.21</v>
      </c>
      <c r="K75" s="297">
        <v>0</v>
      </c>
      <c r="L75" s="298">
        <v>0</v>
      </c>
      <c r="M75" s="298">
        <v>0</v>
      </c>
      <c r="N75" s="298">
        <v>0</v>
      </c>
      <c r="O75" s="297">
        <v>0</v>
      </c>
      <c r="P75" s="297">
        <v>0</v>
      </c>
      <c r="Q75" s="297">
        <v>0</v>
      </c>
      <c r="R75" s="297">
        <f t="shared" si="89"/>
        <v>100952.21</v>
      </c>
      <c r="S75" s="295"/>
      <c r="T75" s="276">
        <f t="shared" si="91"/>
        <v>5340.5699999999924</v>
      </c>
      <c r="U75" s="315">
        <v>0</v>
      </c>
      <c r="V75" s="316">
        <f t="shared" si="38"/>
        <v>0</v>
      </c>
      <c r="W75" s="316" t="e">
        <f t="shared" si="39"/>
        <v>#DIV/0!</v>
      </c>
      <c r="X75" s="282"/>
      <c r="Y75" s="302">
        <v>0</v>
      </c>
      <c r="Z75" s="302">
        <v>0</v>
      </c>
      <c r="AA75" s="302">
        <v>0</v>
      </c>
      <c r="AB75" s="317" t="e">
        <f t="shared" si="47"/>
        <v>#DIV/0!</v>
      </c>
      <c r="AC75" s="317" t="e">
        <f t="shared" si="48"/>
        <v>#DIV/0!</v>
      </c>
      <c r="AD75" s="318" t="e">
        <f t="shared" si="41"/>
        <v>#DIV/0!</v>
      </c>
      <c r="AF75" s="276">
        <f t="shared" si="90"/>
        <v>0</v>
      </c>
      <c r="AI75" s="302">
        <v>0</v>
      </c>
      <c r="AJ75" s="282">
        <f t="shared" si="50"/>
        <v>0</v>
      </c>
    </row>
    <row r="76" spans="1:36" ht="25.5">
      <c r="A76" s="272" t="s">
        <v>319</v>
      </c>
      <c r="B76" s="310" t="s">
        <v>812</v>
      </c>
      <c r="C76" s="292" t="s">
        <v>230</v>
      </c>
      <c r="D76" s="292" t="s">
        <v>813</v>
      </c>
      <c r="E76" s="292"/>
      <c r="F76" s="292"/>
      <c r="G76" s="321">
        <f>G77+G78+G79</f>
        <v>10098255</v>
      </c>
      <c r="H76" s="321">
        <f t="shared" ref="H76:Q76" si="92">H77+H78+H79</f>
        <v>1200000</v>
      </c>
      <c r="I76" s="321">
        <f t="shared" si="92"/>
        <v>11298255</v>
      </c>
      <c r="J76" s="321">
        <f t="shared" si="92"/>
        <v>6964468</v>
      </c>
      <c r="K76" s="321">
        <f t="shared" si="92"/>
        <v>1900000</v>
      </c>
      <c r="L76" s="321">
        <f t="shared" si="92"/>
        <v>1336384</v>
      </c>
      <c r="M76" s="321">
        <f t="shared" si="92"/>
        <v>0</v>
      </c>
      <c r="N76" s="321">
        <f t="shared" si="92"/>
        <v>0</v>
      </c>
      <c r="O76" s="321">
        <f t="shared" si="92"/>
        <v>0</v>
      </c>
      <c r="P76" s="321">
        <f t="shared" si="92"/>
        <v>1200000</v>
      </c>
      <c r="Q76" s="321">
        <f t="shared" si="92"/>
        <v>0</v>
      </c>
      <c r="R76" s="297">
        <f t="shared" si="89"/>
        <v>11400852</v>
      </c>
      <c r="S76" s="295"/>
      <c r="T76" s="276">
        <f t="shared" si="91"/>
        <v>-102597</v>
      </c>
      <c r="U76" s="277">
        <f>SUM(U77:U79)</f>
        <v>1900000</v>
      </c>
      <c r="V76" s="277">
        <f t="shared" si="38"/>
        <v>0</v>
      </c>
      <c r="W76" s="277">
        <f t="shared" si="39"/>
        <v>1</v>
      </c>
      <c r="X76" s="282"/>
      <c r="Y76" s="321">
        <f>Y77+Y78+Y79</f>
        <v>1900000</v>
      </c>
      <c r="Z76" s="321">
        <f t="shared" ref="Z76:AA76" si="93">Z77+Z78+Z79</f>
        <v>1509624</v>
      </c>
      <c r="AA76" s="321">
        <f t="shared" si="93"/>
        <v>1111681.83</v>
      </c>
      <c r="AB76" s="296">
        <f t="shared" si="47"/>
        <v>0.5850957</v>
      </c>
      <c r="AC76" s="322">
        <f t="shared" si="48"/>
        <v>1</v>
      </c>
      <c r="AD76" s="293">
        <f t="shared" si="41"/>
        <v>3.875771052924437E-7</v>
      </c>
      <c r="AF76" s="276">
        <f t="shared" si="90"/>
        <v>0</v>
      </c>
      <c r="AI76" s="321">
        <f>AI77+AI78+AI79</f>
        <v>1900000</v>
      </c>
      <c r="AJ76" s="282">
        <f t="shared" si="50"/>
        <v>0</v>
      </c>
    </row>
    <row r="77" spans="1:36" ht="51">
      <c r="A77" s="311" t="s">
        <v>67</v>
      </c>
      <c r="B77" s="312" t="s">
        <v>814</v>
      </c>
      <c r="C77" s="313" t="s">
        <v>230</v>
      </c>
      <c r="D77" s="313" t="s">
        <v>813</v>
      </c>
      <c r="E77" s="313"/>
      <c r="F77" s="313" t="s">
        <v>786</v>
      </c>
      <c r="G77" s="314">
        <v>0</v>
      </c>
      <c r="H77" s="314">
        <v>0</v>
      </c>
      <c r="I77" s="314">
        <v>0</v>
      </c>
      <c r="J77" s="297">
        <v>0</v>
      </c>
      <c r="K77" s="297">
        <v>0</v>
      </c>
      <c r="L77" s="298">
        <v>0</v>
      </c>
      <c r="M77" s="298">
        <v>0</v>
      </c>
      <c r="N77" s="298">
        <v>0</v>
      </c>
      <c r="O77" s="297">
        <v>0</v>
      </c>
      <c r="P77" s="297">
        <v>0</v>
      </c>
      <c r="Q77" s="297">
        <v>0</v>
      </c>
      <c r="R77" s="297">
        <f t="shared" si="89"/>
        <v>0</v>
      </c>
      <c r="S77" s="295"/>
      <c r="T77" s="276">
        <f t="shared" si="91"/>
        <v>0</v>
      </c>
      <c r="U77" s="315">
        <v>0</v>
      </c>
      <c r="V77" s="316">
        <f t="shared" si="38"/>
        <v>0</v>
      </c>
      <c r="W77" s="316" t="e">
        <f t="shared" si="39"/>
        <v>#DIV/0!</v>
      </c>
      <c r="X77" s="282"/>
      <c r="Y77" s="302">
        <v>0</v>
      </c>
      <c r="Z77" s="302">
        <v>0</v>
      </c>
      <c r="AA77" s="302">
        <v>0</v>
      </c>
      <c r="AB77" s="317" t="e">
        <f t="shared" si="47"/>
        <v>#DIV/0!</v>
      </c>
      <c r="AC77" s="317" t="e">
        <f t="shared" si="48"/>
        <v>#DIV/0!</v>
      </c>
      <c r="AD77" s="318" t="e">
        <f t="shared" si="41"/>
        <v>#DIV/0!</v>
      </c>
      <c r="AF77" s="276">
        <f t="shared" si="90"/>
        <v>0</v>
      </c>
      <c r="AI77" s="302">
        <v>0</v>
      </c>
      <c r="AJ77" s="282">
        <f t="shared" si="50"/>
        <v>0</v>
      </c>
    </row>
    <row r="78" spans="1:36" ht="38.25">
      <c r="A78" s="311" t="s">
        <v>68</v>
      </c>
      <c r="B78" s="312" t="s">
        <v>815</v>
      </c>
      <c r="C78" s="313" t="s">
        <v>230</v>
      </c>
      <c r="D78" s="313" t="s">
        <v>813</v>
      </c>
      <c r="E78" s="313"/>
      <c r="F78" s="313" t="s">
        <v>786</v>
      </c>
      <c r="G78" s="314">
        <v>0</v>
      </c>
      <c r="H78" s="314">
        <v>0</v>
      </c>
      <c r="I78" s="314">
        <v>0</v>
      </c>
      <c r="J78" s="297">
        <v>0</v>
      </c>
      <c r="K78" s="297">
        <v>0</v>
      </c>
      <c r="L78" s="298">
        <v>0</v>
      </c>
      <c r="M78" s="298">
        <v>0</v>
      </c>
      <c r="N78" s="298">
        <v>0</v>
      </c>
      <c r="O78" s="297">
        <v>0</v>
      </c>
      <c r="P78" s="297">
        <v>0</v>
      </c>
      <c r="Q78" s="297">
        <v>0</v>
      </c>
      <c r="R78" s="297">
        <f t="shared" si="89"/>
        <v>0</v>
      </c>
      <c r="S78" s="295"/>
      <c r="T78" s="276">
        <f t="shared" si="91"/>
        <v>0</v>
      </c>
      <c r="U78" s="315">
        <v>0</v>
      </c>
      <c r="V78" s="316">
        <f t="shared" si="38"/>
        <v>0</v>
      </c>
      <c r="W78" s="316" t="e">
        <f t="shared" si="39"/>
        <v>#DIV/0!</v>
      </c>
      <c r="X78" s="282"/>
      <c r="Y78" s="302">
        <v>0</v>
      </c>
      <c r="Z78" s="302">
        <v>0</v>
      </c>
      <c r="AA78" s="302">
        <v>0</v>
      </c>
      <c r="AB78" s="317" t="e">
        <f t="shared" si="47"/>
        <v>#DIV/0!</v>
      </c>
      <c r="AC78" s="317" t="e">
        <f t="shared" si="48"/>
        <v>#DIV/0!</v>
      </c>
      <c r="AD78" s="318" t="e">
        <f t="shared" si="41"/>
        <v>#DIV/0!</v>
      </c>
      <c r="AF78" s="276">
        <f t="shared" si="90"/>
        <v>0</v>
      </c>
      <c r="AI78" s="302">
        <v>0</v>
      </c>
      <c r="AJ78" s="282">
        <f t="shared" si="50"/>
        <v>0</v>
      </c>
    </row>
    <row r="79" spans="1:36" ht="114.75">
      <c r="A79" s="311" t="s">
        <v>69</v>
      </c>
      <c r="B79" s="312" t="s">
        <v>816</v>
      </c>
      <c r="C79" s="313" t="s">
        <v>230</v>
      </c>
      <c r="D79" s="313" t="s">
        <v>813</v>
      </c>
      <c r="E79" s="313"/>
      <c r="F79" s="313" t="s">
        <v>786</v>
      </c>
      <c r="G79" s="314">
        <v>10098255</v>
      </c>
      <c r="H79" s="327">
        <v>1200000</v>
      </c>
      <c r="I79" s="327">
        <v>11298255</v>
      </c>
      <c r="J79" s="319">
        <v>6964468</v>
      </c>
      <c r="K79" s="297">
        <v>1900000</v>
      </c>
      <c r="L79" s="298">
        <v>1336384</v>
      </c>
      <c r="M79" s="298">
        <v>0</v>
      </c>
      <c r="N79" s="298">
        <v>0</v>
      </c>
      <c r="O79" s="297">
        <v>0</v>
      </c>
      <c r="P79" s="297">
        <v>1200000</v>
      </c>
      <c r="Q79" s="297">
        <v>0</v>
      </c>
      <c r="R79" s="297">
        <f t="shared" si="89"/>
        <v>11400852</v>
      </c>
      <c r="S79" s="295" t="s">
        <v>817</v>
      </c>
      <c r="T79" s="276">
        <f t="shared" si="91"/>
        <v>-102597</v>
      </c>
      <c r="U79" s="336">
        <v>1900000</v>
      </c>
      <c r="V79" s="316">
        <f t="shared" si="38"/>
        <v>0</v>
      </c>
      <c r="W79" s="316">
        <f t="shared" si="39"/>
        <v>1</v>
      </c>
      <c r="X79" s="282"/>
      <c r="Y79" s="302">
        <v>1900000</v>
      </c>
      <c r="Z79" s="302">
        <v>1509624</v>
      </c>
      <c r="AA79" s="302">
        <v>1111681.83</v>
      </c>
      <c r="AB79" s="317">
        <f t="shared" si="47"/>
        <v>0.5850957</v>
      </c>
      <c r="AC79" s="317">
        <f t="shared" si="48"/>
        <v>1</v>
      </c>
      <c r="AD79" s="318">
        <f t="shared" si="41"/>
        <v>3.875771052924437E-7</v>
      </c>
      <c r="AF79" s="276">
        <f t="shared" si="90"/>
        <v>0</v>
      </c>
      <c r="AI79" s="302">
        <v>1900000</v>
      </c>
      <c r="AJ79" s="282">
        <f t="shared" si="50"/>
        <v>0</v>
      </c>
    </row>
    <row r="80" spans="1:36" ht="38.25">
      <c r="A80" s="272" t="s">
        <v>325</v>
      </c>
      <c r="B80" s="310" t="s">
        <v>818</v>
      </c>
      <c r="C80" s="292" t="s">
        <v>230</v>
      </c>
      <c r="D80" s="292"/>
      <c r="E80" s="292"/>
      <c r="F80" s="292"/>
      <c r="G80" s="321">
        <f>G81</f>
        <v>36258630.349999994</v>
      </c>
      <c r="H80" s="321">
        <f t="shared" ref="H80:Q80" si="94">H81</f>
        <v>2125171.2999999998</v>
      </c>
      <c r="I80" s="321">
        <f t="shared" si="94"/>
        <v>38383802.149999999</v>
      </c>
      <c r="J80" s="321">
        <f t="shared" si="94"/>
        <v>18592385.93</v>
      </c>
      <c r="K80" s="321">
        <f t="shared" si="94"/>
        <v>9660179</v>
      </c>
      <c r="L80" s="321">
        <f t="shared" si="94"/>
        <v>5679019.8900000006</v>
      </c>
      <c r="M80" s="321">
        <f t="shared" si="94"/>
        <v>570160</v>
      </c>
      <c r="N80" s="321">
        <f t="shared" si="94"/>
        <v>0</v>
      </c>
      <c r="O80" s="321">
        <f t="shared" si="94"/>
        <v>2015488</v>
      </c>
      <c r="P80" s="321">
        <f t="shared" si="94"/>
        <v>1179367</v>
      </c>
      <c r="Q80" s="321">
        <f t="shared" si="94"/>
        <v>9963</v>
      </c>
      <c r="R80" s="297">
        <f t="shared" si="89"/>
        <v>37706562.82</v>
      </c>
      <c r="S80" s="295"/>
      <c r="T80" s="276">
        <f t="shared" si="91"/>
        <v>677239.32999999821</v>
      </c>
      <c r="U80" s="277">
        <f>U81</f>
        <v>10418343</v>
      </c>
      <c r="V80" s="277">
        <f t="shared" si="38"/>
        <v>758164</v>
      </c>
      <c r="W80" s="277">
        <f t="shared" si="39"/>
        <v>0.92722796705771737</v>
      </c>
      <c r="X80" s="282"/>
      <c r="Y80" s="321">
        <f>Y81</f>
        <v>10353902</v>
      </c>
      <c r="Z80" s="321">
        <f t="shared" ref="Z80:AA80" si="95">Z81</f>
        <v>7678943</v>
      </c>
      <c r="AA80" s="321">
        <f t="shared" si="95"/>
        <v>7677337.9199999999</v>
      </c>
      <c r="AB80" s="296">
        <f t="shared" si="47"/>
        <v>0.74149223355600624</v>
      </c>
      <c r="AC80" s="322">
        <f t="shared" si="48"/>
        <v>0.93299888293321687</v>
      </c>
      <c r="AD80" s="293">
        <f t="shared" si="41"/>
        <v>9.6561757725771148E-8</v>
      </c>
      <c r="AF80" s="276">
        <f t="shared" si="90"/>
        <v>693723</v>
      </c>
      <c r="AI80" s="321">
        <f>AI81</f>
        <v>10353902</v>
      </c>
      <c r="AJ80" s="282">
        <f t="shared" si="50"/>
        <v>693723</v>
      </c>
    </row>
    <row r="81" spans="1:37" ht="25.5">
      <c r="A81" s="272" t="s">
        <v>327</v>
      </c>
      <c r="B81" s="310" t="s">
        <v>819</v>
      </c>
      <c r="C81" s="292" t="s">
        <v>230</v>
      </c>
      <c r="D81" s="292"/>
      <c r="E81" s="292"/>
      <c r="F81" s="292"/>
      <c r="G81" s="321">
        <f>G82+G85</f>
        <v>36258630.349999994</v>
      </c>
      <c r="H81" s="321">
        <f t="shared" ref="H81:Q81" si="96">H82+H85</f>
        <v>2125171.2999999998</v>
      </c>
      <c r="I81" s="321">
        <f t="shared" si="96"/>
        <v>38383802.149999999</v>
      </c>
      <c r="J81" s="321">
        <f t="shared" si="96"/>
        <v>18592385.93</v>
      </c>
      <c r="K81" s="321">
        <f t="shared" si="96"/>
        <v>9660179</v>
      </c>
      <c r="L81" s="321">
        <f t="shared" si="96"/>
        <v>5679019.8900000006</v>
      </c>
      <c r="M81" s="321">
        <f t="shared" si="96"/>
        <v>570160</v>
      </c>
      <c r="N81" s="321">
        <f t="shared" si="96"/>
        <v>0</v>
      </c>
      <c r="O81" s="321">
        <f t="shared" si="96"/>
        <v>2015488</v>
      </c>
      <c r="P81" s="321">
        <f t="shared" si="96"/>
        <v>1179367</v>
      </c>
      <c r="Q81" s="321">
        <f t="shared" si="96"/>
        <v>9963</v>
      </c>
      <c r="R81" s="297">
        <f t="shared" si="89"/>
        <v>37706562.82</v>
      </c>
      <c r="S81" s="295"/>
      <c r="T81" s="276">
        <f t="shared" si="91"/>
        <v>677239.32999999821</v>
      </c>
      <c r="U81" s="277">
        <f>U82+U85</f>
        <v>10418343</v>
      </c>
      <c r="V81" s="277">
        <f t="shared" si="38"/>
        <v>758164</v>
      </c>
      <c r="W81" s="277">
        <f t="shared" si="39"/>
        <v>0.92722796705771737</v>
      </c>
      <c r="X81" s="282"/>
      <c r="Y81" s="321">
        <f>Y82+Y85</f>
        <v>10353902</v>
      </c>
      <c r="Z81" s="321">
        <f t="shared" ref="Z81:AA81" si="97">Z82+Z85</f>
        <v>7678943</v>
      </c>
      <c r="AA81" s="321">
        <f t="shared" si="97"/>
        <v>7677337.9199999999</v>
      </c>
      <c r="AB81" s="296">
        <f>AA81/Y81</f>
        <v>0.74149223355600624</v>
      </c>
      <c r="AC81" s="296">
        <f t="shared" si="48"/>
        <v>0.93299888293321687</v>
      </c>
      <c r="AD81" s="293">
        <f t="shared" si="41"/>
        <v>9.6561757725771148E-8</v>
      </c>
      <c r="AF81" s="276">
        <f t="shared" si="90"/>
        <v>693723</v>
      </c>
      <c r="AI81" s="321">
        <f>AI82+AI85</f>
        <v>10353902</v>
      </c>
      <c r="AJ81" s="282">
        <f t="shared" si="50"/>
        <v>693723</v>
      </c>
    </row>
    <row r="82" spans="1:37" ht="51">
      <c r="A82" s="311" t="s">
        <v>329</v>
      </c>
      <c r="B82" s="312" t="s">
        <v>820</v>
      </c>
      <c r="C82" s="313" t="s">
        <v>230</v>
      </c>
      <c r="D82" s="313" t="s">
        <v>762</v>
      </c>
      <c r="E82" s="313"/>
      <c r="F82" s="313"/>
      <c r="G82" s="314">
        <f>G83+G84</f>
        <v>21274461.119999997</v>
      </c>
      <c r="H82" s="314">
        <f t="shared" ref="H82:Q82" si="98">H83+H84</f>
        <v>2125171.2999999998</v>
      </c>
      <c r="I82" s="314">
        <f t="shared" si="98"/>
        <v>23399632.920000002</v>
      </c>
      <c r="J82" s="314">
        <f t="shared" si="98"/>
        <v>13355059.07</v>
      </c>
      <c r="K82" s="314">
        <f t="shared" si="98"/>
        <v>4111921</v>
      </c>
      <c r="L82" s="314">
        <f t="shared" si="98"/>
        <v>2524275</v>
      </c>
      <c r="M82" s="314">
        <f t="shared" si="98"/>
        <v>0</v>
      </c>
      <c r="N82" s="314">
        <f t="shared" si="98"/>
        <v>0</v>
      </c>
      <c r="O82" s="314">
        <f t="shared" si="98"/>
        <v>1715577</v>
      </c>
      <c r="P82" s="314">
        <f t="shared" si="98"/>
        <v>1175252</v>
      </c>
      <c r="Q82" s="314">
        <f t="shared" si="98"/>
        <v>0</v>
      </c>
      <c r="R82" s="297">
        <f t="shared" si="89"/>
        <v>22882084.07</v>
      </c>
      <c r="S82" s="295"/>
      <c r="T82" s="276">
        <f t="shared" si="91"/>
        <v>517548.85000000149</v>
      </c>
      <c r="U82" s="315">
        <f>SUM(U83:U84)</f>
        <v>4365516</v>
      </c>
      <c r="V82" s="316">
        <f t="shared" si="38"/>
        <v>253595</v>
      </c>
      <c r="W82" s="316">
        <f t="shared" si="39"/>
        <v>0.94190950164883147</v>
      </c>
      <c r="X82" s="282"/>
      <c r="Y82" s="314">
        <f>Y83+Y84</f>
        <v>4491655</v>
      </c>
      <c r="Z82" s="314">
        <f t="shared" ref="Z82:AA82" si="99">Z83+Z84</f>
        <v>3197395</v>
      </c>
      <c r="AA82" s="314">
        <f t="shared" si="99"/>
        <v>3197387.44</v>
      </c>
      <c r="AB82" s="317">
        <f t="shared" si="47"/>
        <v>0.71185062966768375</v>
      </c>
      <c r="AC82" s="317">
        <f t="shared" si="48"/>
        <v>0.91545788801677774</v>
      </c>
      <c r="AD82" s="318">
        <f t="shared" si="41"/>
        <v>2.226345602178285E-7</v>
      </c>
      <c r="AF82" s="276">
        <f t="shared" si="90"/>
        <v>379734</v>
      </c>
      <c r="AI82" s="314">
        <f>AI83+AI84</f>
        <v>4491655</v>
      </c>
      <c r="AJ82" s="282">
        <f t="shared" si="50"/>
        <v>379734</v>
      </c>
    </row>
    <row r="83" spans="1:37" ht="63.75">
      <c r="A83" s="311" t="s">
        <v>28</v>
      </c>
      <c r="B83" s="323" t="s">
        <v>821</v>
      </c>
      <c r="C83" s="313" t="s">
        <v>230</v>
      </c>
      <c r="D83" s="313" t="s">
        <v>762</v>
      </c>
      <c r="E83" s="313"/>
      <c r="F83" s="313" t="s">
        <v>786</v>
      </c>
      <c r="G83" s="314">
        <v>11944613.619999999</v>
      </c>
      <c r="H83" s="314">
        <v>1194461.3</v>
      </c>
      <c r="I83" s="314">
        <v>13139074.92</v>
      </c>
      <c r="J83" s="297">
        <v>8077054.0700000003</v>
      </c>
      <c r="K83" s="297">
        <v>1765498</v>
      </c>
      <c r="L83" s="298">
        <v>1471344</v>
      </c>
      <c r="M83" s="298">
        <v>0</v>
      </c>
      <c r="N83" s="298">
        <v>0</v>
      </c>
      <c r="O83" s="297">
        <v>1094810</v>
      </c>
      <c r="P83" s="297">
        <v>785757</v>
      </c>
      <c r="Q83" s="297">
        <v>0</v>
      </c>
      <c r="R83" s="297">
        <f t="shared" si="89"/>
        <v>13194463.07</v>
      </c>
      <c r="S83" s="295" t="s">
        <v>806</v>
      </c>
      <c r="T83" s="276">
        <f t="shared" si="91"/>
        <v>-55388.150000000373</v>
      </c>
      <c r="U83" s="315">
        <v>2508405</v>
      </c>
      <c r="V83" s="316">
        <f t="shared" ref="V83:V146" si="100">U83-K83</f>
        <v>742907</v>
      </c>
      <c r="W83" s="316">
        <f t="shared" ref="W83:W146" si="101">K83/U83</f>
        <v>0.70383291374399271</v>
      </c>
      <c r="X83" s="282"/>
      <c r="Y83" s="302">
        <v>2065680</v>
      </c>
      <c r="Z83" s="302">
        <v>1225934</v>
      </c>
      <c r="AA83" s="302">
        <v>1225934</v>
      </c>
      <c r="AB83" s="317">
        <f t="shared" si="47"/>
        <v>0.59347720847372298</v>
      </c>
      <c r="AC83" s="317">
        <f t="shared" si="48"/>
        <v>0.85468126718562409</v>
      </c>
      <c r="AD83" s="318">
        <f t="shared" ref="AD83:AD146" si="102">AB83/Z83</f>
        <v>4.8410208744820113E-7</v>
      </c>
      <c r="AF83" s="276">
        <f t="shared" si="90"/>
        <v>300182</v>
      </c>
      <c r="AI83" s="302">
        <v>2065680</v>
      </c>
      <c r="AJ83" s="282">
        <f t="shared" si="50"/>
        <v>300182</v>
      </c>
    </row>
    <row r="84" spans="1:37" ht="114.75">
      <c r="A84" s="311" t="s">
        <v>29</v>
      </c>
      <c r="B84" s="323" t="s">
        <v>822</v>
      </c>
      <c r="C84" s="313" t="s">
        <v>230</v>
      </c>
      <c r="D84" s="313" t="s">
        <v>762</v>
      </c>
      <c r="E84" s="313"/>
      <c r="F84" s="313" t="s">
        <v>786</v>
      </c>
      <c r="G84" s="314">
        <v>9329847.5</v>
      </c>
      <c r="H84" s="314">
        <v>930710</v>
      </c>
      <c r="I84" s="314">
        <v>10260558</v>
      </c>
      <c r="J84" s="298">
        <v>5278005</v>
      </c>
      <c r="K84" s="297">
        <v>2346423</v>
      </c>
      <c r="L84" s="298">
        <v>1052931</v>
      </c>
      <c r="M84" s="298">
        <v>0</v>
      </c>
      <c r="N84" s="298">
        <v>0</v>
      </c>
      <c r="O84" s="297">
        <v>620767</v>
      </c>
      <c r="P84" s="297">
        <v>389495</v>
      </c>
      <c r="Q84" s="297">
        <v>0</v>
      </c>
      <c r="R84" s="297">
        <f t="shared" si="89"/>
        <v>9687621</v>
      </c>
      <c r="S84" s="325" t="s">
        <v>823</v>
      </c>
      <c r="T84" s="276">
        <f t="shared" si="91"/>
        <v>572937</v>
      </c>
      <c r="U84" s="315">
        <v>1857111</v>
      </c>
      <c r="V84" s="316">
        <f t="shared" si="100"/>
        <v>-489312</v>
      </c>
      <c r="W84" s="316">
        <f t="shared" si="101"/>
        <v>1.2634802120067137</v>
      </c>
      <c r="X84" s="282"/>
      <c r="Y84" s="302">
        <v>2425975</v>
      </c>
      <c r="Z84" s="302">
        <v>1971461</v>
      </c>
      <c r="AA84" s="302">
        <v>1971453.44</v>
      </c>
      <c r="AB84" s="317">
        <f t="shared" si="47"/>
        <v>0.81264375766444419</v>
      </c>
      <c r="AC84" s="317">
        <f t="shared" si="48"/>
        <v>0.96720823586393101</v>
      </c>
      <c r="AD84" s="318">
        <f t="shared" si="102"/>
        <v>4.1220382125968721E-7</v>
      </c>
      <c r="AF84" s="276">
        <f t="shared" si="90"/>
        <v>79552</v>
      </c>
      <c r="AI84" s="302">
        <v>2425975</v>
      </c>
      <c r="AJ84" s="282">
        <f t="shared" si="50"/>
        <v>79552</v>
      </c>
    </row>
    <row r="85" spans="1:37" ht="89.25">
      <c r="A85" s="311" t="s">
        <v>334</v>
      </c>
      <c r="B85" s="312" t="s">
        <v>824</v>
      </c>
      <c r="C85" s="313" t="s">
        <v>230</v>
      </c>
      <c r="D85" s="313" t="s">
        <v>762</v>
      </c>
      <c r="E85" s="313"/>
      <c r="F85" s="313"/>
      <c r="G85" s="314">
        <f>G86+G87+G88</f>
        <v>14984169.229999999</v>
      </c>
      <c r="H85" s="314">
        <f t="shared" ref="H85:R85" si="103">H86+H87+H88</f>
        <v>0</v>
      </c>
      <c r="I85" s="314">
        <f t="shared" si="103"/>
        <v>14984169.229999999</v>
      </c>
      <c r="J85" s="314">
        <f t="shared" si="103"/>
        <v>5237326.8599999994</v>
      </c>
      <c r="K85" s="314">
        <f t="shared" si="103"/>
        <v>5548258</v>
      </c>
      <c r="L85" s="314">
        <f t="shared" si="103"/>
        <v>3154744.89</v>
      </c>
      <c r="M85" s="314">
        <f t="shared" si="103"/>
        <v>570160</v>
      </c>
      <c r="N85" s="314">
        <f t="shared" si="103"/>
        <v>0</v>
      </c>
      <c r="O85" s="314">
        <f t="shared" si="103"/>
        <v>299911</v>
      </c>
      <c r="P85" s="314">
        <f t="shared" si="103"/>
        <v>4115</v>
      </c>
      <c r="Q85" s="314">
        <f t="shared" si="103"/>
        <v>9963</v>
      </c>
      <c r="R85" s="314">
        <f t="shared" si="103"/>
        <v>14824478.75</v>
      </c>
      <c r="S85" s="295"/>
      <c r="T85" s="276">
        <f t="shared" si="91"/>
        <v>159690.47999999858</v>
      </c>
      <c r="U85" s="315">
        <f>SUM(U86:U88)</f>
        <v>6052827</v>
      </c>
      <c r="V85" s="316">
        <f t="shared" si="100"/>
        <v>504569</v>
      </c>
      <c r="W85" s="316">
        <f t="shared" si="101"/>
        <v>0.91663911755614358</v>
      </c>
      <c r="X85" s="282"/>
      <c r="Y85" s="314">
        <f>Y86+Y87+Y88</f>
        <v>5862247</v>
      </c>
      <c r="Z85" s="314">
        <f t="shared" ref="Z85:AA85" si="104">Z86+Z87+Z88</f>
        <v>4481548</v>
      </c>
      <c r="AA85" s="314">
        <f t="shared" si="104"/>
        <v>4479950.4800000004</v>
      </c>
      <c r="AB85" s="317">
        <f t="shared" ref="AB85:AB148" si="105">AA85/Y85</f>
        <v>0.76420363727423979</v>
      </c>
      <c r="AC85" s="317">
        <f t="shared" ref="AC85:AC148" si="106">K85/Y85</f>
        <v>0.94643879727346869</v>
      </c>
      <c r="AD85" s="318">
        <f t="shared" si="102"/>
        <v>1.7052224750783431E-7</v>
      </c>
      <c r="AF85" s="276">
        <f t="shared" si="90"/>
        <v>313989</v>
      </c>
      <c r="AI85" s="314">
        <f>AI86+AI87+AI88</f>
        <v>5862247</v>
      </c>
      <c r="AJ85" s="282">
        <f t="shared" ref="AJ85:AJ148" si="107">AI85-K85</f>
        <v>313989</v>
      </c>
    </row>
    <row r="86" spans="1:37" ht="51">
      <c r="A86" s="311" t="s">
        <v>30</v>
      </c>
      <c r="B86" s="323" t="s">
        <v>825</v>
      </c>
      <c r="C86" s="313" t="s">
        <v>230</v>
      </c>
      <c r="D86" s="313" t="s">
        <v>762</v>
      </c>
      <c r="E86" s="313"/>
      <c r="F86" s="313" t="s">
        <v>786</v>
      </c>
      <c r="G86" s="314">
        <v>1484807.69</v>
      </c>
      <c r="H86" s="314">
        <v>0</v>
      </c>
      <c r="I86" s="314">
        <v>1484807.69</v>
      </c>
      <c r="J86" s="297">
        <v>463020.26</v>
      </c>
      <c r="K86" s="337">
        <v>504808</v>
      </c>
      <c r="L86" s="338">
        <v>516172.89</v>
      </c>
      <c r="M86" s="338">
        <v>0</v>
      </c>
      <c r="N86" s="338">
        <v>0</v>
      </c>
      <c r="O86" s="337">
        <v>35000</v>
      </c>
      <c r="P86" s="337">
        <v>0</v>
      </c>
      <c r="Q86" s="337">
        <v>0</v>
      </c>
      <c r="R86" s="297">
        <f t="shared" si="89"/>
        <v>1519001.15</v>
      </c>
      <c r="S86" s="295" t="s">
        <v>826</v>
      </c>
      <c r="T86" s="276">
        <f t="shared" si="91"/>
        <v>-34193.459999999963</v>
      </c>
      <c r="U86" s="315">
        <v>770455</v>
      </c>
      <c r="V86" s="316">
        <f t="shared" si="100"/>
        <v>265647</v>
      </c>
      <c r="W86" s="316">
        <f t="shared" si="101"/>
        <v>0.65520763704564189</v>
      </c>
      <c r="X86" s="282"/>
      <c r="Y86" s="302">
        <v>539808</v>
      </c>
      <c r="Z86" s="302">
        <v>434244</v>
      </c>
      <c r="AA86" s="302">
        <v>434128.71</v>
      </c>
      <c r="AB86" s="317">
        <f t="shared" si="105"/>
        <v>0.80422800329005872</v>
      </c>
      <c r="AC86" s="317">
        <f t="shared" si="106"/>
        <v>0.93516213172090823</v>
      </c>
      <c r="AD86" s="318">
        <f t="shared" si="102"/>
        <v>1.8520186883182238E-6</v>
      </c>
      <c r="AF86" s="276">
        <f t="shared" si="90"/>
        <v>35000</v>
      </c>
      <c r="AI86" s="302">
        <v>539808</v>
      </c>
      <c r="AJ86" s="282">
        <f t="shared" si="107"/>
        <v>35000</v>
      </c>
    </row>
    <row r="87" spans="1:37" ht="89.25">
      <c r="A87" s="311" t="s">
        <v>31</v>
      </c>
      <c r="B87" s="323" t="s">
        <v>827</v>
      </c>
      <c r="C87" s="313" t="s">
        <v>230</v>
      </c>
      <c r="D87" s="313" t="s">
        <v>762</v>
      </c>
      <c r="E87" s="313"/>
      <c r="F87" s="313" t="s">
        <v>828</v>
      </c>
      <c r="G87" s="314">
        <v>3782517.83</v>
      </c>
      <c r="H87" s="314">
        <v>0</v>
      </c>
      <c r="I87" s="314">
        <v>3782517.83</v>
      </c>
      <c r="J87" s="297">
        <v>2385939.7800000003</v>
      </c>
      <c r="K87" s="337">
        <v>826540</v>
      </c>
      <c r="L87" s="338">
        <v>412383</v>
      </c>
      <c r="M87" s="338">
        <v>157653</v>
      </c>
      <c r="N87" s="338">
        <v>0</v>
      </c>
      <c r="O87" s="337">
        <v>0</v>
      </c>
      <c r="P87" s="337">
        <v>0</v>
      </c>
      <c r="Q87" s="337">
        <v>0</v>
      </c>
      <c r="R87" s="297">
        <f t="shared" si="89"/>
        <v>3782515.7800000003</v>
      </c>
      <c r="S87" s="295"/>
      <c r="T87" s="276">
        <f t="shared" si="91"/>
        <v>2.0499999998137355</v>
      </c>
      <c r="U87" s="315">
        <v>826540</v>
      </c>
      <c r="V87" s="316">
        <f t="shared" si="100"/>
        <v>0</v>
      </c>
      <c r="W87" s="316">
        <f t="shared" si="101"/>
        <v>1</v>
      </c>
      <c r="X87" s="282"/>
      <c r="Y87" s="302">
        <v>826540</v>
      </c>
      <c r="Z87" s="302">
        <v>752848</v>
      </c>
      <c r="AA87" s="302">
        <v>752188.83</v>
      </c>
      <c r="AB87" s="317">
        <f t="shared" si="105"/>
        <v>0.91004528516466232</v>
      </c>
      <c r="AC87" s="317">
        <f t="shared" si="106"/>
        <v>1</v>
      </c>
      <c r="AD87" s="318">
        <f t="shared" si="102"/>
        <v>1.2088034837904361E-6</v>
      </c>
      <c r="AF87" s="276">
        <f t="shared" si="90"/>
        <v>0</v>
      </c>
      <c r="AI87" s="302">
        <v>826540</v>
      </c>
      <c r="AJ87" s="282">
        <f t="shared" si="107"/>
        <v>0</v>
      </c>
    </row>
    <row r="88" spans="1:37" ht="102">
      <c r="A88" s="311" t="s">
        <v>32</v>
      </c>
      <c r="B88" s="323" t="s">
        <v>829</v>
      </c>
      <c r="C88" s="313" t="s">
        <v>230</v>
      </c>
      <c r="D88" s="313" t="s">
        <v>762</v>
      </c>
      <c r="E88" s="313" t="s">
        <v>830</v>
      </c>
      <c r="F88" s="313" t="s">
        <v>831</v>
      </c>
      <c r="G88" s="314">
        <v>9716843.709999999</v>
      </c>
      <c r="H88" s="314">
        <v>0</v>
      </c>
      <c r="I88" s="314">
        <v>9716843.709999999</v>
      </c>
      <c r="J88" s="297">
        <v>2388366.8199999998</v>
      </c>
      <c r="K88" s="337">
        <v>4216910</v>
      </c>
      <c r="L88" s="338">
        <v>2226189</v>
      </c>
      <c r="M88" s="338">
        <v>412507</v>
      </c>
      <c r="N88" s="338">
        <v>0</v>
      </c>
      <c r="O88" s="337">
        <v>264911</v>
      </c>
      <c r="P88" s="337">
        <v>4115</v>
      </c>
      <c r="Q88" s="337">
        <v>9963</v>
      </c>
      <c r="R88" s="297">
        <f t="shared" si="89"/>
        <v>9522961.8200000003</v>
      </c>
      <c r="S88" s="325" t="s">
        <v>832</v>
      </c>
      <c r="T88" s="276">
        <f t="shared" si="91"/>
        <v>193881.88999999873</v>
      </c>
      <c r="U88" s="315">
        <v>4455832</v>
      </c>
      <c r="V88" s="316">
        <f t="shared" si="100"/>
        <v>238922</v>
      </c>
      <c r="W88" s="316">
        <f t="shared" si="101"/>
        <v>0.94637993532969822</v>
      </c>
      <c r="X88" s="282"/>
      <c r="Y88" s="302">
        <v>4495899</v>
      </c>
      <c r="Z88" s="302">
        <v>3294456</v>
      </c>
      <c r="AA88" s="302">
        <v>3293632.94</v>
      </c>
      <c r="AB88" s="317">
        <f t="shared" si="105"/>
        <v>0.73258606120822556</v>
      </c>
      <c r="AC88" s="317">
        <f t="shared" si="106"/>
        <v>0.93794589246778004</v>
      </c>
      <c r="AD88" s="318">
        <f t="shared" si="102"/>
        <v>2.2236935664286473E-7</v>
      </c>
      <c r="AF88" s="276">
        <f t="shared" si="90"/>
        <v>278989</v>
      </c>
      <c r="AG88" s="256">
        <v>278989</v>
      </c>
      <c r="AI88" s="302">
        <v>4495899</v>
      </c>
      <c r="AJ88" s="282">
        <f t="shared" si="107"/>
        <v>278989</v>
      </c>
      <c r="AK88" s="256">
        <v>278989</v>
      </c>
    </row>
    <row r="89" spans="1:37" ht="25.5">
      <c r="A89" s="272" t="s">
        <v>341</v>
      </c>
      <c r="B89" s="310" t="s">
        <v>833</v>
      </c>
      <c r="C89" s="292" t="s">
        <v>230</v>
      </c>
      <c r="D89" s="292"/>
      <c r="E89" s="292"/>
      <c r="F89" s="292"/>
      <c r="G89" s="321">
        <f>G90+G98+G104</f>
        <v>16885634.279999997</v>
      </c>
      <c r="H89" s="321">
        <f t="shared" ref="H89:Q89" si="108">H90+H98+H104</f>
        <v>0</v>
      </c>
      <c r="I89" s="321">
        <f t="shared" si="108"/>
        <v>16885634.279999997</v>
      </c>
      <c r="J89" s="321">
        <f t="shared" si="108"/>
        <v>7948500.6799999997</v>
      </c>
      <c r="K89" s="321">
        <f t="shared" si="108"/>
        <v>3728569</v>
      </c>
      <c r="L89" s="321">
        <f t="shared" si="108"/>
        <v>2542945</v>
      </c>
      <c r="M89" s="321">
        <f t="shared" si="108"/>
        <v>451585</v>
      </c>
      <c r="N89" s="321">
        <f t="shared" si="108"/>
        <v>13795</v>
      </c>
      <c r="O89" s="321">
        <f t="shared" si="108"/>
        <v>1508620</v>
      </c>
      <c r="P89" s="321">
        <f t="shared" si="108"/>
        <v>291008</v>
      </c>
      <c r="Q89" s="321">
        <f t="shared" si="108"/>
        <v>33059</v>
      </c>
      <c r="R89" s="297">
        <f t="shared" si="89"/>
        <v>16518081.68</v>
      </c>
      <c r="S89" s="295"/>
      <c r="T89" s="276">
        <f t="shared" si="91"/>
        <v>367552.59999999776</v>
      </c>
      <c r="U89" s="277">
        <f>U90+U98+U104</f>
        <v>4435596</v>
      </c>
      <c r="V89" s="277">
        <f t="shared" si="100"/>
        <v>707027</v>
      </c>
      <c r="W89" s="277">
        <f t="shared" si="101"/>
        <v>0.84060157868300001</v>
      </c>
      <c r="X89" s="282"/>
      <c r="Y89" s="321">
        <f>Y90+Y98+Y104</f>
        <v>5504459</v>
      </c>
      <c r="Z89" s="321">
        <f t="shared" ref="Z89:AA89" si="109">Z90+Z98+Z104</f>
        <v>4020262</v>
      </c>
      <c r="AA89" s="321">
        <f t="shared" si="109"/>
        <v>3172822.9400000004</v>
      </c>
      <c r="AB89" s="296">
        <f t="shared" si="105"/>
        <v>0.57640958720920632</v>
      </c>
      <c r="AC89" s="296">
        <f t="shared" si="106"/>
        <v>0.67737247202676953</v>
      </c>
      <c r="AD89" s="293">
        <f t="shared" si="102"/>
        <v>1.4337612504090688E-7</v>
      </c>
      <c r="AF89" s="276">
        <f t="shared" si="90"/>
        <v>1775890</v>
      </c>
      <c r="AI89" s="321">
        <f>AI90+AI98+AI104</f>
        <v>4853564</v>
      </c>
      <c r="AJ89" s="282">
        <f t="shared" si="107"/>
        <v>1124995</v>
      </c>
    </row>
    <row r="90" spans="1:37" ht="38.25">
      <c r="A90" s="272" t="s">
        <v>343</v>
      </c>
      <c r="B90" s="310" t="s">
        <v>834</v>
      </c>
      <c r="C90" s="292" t="s">
        <v>230</v>
      </c>
      <c r="D90" s="292"/>
      <c r="E90" s="292"/>
      <c r="F90" s="292"/>
      <c r="G90" s="321">
        <f>G91+G94+G95</f>
        <v>5779652.5</v>
      </c>
      <c r="H90" s="321">
        <f t="shared" ref="H90:Q90" si="110">H91+H94+H95</f>
        <v>0</v>
      </c>
      <c r="I90" s="321">
        <f t="shared" si="110"/>
        <v>5779652.5</v>
      </c>
      <c r="J90" s="321">
        <f t="shared" si="110"/>
        <v>2512664.7299999995</v>
      </c>
      <c r="K90" s="321">
        <f t="shared" si="110"/>
        <v>1028328</v>
      </c>
      <c r="L90" s="321">
        <f t="shared" si="110"/>
        <v>1165609</v>
      </c>
      <c r="M90" s="321">
        <f t="shared" si="110"/>
        <v>27650</v>
      </c>
      <c r="N90" s="321">
        <f t="shared" si="110"/>
        <v>0</v>
      </c>
      <c r="O90" s="321">
        <f t="shared" si="110"/>
        <v>887470</v>
      </c>
      <c r="P90" s="321">
        <f t="shared" si="110"/>
        <v>186475</v>
      </c>
      <c r="Q90" s="321">
        <f t="shared" si="110"/>
        <v>0</v>
      </c>
      <c r="R90" s="297">
        <f t="shared" si="89"/>
        <v>5808196.7299999995</v>
      </c>
      <c r="S90" s="295"/>
      <c r="T90" s="276">
        <f t="shared" si="91"/>
        <v>-28544.229999999516</v>
      </c>
      <c r="U90" s="277">
        <f>U91+U94+U95</f>
        <v>1708776</v>
      </c>
      <c r="V90" s="277">
        <f t="shared" si="100"/>
        <v>680448</v>
      </c>
      <c r="W90" s="277">
        <f t="shared" si="101"/>
        <v>0.60179216000224722</v>
      </c>
      <c r="X90" s="282"/>
      <c r="Y90" s="321">
        <f>Y91+Y94+Y95</f>
        <v>1983584</v>
      </c>
      <c r="Z90" s="321">
        <f t="shared" ref="Z90:AA90" si="111">Z91+Z94+Z95</f>
        <v>1295276</v>
      </c>
      <c r="AA90" s="321">
        <f t="shared" si="111"/>
        <v>859980.31</v>
      </c>
      <c r="AB90" s="296">
        <f t="shared" si="105"/>
        <v>0.43354872291770857</v>
      </c>
      <c r="AC90" s="296">
        <f t="shared" si="106"/>
        <v>0.51841918466775294</v>
      </c>
      <c r="AD90" s="293">
        <f t="shared" si="102"/>
        <v>3.3471532161308365E-7</v>
      </c>
      <c r="AF90" s="276">
        <f t="shared" si="90"/>
        <v>955256</v>
      </c>
      <c r="AI90" s="321">
        <f>AI91+AI94+AI95</f>
        <v>1706808</v>
      </c>
      <c r="AJ90" s="282">
        <f t="shared" si="107"/>
        <v>678480</v>
      </c>
    </row>
    <row r="91" spans="1:37" ht="51">
      <c r="A91" s="311" t="s">
        <v>345</v>
      </c>
      <c r="B91" s="312" t="s">
        <v>835</v>
      </c>
      <c r="C91" s="313" t="s">
        <v>230</v>
      </c>
      <c r="D91" s="313"/>
      <c r="E91" s="313"/>
      <c r="F91" s="313"/>
      <c r="G91" s="314">
        <f>G92+G93</f>
        <v>2781474.04</v>
      </c>
      <c r="H91" s="314">
        <f t="shared" ref="H91:Q91" si="112">H92+H93</f>
        <v>0</v>
      </c>
      <c r="I91" s="314">
        <f t="shared" si="112"/>
        <v>2781474.04</v>
      </c>
      <c r="J91" s="314">
        <f t="shared" si="112"/>
        <v>865995.74</v>
      </c>
      <c r="K91" s="314">
        <f t="shared" si="112"/>
        <v>644609</v>
      </c>
      <c r="L91" s="314">
        <f t="shared" si="112"/>
        <v>754087</v>
      </c>
      <c r="M91" s="314">
        <f t="shared" si="112"/>
        <v>0</v>
      </c>
      <c r="N91" s="314">
        <f t="shared" si="112"/>
        <v>0</v>
      </c>
      <c r="O91" s="314">
        <f t="shared" si="112"/>
        <v>516782</v>
      </c>
      <c r="P91" s="314">
        <f t="shared" si="112"/>
        <v>0</v>
      </c>
      <c r="Q91" s="314">
        <f t="shared" si="112"/>
        <v>0</v>
      </c>
      <c r="R91" s="297">
        <f t="shared" si="89"/>
        <v>2781473.74</v>
      </c>
      <c r="S91" s="295"/>
      <c r="T91" s="276">
        <f t="shared" si="91"/>
        <v>0.29999999981373549</v>
      </c>
      <c r="U91" s="315">
        <f>SUM(U92:U93)</f>
        <v>802185</v>
      </c>
      <c r="V91" s="316">
        <f t="shared" si="100"/>
        <v>157576</v>
      </c>
      <c r="W91" s="316">
        <f t="shared" si="101"/>
        <v>0.80356650897236925</v>
      </c>
      <c r="X91" s="282"/>
      <c r="Y91" s="314">
        <f t="shared" ref="Y91:AA91" si="113">Y92+Y93</f>
        <v>1122369</v>
      </c>
      <c r="Z91" s="314">
        <f t="shared" si="113"/>
        <v>727868</v>
      </c>
      <c r="AA91" s="314">
        <f t="shared" si="113"/>
        <v>535376.42000000004</v>
      </c>
      <c r="AB91" s="317">
        <f t="shared" si="105"/>
        <v>0.4770057084612993</v>
      </c>
      <c r="AC91" s="317">
        <f t="shared" si="106"/>
        <v>0.57432894172950255</v>
      </c>
      <c r="AD91" s="318">
        <f t="shared" si="102"/>
        <v>6.5534644806654411E-7</v>
      </c>
      <c r="AF91" s="276">
        <f t="shared" si="90"/>
        <v>477760</v>
      </c>
      <c r="AI91" s="314">
        <f t="shared" ref="AI91" si="114">AI92+AI93</f>
        <v>1122369</v>
      </c>
      <c r="AJ91" s="282">
        <f t="shared" si="107"/>
        <v>477760</v>
      </c>
    </row>
    <row r="92" spans="1:37" ht="76.5">
      <c r="A92" s="311" t="s">
        <v>37</v>
      </c>
      <c r="B92" s="323" t="s">
        <v>836</v>
      </c>
      <c r="C92" s="313" t="s">
        <v>230</v>
      </c>
      <c r="D92" s="313" t="s">
        <v>837</v>
      </c>
      <c r="E92" s="313"/>
      <c r="F92" s="313" t="s">
        <v>744</v>
      </c>
      <c r="G92" s="314">
        <v>2781474.04</v>
      </c>
      <c r="H92" s="314">
        <v>0</v>
      </c>
      <c r="I92" s="314">
        <v>2781474.04</v>
      </c>
      <c r="J92" s="297">
        <v>865995.74</v>
      </c>
      <c r="K92" s="297">
        <v>644609</v>
      </c>
      <c r="L92" s="298">
        <v>754087</v>
      </c>
      <c r="M92" s="298">
        <v>0</v>
      </c>
      <c r="N92" s="298">
        <v>0</v>
      </c>
      <c r="O92" s="297">
        <v>516782</v>
      </c>
      <c r="P92" s="297">
        <v>0</v>
      </c>
      <c r="Q92" s="297">
        <v>0</v>
      </c>
      <c r="R92" s="297">
        <f t="shared" si="89"/>
        <v>2781473.74</v>
      </c>
      <c r="S92" s="295"/>
      <c r="T92" s="276">
        <f t="shared" si="91"/>
        <v>0.29999999981373549</v>
      </c>
      <c r="U92" s="315">
        <v>802185</v>
      </c>
      <c r="V92" s="316">
        <f t="shared" si="100"/>
        <v>157576</v>
      </c>
      <c r="W92" s="316">
        <f t="shared" si="101"/>
        <v>0.80356650897236925</v>
      </c>
      <c r="X92" s="282"/>
      <c r="Y92" s="302">
        <v>1122369</v>
      </c>
      <c r="Z92" s="302">
        <v>727868</v>
      </c>
      <c r="AA92" s="302">
        <v>535376.42000000004</v>
      </c>
      <c r="AB92" s="317">
        <f t="shared" si="105"/>
        <v>0.4770057084612993</v>
      </c>
      <c r="AC92" s="317">
        <f t="shared" si="106"/>
        <v>0.57432894172950255</v>
      </c>
      <c r="AD92" s="318">
        <f t="shared" si="102"/>
        <v>6.5534644806654411E-7</v>
      </c>
      <c r="AF92" s="276">
        <f t="shared" si="90"/>
        <v>477760</v>
      </c>
      <c r="AI92" s="302">
        <v>1122369</v>
      </c>
      <c r="AJ92" s="282">
        <f t="shared" si="107"/>
        <v>477760</v>
      </c>
    </row>
    <row r="93" spans="1:37" ht="38.25">
      <c r="A93" s="311" t="s">
        <v>38</v>
      </c>
      <c r="B93" s="323" t="s">
        <v>838</v>
      </c>
      <c r="C93" s="313" t="s">
        <v>230</v>
      </c>
      <c r="D93" s="313" t="s">
        <v>839</v>
      </c>
      <c r="E93" s="313"/>
      <c r="F93" s="313" t="s">
        <v>840</v>
      </c>
      <c r="G93" s="314">
        <v>0</v>
      </c>
      <c r="H93" s="314">
        <v>0</v>
      </c>
      <c r="I93" s="314">
        <v>0</v>
      </c>
      <c r="J93" s="297">
        <v>0</v>
      </c>
      <c r="K93" s="297">
        <v>0</v>
      </c>
      <c r="L93" s="298">
        <v>0</v>
      </c>
      <c r="M93" s="298">
        <v>0</v>
      </c>
      <c r="N93" s="298">
        <v>0</v>
      </c>
      <c r="O93" s="297">
        <v>0</v>
      </c>
      <c r="P93" s="297">
        <v>0</v>
      </c>
      <c r="Q93" s="297">
        <v>0</v>
      </c>
      <c r="R93" s="297">
        <f t="shared" si="89"/>
        <v>0</v>
      </c>
      <c r="S93" s="295"/>
      <c r="T93" s="276">
        <f t="shared" si="91"/>
        <v>0</v>
      </c>
      <c r="U93" s="315">
        <v>0</v>
      </c>
      <c r="V93" s="316">
        <f t="shared" si="100"/>
        <v>0</v>
      </c>
      <c r="W93" s="316" t="e">
        <f t="shared" si="101"/>
        <v>#DIV/0!</v>
      </c>
      <c r="X93" s="282"/>
      <c r="Y93" s="302">
        <v>0</v>
      </c>
      <c r="Z93" s="302">
        <v>0</v>
      </c>
      <c r="AA93" s="302">
        <v>0</v>
      </c>
      <c r="AB93" s="317" t="e">
        <f t="shared" si="105"/>
        <v>#DIV/0!</v>
      </c>
      <c r="AC93" s="317" t="e">
        <f t="shared" si="106"/>
        <v>#DIV/0!</v>
      </c>
      <c r="AD93" s="318" t="e">
        <f t="shared" si="102"/>
        <v>#DIV/0!</v>
      </c>
      <c r="AF93" s="276">
        <f t="shared" si="90"/>
        <v>0</v>
      </c>
      <c r="AI93" s="302">
        <v>0</v>
      </c>
      <c r="AJ93" s="282">
        <f t="shared" si="107"/>
        <v>0</v>
      </c>
    </row>
    <row r="94" spans="1:37" ht="242.25">
      <c r="A94" s="311" t="s">
        <v>39</v>
      </c>
      <c r="B94" s="312" t="s">
        <v>841</v>
      </c>
      <c r="C94" s="313" t="s">
        <v>230</v>
      </c>
      <c r="D94" s="313" t="s">
        <v>839</v>
      </c>
      <c r="E94" s="313"/>
      <c r="F94" s="313" t="s">
        <v>786</v>
      </c>
      <c r="G94" s="314">
        <v>2066020</v>
      </c>
      <c r="H94" s="314">
        <v>0</v>
      </c>
      <c r="I94" s="314">
        <v>2066020</v>
      </c>
      <c r="J94" s="297">
        <v>717410.16</v>
      </c>
      <c r="K94" s="297">
        <v>383719</v>
      </c>
      <c r="L94" s="298">
        <v>411522</v>
      </c>
      <c r="M94" s="298">
        <v>27650</v>
      </c>
      <c r="N94" s="298">
        <v>0</v>
      </c>
      <c r="O94" s="297">
        <v>345748</v>
      </c>
      <c r="P94" s="297">
        <v>186475</v>
      </c>
      <c r="Q94" s="297">
        <v>0</v>
      </c>
      <c r="R94" s="297">
        <f t="shared" si="89"/>
        <v>2072524.1600000001</v>
      </c>
      <c r="S94" s="295" t="s">
        <v>842</v>
      </c>
      <c r="T94" s="276">
        <f>I94-R94</f>
        <v>-6504.160000000149</v>
      </c>
      <c r="U94" s="336">
        <v>906591</v>
      </c>
      <c r="V94" s="316">
        <f t="shared" si="100"/>
        <v>522872</v>
      </c>
      <c r="W94" s="316">
        <f t="shared" si="101"/>
        <v>0.42325480839761259</v>
      </c>
      <c r="X94" s="282"/>
      <c r="Y94" s="302">
        <v>861215</v>
      </c>
      <c r="Z94" s="302">
        <v>567408</v>
      </c>
      <c r="AA94" s="302">
        <v>324603.89</v>
      </c>
      <c r="AB94" s="317">
        <f t="shared" si="105"/>
        <v>0.37691388329278985</v>
      </c>
      <c r="AC94" s="317">
        <f t="shared" si="106"/>
        <v>0.44555540718635883</v>
      </c>
      <c r="AD94" s="318">
        <f t="shared" si="102"/>
        <v>6.6427312144486832E-7</v>
      </c>
      <c r="AF94" s="276">
        <f t="shared" si="90"/>
        <v>477496</v>
      </c>
      <c r="AI94" s="302">
        <f>861215-276776</f>
        <v>584439</v>
      </c>
      <c r="AJ94" s="282">
        <f t="shared" si="107"/>
        <v>200720</v>
      </c>
    </row>
    <row r="95" spans="1:37" ht="76.5">
      <c r="A95" s="311" t="s">
        <v>352</v>
      </c>
      <c r="B95" s="312" t="s">
        <v>843</v>
      </c>
      <c r="C95" s="313" t="s">
        <v>230</v>
      </c>
      <c r="D95" s="313" t="s">
        <v>839</v>
      </c>
      <c r="E95" s="313"/>
      <c r="F95" s="313"/>
      <c r="G95" s="314">
        <f>G96+G97</f>
        <v>932158.46</v>
      </c>
      <c r="H95" s="314">
        <f t="shared" ref="H95:Q95" si="115">H96+H97</f>
        <v>0</v>
      </c>
      <c r="I95" s="314">
        <f t="shared" si="115"/>
        <v>932158.46</v>
      </c>
      <c r="J95" s="314">
        <f t="shared" si="115"/>
        <v>929258.82999999984</v>
      </c>
      <c r="K95" s="314">
        <f t="shared" si="115"/>
        <v>0</v>
      </c>
      <c r="L95" s="314">
        <f t="shared" si="115"/>
        <v>0</v>
      </c>
      <c r="M95" s="314">
        <f t="shared" si="115"/>
        <v>0</v>
      </c>
      <c r="N95" s="314">
        <f t="shared" si="115"/>
        <v>0</v>
      </c>
      <c r="O95" s="314">
        <f t="shared" si="115"/>
        <v>24940</v>
      </c>
      <c r="P95" s="314">
        <f t="shared" si="115"/>
        <v>0</v>
      </c>
      <c r="Q95" s="314">
        <f t="shared" si="115"/>
        <v>0</v>
      </c>
      <c r="R95" s="297">
        <f t="shared" si="89"/>
        <v>954198.82999999984</v>
      </c>
      <c r="S95" s="295"/>
      <c r="T95" s="276">
        <f t="shared" si="91"/>
        <v>-22040.369999999879</v>
      </c>
      <c r="U95" s="315">
        <f>SUM(U96:U97)</f>
        <v>0</v>
      </c>
      <c r="V95" s="316">
        <f t="shared" si="100"/>
        <v>0</v>
      </c>
      <c r="W95" s="316" t="e">
        <f t="shared" si="101"/>
        <v>#DIV/0!</v>
      </c>
      <c r="X95" s="282"/>
      <c r="Y95" s="314">
        <f>Y96+Y97</f>
        <v>0</v>
      </c>
      <c r="Z95" s="314">
        <f t="shared" ref="Z95:AA95" si="116">Z96+Z97</f>
        <v>0</v>
      </c>
      <c r="AA95" s="314">
        <f t="shared" si="116"/>
        <v>0</v>
      </c>
      <c r="AB95" s="317" t="e">
        <f t="shared" si="105"/>
        <v>#DIV/0!</v>
      </c>
      <c r="AC95" s="317" t="e">
        <f t="shared" si="106"/>
        <v>#DIV/0!</v>
      </c>
      <c r="AD95" s="318" t="e">
        <f t="shared" si="102"/>
        <v>#DIV/0!</v>
      </c>
      <c r="AF95" s="276">
        <f t="shared" si="90"/>
        <v>0</v>
      </c>
      <c r="AI95" s="314">
        <f>AI96+AI97</f>
        <v>0</v>
      </c>
      <c r="AJ95" s="282">
        <f t="shared" si="107"/>
        <v>0</v>
      </c>
    </row>
    <row r="96" spans="1:37" ht="63.75">
      <c r="A96" s="311" t="s">
        <v>40</v>
      </c>
      <c r="B96" s="323" t="s">
        <v>844</v>
      </c>
      <c r="C96" s="313" t="s">
        <v>230</v>
      </c>
      <c r="D96" s="313" t="s">
        <v>839</v>
      </c>
      <c r="E96" s="313" t="s">
        <v>845</v>
      </c>
      <c r="F96" s="313" t="s">
        <v>846</v>
      </c>
      <c r="G96" s="314">
        <v>409218.87</v>
      </c>
      <c r="H96" s="314">
        <v>0</v>
      </c>
      <c r="I96" s="314">
        <v>409218.87</v>
      </c>
      <c r="J96" s="297">
        <v>411488.88999999996</v>
      </c>
      <c r="K96" s="297">
        <v>0</v>
      </c>
      <c r="L96" s="298">
        <v>0</v>
      </c>
      <c r="M96" s="298">
        <v>0</v>
      </c>
      <c r="N96" s="298">
        <v>0</v>
      </c>
      <c r="O96" s="297">
        <v>0</v>
      </c>
      <c r="P96" s="297">
        <v>0</v>
      </c>
      <c r="Q96" s="297">
        <v>0</v>
      </c>
      <c r="R96" s="297">
        <f t="shared" si="89"/>
        <v>411488.88999999996</v>
      </c>
      <c r="S96" s="295"/>
      <c r="T96" s="276">
        <f t="shared" si="91"/>
        <v>-2270.0199999999604</v>
      </c>
      <c r="U96" s="315">
        <v>0</v>
      </c>
      <c r="V96" s="316">
        <f t="shared" si="100"/>
        <v>0</v>
      </c>
      <c r="W96" s="316" t="e">
        <f t="shared" si="101"/>
        <v>#DIV/0!</v>
      </c>
      <c r="X96" s="282"/>
      <c r="Y96" s="302">
        <v>0</v>
      </c>
      <c r="Z96" s="302">
        <v>0</v>
      </c>
      <c r="AA96" s="302">
        <v>0</v>
      </c>
      <c r="AB96" s="317" t="e">
        <f t="shared" si="105"/>
        <v>#DIV/0!</v>
      </c>
      <c r="AC96" s="317" t="e">
        <f t="shared" si="106"/>
        <v>#DIV/0!</v>
      </c>
      <c r="AD96" s="318" t="e">
        <f t="shared" si="102"/>
        <v>#DIV/0!</v>
      </c>
      <c r="AF96" s="276">
        <f t="shared" si="90"/>
        <v>0</v>
      </c>
      <c r="AG96" s="256">
        <v>0</v>
      </c>
      <c r="AI96" s="302">
        <v>0</v>
      </c>
      <c r="AJ96" s="282">
        <f t="shared" si="107"/>
        <v>0</v>
      </c>
      <c r="AK96" s="256">
        <v>0</v>
      </c>
    </row>
    <row r="97" spans="1:37" ht="89.25">
      <c r="A97" s="311" t="s">
        <v>41</v>
      </c>
      <c r="B97" s="323" t="s">
        <v>847</v>
      </c>
      <c r="C97" s="313" t="s">
        <v>230</v>
      </c>
      <c r="D97" s="313" t="s">
        <v>839</v>
      </c>
      <c r="E97" s="313" t="s">
        <v>845</v>
      </c>
      <c r="F97" s="313" t="s">
        <v>846</v>
      </c>
      <c r="G97" s="314">
        <v>522939.58999999997</v>
      </c>
      <c r="H97" s="314">
        <v>0</v>
      </c>
      <c r="I97" s="314">
        <v>522939.58999999997</v>
      </c>
      <c r="J97" s="297">
        <v>517769.93999999994</v>
      </c>
      <c r="K97" s="297">
        <v>0</v>
      </c>
      <c r="L97" s="298">
        <v>0</v>
      </c>
      <c r="M97" s="298">
        <v>0</v>
      </c>
      <c r="N97" s="298">
        <v>0</v>
      </c>
      <c r="O97" s="297">
        <v>24940</v>
      </c>
      <c r="P97" s="297">
        <v>0</v>
      </c>
      <c r="Q97" s="297">
        <v>0</v>
      </c>
      <c r="R97" s="297">
        <f t="shared" si="89"/>
        <v>542709.93999999994</v>
      </c>
      <c r="S97" s="295" t="s">
        <v>848</v>
      </c>
      <c r="T97" s="276">
        <f t="shared" si="91"/>
        <v>-19770.349999999977</v>
      </c>
      <c r="U97" s="315">
        <v>0</v>
      </c>
      <c r="V97" s="316">
        <f t="shared" si="100"/>
        <v>0</v>
      </c>
      <c r="W97" s="316" t="e">
        <f t="shared" si="101"/>
        <v>#DIV/0!</v>
      </c>
      <c r="X97" s="282"/>
      <c r="Y97" s="302">
        <v>0</v>
      </c>
      <c r="Z97" s="302">
        <v>0</v>
      </c>
      <c r="AA97" s="302">
        <v>0</v>
      </c>
      <c r="AB97" s="317" t="e">
        <f t="shared" si="105"/>
        <v>#DIV/0!</v>
      </c>
      <c r="AC97" s="317" t="e">
        <f t="shared" si="106"/>
        <v>#DIV/0!</v>
      </c>
      <c r="AD97" s="318" t="e">
        <f t="shared" si="102"/>
        <v>#DIV/0!</v>
      </c>
      <c r="AF97" s="276">
        <f t="shared" si="90"/>
        <v>0</v>
      </c>
      <c r="AG97" s="256">
        <v>0</v>
      </c>
      <c r="AI97" s="302">
        <v>0</v>
      </c>
      <c r="AJ97" s="282">
        <f t="shared" si="107"/>
        <v>0</v>
      </c>
      <c r="AK97" s="256">
        <v>0</v>
      </c>
    </row>
    <row r="98" spans="1:37" ht="63.75">
      <c r="A98" s="272" t="s">
        <v>357</v>
      </c>
      <c r="B98" s="310" t="s">
        <v>849</v>
      </c>
      <c r="C98" s="292" t="s">
        <v>230</v>
      </c>
      <c r="D98" s="292" t="s">
        <v>839</v>
      </c>
      <c r="E98" s="292"/>
      <c r="F98" s="292"/>
      <c r="G98" s="321">
        <f>G99+G100</f>
        <v>6079265.419999999</v>
      </c>
      <c r="H98" s="321">
        <f t="shared" ref="H98:Q98" si="117">H99+H100</f>
        <v>0</v>
      </c>
      <c r="I98" s="321">
        <f t="shared" si="117"/>
        <v>6079265.419999999</v>
      </c>
      <c r="J98" s="321">
        <f t="shared" si="117"/>
        <v>2237229.9500000002</v>
      </c>
      <c r="K98" s="321">
        <f t="shared" si="117"/>
        <v>1815860</v>
      </c>
      <c r="L98" s="321">
        <f t="shared" si="117"/>
        <v>975635</v>
      </c>
      <c r="M98" s="321">
        <f t="shared" si="117"/>
        <v>376087</v>
      </c>
      <c r="N98" s="321">
        <f t="shared" si="117"/>
        <v>0</v>
      </c>
      <c r="O98" s="321">
        <f t="shared" si="117"/>
        <v>349413</v>
      </c>
      <c r="P98" s="321">
        <f t="shared" si="117"/>
        <v>96249</v>
      </c>
      <c r="Q98" s="321">
        <f t="shared" si="117"/>
        <v>33059</v>
      </c>
      <c r="R98" s="297">
        <f t="shared" si="89"/>
        <v>5883532.9500000002</v>
      </c>
      <c r="S98" s="295"/>
      <c r="T98" s="276">
        <f t="shared" si="91"/>
        <v>195732.46999999881</v>
      </c>
      <c r="U98" s="277">
        <f>U99+U100</f>
        <v>1401000</v>
      </c>
      <c r="V98" s="277">
        <f t="shared" si="100"/>
        <v>-414860</v>
      </c>
      <c r="W98" s="277">
        <f t="shared" si="101"/>
        <v>1.2961170592433975</v>
      </c>
      <c r="X98" s="282"/>
      <c r="Y98" s="321">
        <f>Y99+Y100</f>
        <v>2195055</v>
      </c>
      <c r="Z98" s="321">
        <f t="shared" ref="Z98:AA98" si="118">Z99+Z100</f>
        <v>1799000</v>
      </c>
      <c r="AA98" s="321">
        <f t="shared" si="118"/>
        <v>1525033.31</v>
      </c>
      <c r="AB98" s="296">
        <f t="shared" si="105"/>
        <v>0.69475858691467873</v>
      </c>
      <c r="AC98" s="296">
        <f t="shared" si="106"/>
        <v>0.82725034224654959</v>
      </c>
      <c r="AD98" s="293">
        <f t="shared" si="102"/>
        <v>3.8619154358792592E-7</v>
      </c>
      <c r="AF98" s="276">
        <f t="shared" si="90"/>
        <v>379195</v>
      </c>
      <c r="AI98" s="321">
        <f>AI99+AI100</f>
        <v>2195055</v>
      </c>
      <c r="AJ98" s="282">
        <f t="shared" si="107"/>
        <v>379195</v>
      </c>
    </row>
    <row r="99" spans="1:37" ht="76.5">
      <c r="A99" s="311" t="s">
        <v>42</v>
      </c>
      <c r="B99" s="312" t="s">
        <v>850</v>
      </c>
      <c r="C99" s="313" t="s">
        <v>230</v>
      </c>
      <c r="D99" s="313" t="s">
        <v>839</v>
      </c>
      <c r="E99" s="313"/>
      <c r="F99" s="313" t="s">
        <v>786</v>
      </c>
      <c r="G99" s="314">
        <v>71564</v>
      </c>
      <c r="H99" s="314">
        <v>0</v>
      </c>
      <c r="I99" s="314">
        <v>71564</v>
      </c>
      <c r="J99" s="297">
        <v>71563.47</v>
      </c>
      <c r="K99" s="297">
        <v>0</v>
      </c>
      <c r="L99" s="298">
        <v>0</v>
      </c>
      <c r="M99" s="298">
        <v>0</v>
      </c>
      <c r="N99" s="298">
        <v>0</v>
      </c>
      <c r="O99" s="297">
        <v>0</v>
      </c>
      <c r="P99" s="297">
        <v>0</v>
      </c>
      <c r="Q99" s="297">
        <v>0</v>
      </c>
      <c r="R99" s="297">
        <f t="shared" si="89"/>
        <v>71563.47</v>
      </c>
      <c r="S99" s="295"/>
      <c r="T99" s="276">
        <f t="shared" si="91"/>
        <v>0.52999999999883585</v>
      </c>
      <c r="U99" s="315">
        <f>1492013-1492013</f>
        <v>0</v>
      </c>
      <c r="V99" s="316">
        <f t="shared" si="100"/>
        <v>0</v>
      </c>
      <c r="W99" s="316" t="e">
        <f t="shared" si="101"/>
        <v>#DIV/0!</v>
      </c>
      <c r="X99" s="282"/>
      <c r="Y99" s="302">
        <v>0</v>
      </c>
      <c r="Z99" s="302">
        <v>0</v>
      </c>
      <c r="AA99" s="302">
        <v>0</v>
      </c>
      <c r="AB99" s="317" t="e">
        <f t="shared" si="105"/>
        <v>#DIV/0!</v>
      </c>
      <c r="AC99" s="317" t="e">
        <f t="shared" si="106"/>
        <v>#DIV/0!</v>
      </c>
      <c r="AD99" s="318" t="e">
        <f t="shared" si="102"/>
        <v>#DIV/0!</v>
      </c>
      <c r="AF99" s="276">
        <f t="shared" si="90"/>
        <v>0</v>
      </c>
      <c r="AI99" s="302">
        <v>0</v>
      </c>
      <c r="AJ99" s="282">
        <f t="shared" si="107"/>
        <v>0</v>
      </c>
    </row>
    <row r="100" spans="1:37" ht="76.5">
      <c r="A100" s="311" t="s">
        <v>360</v>
      </c>
      <c r="B100" s="312" t="s">
        <v>851</v>
      </c>
      <c r="C100" s="313" t="s">
        <v>230</v>
      </c>
      <c r="D100" s="313" t="s">
        <v>839</v>
      </c>
      <c r="E100" s="313"/>
      <c r="F100" s="313"/>
      <c r="G100" s="314">
        <f>G101+G102+G103</f>
        <v>6007701.419999999</v>
      </c>
      <c r="H100" s="314">
        <f t="shared" ref="H100:Q100" si="119">H101+H102+H103</f>
        <v>0</v>
      </c>
      <c r="I100" s="314">
        <f t="shared" si="119"/>
        <v>6007701.419999999</v>
      </c>
      <c r="J100" s="314">
        <f t="shared" si="119"/>
        <v>2165666.48</v>
      </c>
      <c r="K100" s="314">
        <f t="shared" si="119"/>
        <v>1815860</v>
      </c>
      <c r="L100" s="314">
        <f t="shared" si="119"/>
        <v>975635</v>
      </c>
      <c r="M100" s="314">
        <f t="shared" si="119"/>
        <v>376087</v>
      </c>
      <c r="N100" s="314">
        <f t="shared" si="119"/>
        <v>0</v>
      </c>
      <c r="O100" s="314">
        <f t="shared" si="119"/>
        <v>349413</v>
      </c>
      <c r="P100" s="314">
        <f t="shared" si="119"/>
        <v>96249</v>
      </c>
      <c r="Q100" s="314">
        <f t="shared" si="119"/>
        <v>33059</v>
      </c>
      <c r="R100" s="297">
        <f t="shared" si="89"/>
        <v>5811969.4800000004</v>
      </c>
      <c r="S100" s="295"/>
      <c r="T100" s="276">
        <f t="shared" si="91"/>
        <v>195731.93999999855</v>
      </c>
      <c r="U100" s="315">
        <f>SUM(U101:U103)</f>
        <v>1401000</v>
      </c>
      <c r="V100" s="316">
        <f t="shared" si="100"/>
        <v>-414860</v>
      </c>
      <c r="W100" s="316">
        <f t="shared" si="101"/>
        <v>1.2961170592433975</v>
      </c>
      <c r="X100" s="282"/>
      <c r="Y100" s="314">
        <f>Y101+Y102+Y103</f>
        <v>2195055</v>
      </c>
      <c r="Z100" s="314">
        <f t="shared" ref="Z100:AA100" si="120">Z101+Z102+Z103</f>
        <v>1799000</v>
      </c>
      <c r="AA100" s="314">
        <f t="shared" si="120"/>
        <v>1525033.31</v>
      </c>
      <c r="AB100" s="317">
        <f t="shared" si="105"/>
        <v>0.69475858691467873</v>
      </c>
      <c r="AC100" s="317">
        <f t="shared" si="106"/>
        <v>0.82725034224654959</v>
      </c>
      <c r="AD100" s="318">
        <f t="shared" si="102"/>
        <v>3.8619154358792592E-7</v>
      </c>
      <c r="AF100" s="276">
        <f t="shared" si="90"/>
        <v>379195</v>
      </c>
      <c r="AI100" s="314">
        <f>AI101+AI102+AI103</f>
        <v>2195055</v>
      </c>
      <c r="AJ100" s="282">
        <f t="shared" si="107"/>
        <v>379195</v>
      </c>
    </row>
    <row r="101" spans="1:37" ht="63.75">
      <c r="A101" s="311" t="s">
        <v>43</v>
      </c>
      <c r="B101" s="323" t="s">
        <v>852</v>
      </c>
      <c r="C101" s="313" t="s">
        <v>230</v>
      </c>
      <c r="D101" s="313" t="s">
        <v>839</v>
      </c>
      <c r="E101" s="313" t="s">
        <v>853</v>
      </c>
      <c r="F101" s="313" t="s">
        <v>854</v>
      </c>
      <c r="G101" s="314">
        <v>2244185.2999999998</v>
      </c>
      <c r="H101" s="314">
        <v>0</v>
      </c>
      <c r="I101" s="314">
        <v>2244185.2999999998</v>
      </c>
      <c r="J101" s="297">
        <v>1025650.29</v>
      </c>
      <c r="K101" s="297">
        <v>379478</v>
      </c>
      <c r="L101" s="298">
        <v>363793</v>
      </c>
      <c r="M101" s="298">
        <v>376087</v>
      </c>
      <c r="N101" s="298">
        <v>0</v>
      </c>
      <c r="O101" s="297">
        <v>0</v>
      </c>
      <c r="P101" s="297">
        <v>66118</v>
      </c>
      <c r="Q101" s="297">
        <v>33059</v>
      </c>
      <c r="R101" s="297">
        <f t="shared" si="89"/>
        <v>2244185.29</v>
      </c>
      <c r="S101" s="295"/>
      <c r="T101" s="276">
        <f t="shared" si="91"/>
        <v>9.9999997764825821E-3</v>
      </c>
      <c r="U101" s="315">
        <v>388948</v>
      </c>
      <c r="V101" s="316">
        <f t="shared" si="100"/>
        <v>9470</v>
      </c>
      <c r="W101" s="316">
        <f t="shared" si="101"/>
        <v>0.97565227228318441</v>
      </c>
      <c r="X101" s="282"/>
      <c r="Y101" s="302">
        <v>388948</v>
      </c>
      <c r="Z101" s="302">
        <v>358674</v>
      </c>
      <c r="AA101" s="302">
        <v>332884.78000000003</v>
      </c>
      <c r="AB101" s="317">
        <f t="shared" si="105"/>
        <v>0.85585934366547722</v>
      </c>
      <c r="AC101" s="317">
        <f t="shared" si="106"/>
        <v>0.97565227228318441</v>
      </c>
      <c r="AD101" s="318">
        <f t="shared" si="102"/>
        <v>2.3861761478821358E-6</v>
      </c>
      <c r="AF101" s="276">
        <f t="shared" si="90"/>
        <v>9470</v>
      </c>
      <c r="AI101" s="302">
        <f>388948+35467</f>
        <v>424415</v>
      </c>
      <c r="AJ101" s="282">
        <f t="shared" si="107"/>
        <v>44937</v>
      </c>
    </row>
    <row r="102" spans="1:37" ht="51">
      <c r="A102" s="311" t="s">
        <v>44</v>
      </c>
      <c r="B102" s="323" t="s">
        <v>855</v>
      </c>
      <c r="C102" s="313" t="s">
        <v>230</v>
      </c>
      <c r="D102" s="313" t="s">
        <v>839</v>
      </c>
      <c r="E102" s="313" t="s">
        <v>856</v>
      </c>
      <c r="F102" s="313" t="s">
        <v>857</v>
      </c>
      <c r="G102" s="314">
        <v>2090841.9</v>
      </c>
      <c r="H102" s="314">
        <v>0</v>
      </c>
      <c r="I102" s="314">
        <v>2090841.9</v>
      </c>
      <c r="J102" s="297">
        <v>752977.58000000007</v>
      </c>
      <c r="K102" s="297">
        <v>697586</v>
      </c>
      <c r="L102" s="298">
        <v>550148</v>
      </c>
      <c r="M102" s="298">
        <v>0</v>
      </c>
      <c r="N102" s="298">
        <v>0</v>
      </c>
      <c r="O102" s="297">
        <v>60000</v>
      </c>
      <c r="P102" s="297">
        <v>30131</v>
      </c>
      <c r="Q102" s="297">
        <v>0</v>
      </c>
      <c r="R102" s="297">
        <f t="shared" si="89"/>
        <v>2090842.58</v>
      </c>
      <c r="S102" s="295"/>
      <c r="T102" s="276">
        <f t="shared" si="91"/>
        <v>-0.68000000016763806</v>
      </c>
      <c r="U102" s="315">
        <v>626870</v>
      </c>
      <c r="V102" s="316">
        <f t="shared" si="100"/>
        <v>-70716</v>
      </c>
      <c r="W102" s="316">
        <f t="shared" si="101"/>
        <v>1.1128080782299361</v>
      </c>
      <c r="X102" s="282"/>
      <c r="Y102" s="302">
        <v>768872</v>
      </c>
      <c r="Z102" s="302">
        <v>576100</v>
      </c>
      <c r="AA102" s="302">
        <v>533195.11</v>
      </c>
      <c r="AB102" s="317">
        <f t="shared" si="105"/>
        <v>0.69347708071044334</v>
      </c>
      <c r="AC102" s="317">
        <f t="shared" si="106"/>
        <v>0.90728495770427331</v>
      </c>
      <c r="AD102" s="318">
        <f t="shared" si="102"/>
        <v>1.203744281740051E-6</v>
      </c>
      <c r="AF102" s="276">
        <f t="shared" si="90"/>
        <v>71286</v>
      </c>
      <c r="AI102" s="302">
        <v>768872</v>
      </c>
      <c r="AJ102" s="282">
        <f t="shared" si="107"/>
        <v>71286</v>
      </c>
    </row>
    <row r="103" spans="1:37" ht="127.5">
      <c r="A103" s="311" t="s">
        <v>45</v>
      </c>
      <c r="B103" s="323" t="s">
        <v>858</v>
      </c>
      <c r="C103" s="313" t="s">
        <v>230</v>
      </c>
      <c r="D103" s="313" t="s">
        <v>839</v>
      </c>
      <c r="E103" s="313" t="s">
        <v>856</v>
      </c>
      <c r="F103" s="313" t="s">
        <v>859</v>
      </c>
      <c r="G103" s="314">
        <v>1672674.22</v>
      </c>
      <c r="H103" s="314">
        <v>0</v>
      </c>
      <c r="I103" s="314">
        <v>1672674.22</v>
      </c>
      <c r="J103" s="297">
        <v>387038.61</v>
      </c>
      <c r="K103" s="297">
        <v>738796</v>
      </c>
      <c r="L103" s="298">
        <v>61694</v>
      </c>
      <c r="M103" s="298">
        <v>0</v>
      </c>
      <c r="N103" s="298">
        <v>0</v>
      </c>
      <c r="O103" s="297">
        <v>289413</v>
      </c>
      <c r="P103" s="297">
        <v>0</v>
      </c>
      <c r="Q103" s="297">
        <v>0</v>
      </c>
      <c r="R103" s="297">
        <f t="shared" si="89"/>
        <v>1476941.6099999999</v>
      </c>
      <c r="S103" s="295" t="s">
        <v>860</v>
      </c>
      <c r="T103" s="276">
        <f t="shared" si="91"/>
        <v>195732.6100000001</v>
      </c>
      <c r="U103" s="315">
        <v>385182</v>
      </c>
      <c r="V103" s="316">
        <f t="shared" si="100"/>
        <v>-353614</v>
      </c>
      <c r="W103" s="316">
        <f t="shared" si="101"/>
        <v>1.918043937671023</v>
      </c>
      <c r="X103" s="282"/>
      <c r="Y103" s="302">
        <v>1037235</v>
      </c>
      <c r="Z103" s="302">
        <v>864226</v>
      </c>
      <c r="AA103" s="302">
        <v>658953.42000000004</v>
      </c>
      <c r="AB103" s="317">
        <f t="shared" si="105"/>
        <v>0.63529809541714277</v>
      </c>
      <c r="AC103" s="317">
        <f t="shared" si="106"/>
        <v>0.71227446046460063</v>
      </c>
      <c r="AD103" s="318">
        <f t="shared" si="102"/>
        <v>7.3510643676207704E-7</v>
      </c>
      <c r="AF103" s="276">
        <f t="shared" si="90"/>
        <v>298439</v>
      </c>
      <c r="AG103" s="256">
        <v>298439</v>
      </c>
      <c r="AI103" s="302">
        <f>1037235-35467</f>
        <v>1001768</v>
      </c>
      <c r="AJ103" s="282">
        <f t="shared" si="107"/>
        <v>262972</v>
      </c>
      <c r="AK103" s="256">
        <v>262972</v>
      </c>
    </row>
    <row r="104" spans="1:37" ht="114.75">
      <c r="A104" s="272" t="s">
        <v>367</v>
      </c>
      <c r="B104" s="310" t="s">
        <v>861</v>
      </c>
      <c r="C104" s="292" t="s">
        <v>230</v>
      </c>
      <c r="D104" s="313" t="s">
        <v>830</v>
      </c>
      <c r="E104" s="313"/>
      <c r="F104" s="313"/>
      <c r="G104" s="321">
        <f>G105+G106</f>
        <v>5026716.3599999994</v>
      </c>
      <c r="H104" s="321">
        <f t="shared" ref="H104:Q104" si="121">H105+H106</f>
        <v>0</v>
      </c>
      <c r="I104" s="321">
        <f t="shared" si="121"/>
        <v>5026716.3599999994</v>
      </c>
      <c r="J104" s="321">
        <f t="shared" si="121"/>
        <v>3198606</v>
      </c>
      <c r="K104" s="321">
        <f t="shared" si="121"/>
        <v>884381</v>
      </c>
      <c r="L104" s="321">
        <f t="shared" si="121"/>
        <v>401701</v>
      </c>
      <c r="M104" s="321">
        <f t="shared" si="121"/>
        <v>47848</v>
      </c>
      <c r="N104" s="321">
        <f t="shared" si="121"/>
        <v>13795</v>
      </c>
      <c r="O104" s="321">
        <f t="shared" si="121"/>
        <v>271737</v>
      </c>
      <c r="P104" s="321">
        <f t="shared" si="121"/>
        <v>8284</v>
      </c>
      <c r="Q104" s="321">
        <f t="shared" si="121"/>
        <v>0</v>
      </c>
      <c r="R104" s="274">
        <f t="shared" si="89"/>
        <v>4826352</v>
      </c>
      <c r="S104" s="295"/>
      <c r="T104" s="276">
        <f t="shared" si="91"/>
        <v>200364.3599999994</v>
      </c>
      <c r="U104" s="277">
        <f>SUM(U105:U106)</f>
        <v>1325820</v>
      </c>
      <c r="V104" s="316">
        <f t="shared" si="100"/>
        <v>441439</v>
      </c>
      <c r="W104" s="339">
        <f t="shared" si="101"/>
        <v>0.66704454601680474</v>
      </c>
      <c r="X104" s="282"/>
      <c r="Y104" s="321">
        <f>Y105+Y106</f>
        <v>1325820</v>
      </c>
      <c r="Z104" s="321">
        <f t="shared" ref="Z104:AA104" si="122">Z105+Z106</f>
        <v>925986</v>
      </c>
      <c r="AA104" s="321">
        <f t="shared" si="122"/>
        <v>787809.32000000007</v>
      </c>
      <c r="AB104" s="296">
        <f t="shared" si="105"/>
        <v>0.59420533707441436</v>
      </c>
      <c r="AC104" s="322">
        <f t="shared" si="106"/>
        <v>0.66704454601680474</v>
      </c>
      <c r="AD104" s="293">
        <f t="shared" si="102"/>
        <v>6.4170013053589835E-7</v>
      </c>
      <c r="AF104" s="276">
        <f t="shared" si="90"/>
        <v>441439</v>
      </c>
      <c r="AI104" s="321">
        <f>AI105+AI106</f>
        <v>951701</v>
      </c>
      <c r="AJ104" s="282">
        <f t="shared" si="107"/>
        <v>67320</v>
      </c>
    </row>
    <row r="105" spans="1:37" ht="216.75">
      <c r="A105" s="311" t="s">
        <v>70</v>
      </c>
      <c r="B105" s="312" t="s">
        <v>862</v>
      </c>
      <c r="C105" s="313" t="s">
        <v>230</v>
      </c>
      <c r="D105" s="313" t="s">
        <v>830</v>
      </c>
      <c r="E105" s="313" t="s">
        <v>830</v>
      </c>
      <c r="F105" s="313" t="s">
        <v>859</v>
      </c>
      <c r="G105" s="314">
        <v>2543141.96</v>
      </c>
      <c r="H105" s="314">
        <v>0</v>
      </c>
      <c r="I105" s="314">
        <v>2543141.96</v>
      </c>
      <c r="J105" s="297">
        <v>1803028</v>
      </c>
      <c r="K105" s="297">
        <v>457825</v>
      </c>
      <c r="L105" s="298">
        <v>154187</v>
      </c>
      <c r="M105" s="298">
        <v>4460</v>
      </c>
      <c r="N105" s="298">
        <v>0</v>
      </c>
      <c r="O105" s="297">
        <v>26247</v>
      </c>
      <c r="P105" s="297">
        <v>7100</v>
      </c>
      <c r="Q105" s="297">
        <v>0</v>
      </c>
      <c r="R105" s="297">
        <f t="shared" si="89"/>
        <v>2452847</v>
      </c>
      <c r="S105" s="295" t="s">
        <v>863</v>
      </c>
      <c r="T105" s="276">
        <f t="shared" si="91"/>
        <v>90294.959999999963</v>
      </c>
      <c r="U105" s="315">
        <v>581872</v>
      </c>
      <c r="V105" s="316">
        <f t="shared" si="100"/>
        <v>124047</v>
      </c>
      <c r="W105" s="316">
        <f t="shared" si="101"/>
        <v>0.78681393846069236</v>
      </c>
      <c r="X105" s="282"/>
      <c r="Y105" s="302">
        <v>581872</v>
      </c>
      <c r="Z105" s="302">
        <v>479956</v>
      </c>
      <c r="AA105" s="302">
        <v>465148.67</v>
      </c>
      <c r="AB105" s="317">
        <f t="shared" si="105"/>
        <v>0.79940033203178706</v>
      </c>
      <c r="AC105" s="317">
        <f t="shared" si="106"/>
        <v>0.78681393846069236</v>
      </c>
      <c r="AD105" s="318">
        <f t="shared" si="102"/>
        <v>1.6655700356528246E-6</v>
      </c>
      <c r="AF105" s="276">
        <f t="shared" si="90"/>
        <v>124047</v>
      </c>
      <c r="AG105" s="256">
        <v>124047</v>
      </c>
      <c r="AI105" s="302">
        <f>581872-30000-32771</f>
        <v>519101</v>
      </c>
      <c r="AJ105" s="282">
        <f t="shared" si="107"/>
        <v>61276</v>
      </c>
      <c r="AK105" s="256">
        <v>61276</v>
      </c>
    </row>
    <row r="106" spans="1:37" ht="216.75">
      <c r="A106" s="311" t="s">
        <v>71</v>
      </c>
      <c r="B106" s="312" t="s">
        <v>864</v>
      </c>
      <c r="C106" s="313" t="s">
        <v>230</v>
      </c>
      <c r="D106" s="313" t="s">
        <v>830</v>
      </c>
      <c r="E106" s="313"/>
      <c r="F106" s="313" t="s">
        <v>859</v>
      </c>
      <c r="G106" s="314">
        <v>2483574.4</v>
      </c>
      <c r="H106" s="314">
        <v>0</v>
      </c>
      <c r="I106" s="314">
        <v>2483574.4</v>
      </c>
      <c r="J106" s="297">
        <v>1395578</v>
      </c>
      <c r="K106" s="297">
        <v>426556</v>
      </c>
      <c r="L106" s="298">
        <v>247514</v>
      </c>
      <c r="M106" s="298">
        <v>43388</v>
      </c>
      <c r="N106" s="298">
        <v>13795</v>
      </c>
      <c r="O106" s="297">
        <v>245490</v>
      </c>
      <c r="P106" s="297">
        <v>1184</v>
      </c>
      <c r="Q106" s="297">
        <v>0</v>
      </c>
      <c r="R106" s="297">
        <f t="shared" si="89"/>
        <v>2373505</v>
      </c>
      <c r="S106" s="295" t="s">
        <v>863</v>
      </c>
      <c r="T106" s="276">
        <f t="shared" si="91"/>
        <v>110069.39999999991</v>
      </c>
      <c r="U106" s="315">
        <v>743948</v>
      </c>
      <c r="V106" s="316">
        <f t="shared" si="100"/>
        <v>317392</v>
      </c>
      <c r="W106" s="316">
        <f t="shared" si="101"/>
        <v>0.57336803109894774</v>
      </c>
      <c r="X106" s="282"/>
      <c r="Y106" s="302">
        <v>743948</v>
      </c>
      <c r="Z106" s="302">
        <v>446030</v>
      </c>
      <c r="AA106" s="302">
        <v>322660.65000000002</v>
      </c>
      <c r="AB106" s="317">
        <f t="shared" si="105"/>
        <v>0.43371398269771544</v>
      </c>
      <c r="AC106" s="317">
        <f t="shared" si="106"/>
        <v>0.57336803109894774</v>
      </c>
      <c r="AD106" s="318">
        <f t="shared" si="102"/>
        <v>9.7238746877500493E-7</v>
      </c>
      <c r="AF106" s="276">
        <f t="shared" si="90"/>
        <v>317392</v>
      </c>
      <c r="AG106" s="256">
        <v>317392</v>
      </c>
      <c r="AI106" s="302">
        <f>743948-150000-161348</f>
        <v>432600</v>
      </c>
      <c r="AJ106" s="282">
        <f t="shared" si="107"/>
        <v>6044</v>
      </c>
      <c r="AK106" s="256">
        <v>6044</v>
      </c>
    </row>
    <row r="107" spans="1:37" ht="63.75">
      <c r="A107" s="340" t="s">
        <v>865</v>
      </c>
      <c r="B107" s="283" t="s">
        <v>866</v>
      </c>
      <c r="C107" s="341" t="s">
        <v>398</v>
      </c>
      <c r="D107" s="341" t="s">
        <v>231</v>
      </c>
      <c r="E107" s="341"/>
      <c r="F107" s="341"/>
      <c r="G107" s="342">
        <f>G108+G127+G137</f>
        <v>526973114.25999999</v>
      </c>
      <c r="H107" s="342">
        <f>H108+H127+H137</f>
        <v>41070677.789999999</v>
      </c>
      <c r="I107" s="342">
        <f>I108+I127+I137</f>
        <v>568043792.04999995</v>
      </c>
      <c r="J107" s="342">
        <f>J108+J127+J137</f>
        <v>274404122.88</v>
      </c>
      <c r="K107" s="342">
        <f t="shared" ref="K107:Q107" si="123">K108+K127+K137</f>
        <v>52598624</v>
      </c>
      <c r="L107" s="342">
        <f t="shared" si="123"/>
        <v>59010468</v>
      </c>
      <c r="M107" s="342">
        <f t="shared" si="123"/>
        <v>22982320</v>
      </c>
      <c r="N107" s="342">
        <f t="shared" si="123"/>
        <v>12266956</v>
      </c>
      <c r="O107" s="342">
        <f t="shared" si="123"/>
        <v>17561697</v>
      </c>
      <c r="P107" s="342">
        <f t="shared" si="123"/>
        <v>69120174</v>
      </c>
      <c r="Q107" s="342">
        <f t="shared" si="123"/>
        <v>71844671</v>
      </c>
      <c r="R107" s="285">
        <f t="shared" si="89"/>
        <v>579789032.88</v>
      </c>
      <c r="S107" s="286"/>
      <c r="T107" s="276">
        <f t="shared" si="91"/>
        <v>-11745240.830000043</v>
      </c>
      <c r="U107" s="343">
        <f>U108+U127+U137</f>
        <v>54388096</v>
      </c>
      <c r="V107" s="287">
        <f t="shared" si="100"/>
        <v>1789472</v>
      </c>
      <c r="W107" s="287">
        <f t="shared" si="101"/>
        <v>0.96709809440654071</v>
      </c>
      <c r="X107" s="282"/>
      <c r="Y107" s="342">
        <f t="shared" ref="Y107:AA107" si="124">Y108+Y127+Y137</f>
        <v>55949061</v>
      </c>
      <c r="Z107" s="342">
        <f t="shared" si="124"/>
        <v>43976853</v>
      </c>
      <c r="AA107" s="342">
        <f t="shared" si="124"/>
        <v>37592372.390000001</v>
      </c>
      <c r="AB107" s="309">
        <f t="shared" si="105"/>
        <v>0.67190354436868927</v>
      </c>
      <c r="AC107" s="309">
        <f t="shared" si="106"/>
        <v>0.94011629614302195</v>
      </c>
      <c r="AD107" s="284">
        <f t="shared" si="102"/>
        <v>1.5278572670233798E-8</v>
      </c>
      <c r="AF107" s="276">
        <f t="shared" si="90"/>
        <v>3350437</v>
      </c>
      <c r="AI107" s="342">
        <f t="shared" ref="AI107" si="125">AI108+AI127+AI137</f>
        <v>56183834</v>
      </c>
      <c r="AJ107" s="282">
        <f t="shared" si="107"/>
        <v>3585210</v>
      </c>
    </row>
    <row r="108" spans="1:37" ht="38.25">
      <c r="A108" s="272" t="s">
        <v>156</v>
      </c>
      <c r="B108" s="310" t="s">
        <v>867</v>
      </c>
      <c r="C108" s="292"/>
      <c r="D108" s="292"/>
      <c r="E108" s="292"/>
      <c r="F108" s="313" t="s">
        <v>231</v>
      </c>
      <c r="G108" s="321">
        <f>G109+G115</f>
        <v>320045094.44</v>
      </c>
      <c r="H108" s="321">
        <f t="shared" ref="H108:Q108" si="126">H109+H115</f>
        <v>35070677.789999999</v>
      </c>
      <c r="I108" s="321">
        <f t="shared" si="126"/>
        <v>355115772.23000002</v>
      </c>
      <c r="J108" s="321">
        <f t="shared" si="126"/>
        <v>88300853.120000005</v>
      </c>
      <c r="K108" s="321">
        <f t="shared" si="126"/>
        <v>45586946</v>
      </c>
      <c r="L108" s="321">
        <f t="shared" si="126"/>
        <v>53386561</v>
      </c>
      <c r="M108" s="321">
        <f t="shared" si="126"/>
        <v>18717190</v>
      </c>
      <c r="N108" s="321">
        <f t="shared" si="126"/>
        <v>9429079</v>
      </c>
      <c r="O108" s="321">
        <f t="shared" si="126"/>
        <v>16139169</v>
      </c>
      <c r="P108" s="321">
        <f t="shared" si="126"/>
        <v>58120451</v>
      </c>
      <c r="Q108" s="321">
        <f t="shared" si="126"/>
        <v>60374773</v>
      </c>
      <c r="R108" s="297">
        <f t="shared" si="89"/>
        <v>350055022.12</v>
      </c>
      <c r="S108" s="295"/>
      <c r="T108" s="276">
        <f t="shared" si="91"/>
        <v>5060750.1100000143</v>
      </c>
      <c r="U108" s="344">
        <f>U109+U115</f>
        <v>46801203</v>
      </c>
      <c r="V108" s="277">
        <f t="shared" si="100"/>
        <v>1214257</v>
      </c>
      <c r="W108" s="277">
        <f t="shared" si="101"/>
        <v>0.97405500452627258</v>
      </c>
      <c r="X108" s="282"/>
      <c r="Y108" s="321">
        <f t="shared" ref="Y108:AA108" si="127">Y109+Y115</f>
        <v>47798768</v>
      </c>
      <c r="Z108" s="321">
        <f t="shared" si="127"/>
        <v>38240569</v>
      </c>
      <c r="AA108" s="321">
        <f t="shared" si="127"/>
        <v>32704111</v>
      </c>
      <c r="AB108" s="296">
        <f t="shared" si="105"/>
        <v>0.68420405730959422</v>
      </c>
      <c r="AC108" s="296">
        <f t="shared" si="106"/>
        <v>0.95372638056277936</v>
      </c>
      <c r="AD108" s="293">
        <f t="shared" si="102"/>
        <v>1.7892099286221245E-8</v>
      </c>
      <c r="AF108" s="276">
        <f t="shared" si="90"/>
        <v>2211822</v>
      </c>
      <c r="AI108" s="321">
        <f t="shared" ref="AI108" si="128">AI109+AI115</f>
        <v>48033541</v>
      </c>
      <c r="AJ108" s="282">
        <f t="shared" si="107"/>
        <v>2446595</v>
      </c>
    </row>
    <row r="109" spans="1:37" ht="38.25">
      <c r="A109" s="345" t="s">
        <v>384</v>
      </c>
      <c r="B109" s="310" t="s">
        <v>868</v>
      </c>
      <c r="C109" s="292" t="s">
        <v>398</v>
      </c>
      <c r="D109" s="292" t="s">
        <v>290</v>
      </c>
      <c r="E109" s="292"/>
      <c r="F109" s="313" t="s">
        <v>231</v>
      </c>
      <c r="G109" s="321">
        <f>G110+G111+G112</f>
        <v>156013039.5</v>
      </c>
      <c r="H109" s="321">
        <f t="shared" ref="H109:Q109" si="129">H110+H111+H112</f>
        <v>15000000</v>
      </c>
      <c r="I109" s="321">
        <f t="shared" si="129"/>
        <v>171013039.5</v>
      </c>
      <c r="J109" s="321">
        <f t="shared" si="129"/>
        <v>32474631.75</v>
      </c>
      <c r="K109" s="321">
        <f t="shared" si="129"/>
        <v>26610299</v>
      </c>
      <c r="L109" s="321">
        <f t="shared" si="129"/>
        <v>21489455</v>
      </c>
      <c r="M109" s="321">
        <f t="shared" si="129"/>
        <v>13758352</v>
      </c>
      <c r="N109" s="321">
        <f t="shared" si="129"/>
        <v>9429079</v>
      </c>
      <c r="O109" s="321">
        <f t="shared" si="129"/>
        <v>16139169</v>
      </c>
      <c r="P109" s="321">
        <f t="shared" si="129"/>
        <v>23742804</v>
      </c>
      <c r="Q109" s="321">
        <f t="shared" si="129"/>
        <v>26103218</v>
      </c>
      <c r="R109" s="297">
        <f t="shared" si="89"/>
        <v>169747007.75</v>
      </c>
      <c r="S109" s="295"/>
      <c r="T109" s="276">
        <f t="shared" si="91"/>
        <v>1266031.75</v>
      </c>
      <c r="U109" s="344">
        <f>U110+U111+U112</f>
        <v>20319462</v>
      </c>
      <c r="V109" s="277">
        <f t="shared" si="100"/>
        <v>-6290837</v>
      </c>
      <c r="W109" s="277">
        <f t="shared" si="101"/>
        <v>1.3095966320368129</v>
      </c>
      <c r="X109" s="282"/>
      <c r="Y109" s="321">
        <f t="shared" ref="Y109:AA109" si="130">Y110+Y111+Y112</f>
        <v>28733384</v>
      </c>
      <c r="Z109" s="321">
        <f t="shared" si="130"/>
        <v>22410375</v>
      </c>
      <c r="AA109" s="321">
        <f t="shared" si="130"/>
        <v>17087246</v>
      </c>
      <c r="AB109" s="296">
        <f t="shared" si="105"/>
        <v>0.59468268687043613</v>
      </c>
      <c r="AC109" s="296">
        <f t="shared" si="106"/>
        <v>0.92611086115022168</v>
      </c>
      <c r="AD109" s="293">
        <f t="shared" si="102"/>
        <v>2.6536043545475527E-8</v>
      </c>
      <c r="AF109" s="276">
        <f t="shared" si="90"/>
        <v>2123085</v>
      </c>
      <c r="AI109" s="321">
        <f t="shared" ref="AI109" si="131">AI110+AI111+AI112</f>
        <v>28968157</v>
      </c>
      <c r="AJ109" s="282">
        <f t="shared" si="107"/>
        <v>2357858</v>
      </c>
    </row>
    <row r="110" spans="1:37" ht="38.25">
      <c r="A110" s="346" t="s">
        <v>0</v>
      </c>
      <c r="B110" s="312" t="s">
        <v>869</v>
      </c>
      <c r="C110" s="313" t="s">
        <v>398</v>
      </c>
      <c r="D110" s="313" t="s">
        <v>290</v>
      </c>
      <c r="E110" s="313"/>
      <c r="F110" s="313" t="s">
        <v>231</v>
      </c>
      <c r="G110" s="314">
        <v>37396072.220000006</v>
      </c>
      <c r="H110" s="314">
        <v>15000000</v>
      </c>
      <c r="I110" s="314">
        <v>52396072.220000006</v>
      </c>
      <c r="J110" s="319">
        <v>13939004</v>
      </c>
      <c r="K110" s="297">
        <v>11762533</v>
      </c>
      <c r="L110" s="298">
        <v>8511229</v>
      </c>
      <c r="M110" s="298">
        <v>3930262</v>
      </c>
      <c r="N110" s="298">
        <v>0</v>
      </c>
      <c r="O110" s="297">
        <v>-4231569</v>
      </c>
      <c r="P110" s="297">
        <v>6646378</v>
      </c>
      <c r="Q110" s="297">
        <v>11838235</v>
      </c>
      <c r="R110" s="297">
        <f t="shared" si="89"/>
        <v>52396072</v>
      </c>
      <c r="S110" s="295"/>
      <c r="T110" s="276">
        <f t="shared" si="91"/>
        <v>0.2200000062584877</v>
      </c>
      <c r="U110" s="315">
        <v>10731223</v>
      </c>
      <c r="V110" s="316">
        <f t="shared" si="100"/>
        <v>-1031310</v>
      </c>
      <c r="W110" s="316">
        <f t="shared" si="101"/>
        <v>1.0961036780243967</v>
      </c>
      <c r="X110" s="282"/>
      <c r="Y110" s="302">
        <v>10585618</v>
      </c>
      <c r="Z110" s="302">
        <v>9804394</v>
      </c>
      <c r="AA110" s="302">
        <v>9458198.4299999997</v>
      </c>
      <c r="AB110" s="317">
        <f t="shared" si="105"/>
        <v>0.89349515824206005</v>
      </c>
      <c r="AC110" s="317">
        <f t="shared" si="106"/>
        <v>1.1111805659338925</v>
      </c>
      <c r="AD110" s="318">
        <f t="shared" si="102"/>
        <v>9.1132114666348579E-8</v>
      </c>
      <c r="AF110" s="276">
        <f t="shared" si="90"/>
        <v>-1176915</v>
      </c>
      <c r="AI110" s="302">
        <f>10585618-38232+1215147</f>
        <v>11762533</v>
      </c>
      <c r="AJ110" s="282">
        <f t="shared" si="107"/>
        <v>0</v>
      </c>
    </row>
    <row r="111" spans="1:37" ht="89.25">
      <c r="A111" s="346" t="s">
        <v>1</v>
      </c>
      <c r="B111" s="312" t="s">
        <v>870</v>
      </c>
      <c r="C111" s="313" t="s">
        <v>398</v>
      </c>
      <c r="D111" s="313" t="s">
        <v>290</v>
      </c>
      <c r="E111" s="313"/>
      <c r="F111" s="313" t="s">
        <v>871</v>
      </c>
      <c r="G111" s="314">
        <v>4366559.91</v>
      </c>
      <c r="H111" s="314">
        <v>0</v>
      </c>
      <c r="I111" s="314">
        <v>4366559.91</v>
      </c>
      <c r="J111" s="297">
        <v>1796488.62</v>
      </c>
      <c r="K111" s="297">
        <v>1122253</v>
      </c>
      <c r="L111" s="298">
        <v>906648</v>
      </c>
      <c r="M111" s="298">
        <v>0</v>
      </c>
      <c r="N111" s="298">
        <v>0</v>
      </c>
      <c r="O111" s="297">
        <v>-167733</v>
      </c>
      <c r="P111" s="297">
        <v>482686</v>
      </c>
      <c r="Q111" s="297">
        <v>0</v>
      </c>
      <c r="R111" s="297">
        <f t="shared" si="89"/>
        <v>4140342.62</v>
      </c>
      <c r="S111" s="295" t="s">
        <v>872</v>
      </c>
      <c r="T111" s="276">
        <f t="shared" si="91"/>
        <v>226217.29000000004</v>
      </c>
      <c r="U111" s="315">
        <v>1135141</v>
      </c>
      <c r="V111" s="316">
        <f t="shared" si="100"/>
        <v>12888</v>
      </c>
      <c r="W111" s="316">
        <f t="shared" si="101"/>
        <v>0.98864634437483978</v>
      </c>
      <c r="X111" s="282"/>
      <c r="Y111" s="302">
        <v>1122253</v>
      </c>
      <c r="Z111" s="302">
        <v>966749</v>
      </c>
      <c r="AA111" s="302">
        <v>906788.85</v>
      </c>
      <c r="AB111" s="317">
        <f t="shared" si="105"/>
        <v>0.80800750811091615</v>
      </c>
      <c r="AC111" s="317">
        <f t="shared" si="106"/>
        <v>1</v>
      </c>
      <c r="AD111" s="318">
        <f t="shared" si="102"/>
        <v>8.3579864898843046E-7</v>
      </c>
      <c r="AF111" s="276">
        <f t="shared" si="90"/>
        <v>0</v>
      </c>
      <c r="AI111" s="302">
        <v>1122253</v>
      </c>
      <c r="AJ111" s="282">
        <f t="shared" si="107"/>
        <v>0</v>
      </c>
    </row>
    <row r="112" spans="1:37" ht="51">
      <c r="A112" s="346" t="s">
        <v>393</v>
      </c>
      <c r="B112" s="312" t="s">
        <v>873</v>
      </c>
      <c r="C112" s="313" t="s">
        <v>398</v>
      </c>
      <c r="D112" s="313" t="s">
        <v>290</v>
      </c>
      <c r="E112" s="313"/>
      <c r="F112" s="313" t="s">
        <v>231</v>
      </c>
      <c r="G112" s="314">
        <f>G113+G114</f>
        <v>114250407.37</v>
      </c>
      <c r="H112" s="314">
        <f t="shared" ref="H112:Q112" si="132">H113+H114</f>
        <v>0</v>
      </c>
      <c r="I112" s="314">
        <f t="shared" si="132"/>
        <v>114250407.37</v>
      </c>
      <c r="J112" s="314">
        <f t="shared" si="132"/>
        <v>16739139.130000001</v>
      </c>
      <c r="K112" s="314">
        <f t="shared" si="132"/>
        <v>13725513</v>
      </c>
      <c r="L112" s="314">
        <f t="shared" si="132"/>
        <v>12071578</v>
      </c>
      <c r="M112" s="314">
        <f t="shared" si="132"/>
        <v>9828090</v>
      </c>
      <c r="N112" s="314">
        <f t="shared" si="132"/>
        <v>9429079</v>
      </c>
      <c r="O112" s="314">
        <f t="shared" si="132"/>
        <v>20538471</v>
      </c>
      <c r="P112" s="314">
        <f t="shared" si="132"/>
        <v>16613740</v>
      </c>
      <c r="Q112" s="314">
        <f t="shared" si="132"/>
        <v>14264983</v>
      </c>
      <c r="R112" s="297">
        <f t="shared" si="89"/>
        <v>113210593.13</v>
      </c>
      <c r="S112" s="295"/>
      <c r="T112" s="276">
        <f t="shared" si="91"/>
        <v>1039814.2400000095</v>
      </c>
      <c r="U112" s="347">
        <f>U113+U114</f>
        <v>8453098</v>
      </c>
      <c r="V112" s="316">
        <f t="shared" si="100"/>
        <v>-5272415</v>
      </c>
      <c r="W112" s="316">
        <f t="shared" si="101"/>
        <v>1.6237257630279456</v>
      </c>
      <c r="X112" s="282"/>
      <c r="Y112" s="314">
        <f t="shared" ref="Y112:AA112" si="133">Y113+Y114</f>
        <v>17025513</v>
      </c>
      <c r="Z112" s="314">
        <f t="shared" si="133"/>
        <v>11639232</v>
      </c>
      <c r="AA112" s="314">
        <f t="shared" si="133"/>
        <v>6722258.7199999997</v>
      </c>
      <c r="AB112" s="317">
        <f t="shared" si="105"/>
        <v>0.39483442995227219</v>
      </c>
      <c r="AC112" s="317">
        <f t="shared" si="106"/>
        <v>0.80617324129968948</v>
      </c>
      <c r="AD112" s="318">
        <f t="shared" si="102"/>
        <v>3.3922721873081678E-8</v>
      </c>
      <c r="AF112" s="276">
        <f t="shared" si="90"/>
        <v>3300000</v>
      </c>
      <c r="AI112" s="314">
        <f t="shared" ref="AI112" si="134">AI113+AI114</f>
        <v>16083371</v>
      </c>
      <c r="AJ112" s="282">
        <f t="shared" si="107"/>
        <v>2357858</v>
      </c>
    </row>
    <row r="113" spans="1:36" ht="38.25">
      <c r="A113" s="346" t="s">
        <v>2</v>
      </c>
      <c r="B113" s="323" t="s">
        <v>874</v>
      </c>
      <c r="C113" s="313" t="s">
        <v>398</v>
      </c>
      <c r="D113" s="313" t="s">
        <v>290</v>
      </c>
      <c r="E113" s="313"/>
      <c r="F113" s="313" t="s">
        <v>871</v>
      </c>
      <c r="G113" s="314">
        <v>103736044.17</v>
      </c>
      <c r="H113" s="327">
        <v>0</v>
      </c>
      <c r="I113" s="327">
        <v>103736044.17</v>
      </c>
      <c r="J113" s="297">
        <v>14581518</v>
      </c>
      <c r="K113" s="297">
        <v>13683213</v>
      </c>
      <c r="L113" s="298">
        <v>8303004</v>
      </c>
      <c r="M113" s="298">
        <v>8501835</v>
      </c>
      <c r="N113" s="298">
        <v>9429079</v>
      </c>
      <c r="O113" s="297">
        <v>20538471</v>
      </c>
      <c r="P113" s="297">
        <v>14394127</v>
      </c>
      <c r="Q113" s="297">
        <v>13264983</v>
      </c>
      <c r="R113" s="297">
        <f t="shared" si="89"/>
        <v>102696230</v>
      </c>
      <c r="S113" s="295" t="s">
        <v>875</v>
      </c>
      <c r="T113" s="276">
        <f t="shared" si="91"/>
        <v>1039814.1700000018</v>
      </c>
      <c r="U113" s="315">
        <v>5110798</v>
      </c>
      <c r="V113" s="316">
        <f t="shared" si="100"/>
        <v>-8572415</v>
      </c>
      <c r="W113" s="316">
        <f t="shared" si="101"/>
        <v>2.6773143841724911</v>
      </c>
      <c r="X113" s="282"/>
      <c r="Y113" s="302">
        <v>13683213</v>
      </c>
      <c r="Z113" s="302">
        <v>10838664</v>
      </c>
      <c r="AA113" s="302">
        <v>6672817.6699999999</v>
      </c>
      <c r="AB113" s="317">
        <f t="shared" si="105"/>
        <v>0.48766453244570557</v>
      </c>
      <c r="AC113" s="317">
        <f t="shared" si="106"/>
        <v>1</v>
      </c>
      <c r="AD113" s="318">
        <f t="shared" si="102"/>
        <v>4.4993048261825031E-8</v>
      </c>
      <c r="AF113" s="276">
        <f t="shared" si="90"/>
        <v>0</v>
      </c>
      <c r="AI113" s="302">
        <f>13683213-942142</f>
        <v>12741071</v>
      </c>
      <c r="AJ113" s="282">
        <f t="shared" si="107"/>
        <v>-942142</v>
      </c>
    </row>
    <row r="114" spans="1:36" ht="76.5">
      <c r="A114" s="346" t="s">
        <v>3</v>
      </c>
      <c r="B114" s="323" t="s">
        <v>876</v>
      </c>
      <c r="C114" s="313" t="s">
        <v>398</v>
      </c>
      <c r="D114" s="313" t="s">
        <v>290</v>
      </c>
      <c r="E114" s="313"/>
      <c r="F114" s="348" t="s">
        <v>786</v>
      </c>
      <c r="G114" s="314">
        <v>10514363.199999999</v>
      </c>
      <c r="H114" s="314">
        <v>0</v>
      </c>
      <c r="I114" s="314">
        <v>10514363.199999999</v>
      </c>
      <c r="J114" s="297">
        <v>2157621.1300000004</v>
      </c>
      <c r="K114" s="297">
        <v>42300</v>
      </c>
      <c r="L114" s="298">
        <v>3768574</v>
      </c>
      <c r="M114" s="298">
        <v>1326255</v>
      </c>
      <c r="N114" s="298">
        <v>0</v>
      </c>
      <c r="O114" s="297">
        <v>0</v>
      </c>
      <c r="P114" s="297">
        <v>2219613</v>
      </c>
      <c r="Q114" s="297">
        <v>1000000</v>
      </c>
      <c r="R114" s="297">
        <f t="shared" si="89"/>
        <v>10514363.130000001</v>
      </c>
      <c r="S114" s="295"/>
      <c r="T114" s="276">
        <f t="shared" si="91"/>
        <v>6.9999998435378075E-2</v>
      </c>
      <c r="U114" s="315">
        <v>3342300</v>
      </c>
      <c r="V114" s="316">
        <f t="shared" si="100"/>
        <v>3300000</v>
      </c>
      <c r="W114" s="316">
        <f t="shared" si="101"/>
        <v>1.2655955479759447E-2</v>
      </c>
      <c r="X114" s="282"/>
      <c r="Y114" s="302">
        <v>3342300</v>
      </c>
      <c r="Z114" s="302">
        <v>800568</v>
      </c>
      <c r="AA114" s="302">
        <v>49441.05</v>
      </c>
      <c r="AB114" s="317">
        <f t="shared" si="105"/>
        <v>1.4792523112826498E-2</v>
      </c>
      <c r="AC114" s="317">
        <f t="shared" si="106"/>
        <v>1.2655955479759447E-2</v>
      </c>
      <c r="AD114" s="318">
        <f t="shared" si="102"/>
        <v>1.8477534841295803E-8</v>
      </c>
      <c r="AF114" s="276">
        <f t="shared" si="90"/>
        <v>3300000</v>
      </c>
      <c r="AI114" s="302">
        <v>3342300</v>
      </c>
      <c r="AJ114" s="282">
        <f t="shared" si="107"/>
        <v>3300000</v>
      </c>
    </row>
    <row r="115" spans="1:36" ht="25.5">
      <c r="A115" s="345" t="s">
        <v>402</v>
      </c>
      <c r="B115" s="310" t="s">
        <v>877</v>
      </c>
      <c r="C115" s="292" t="s">
        <v>398</v>
      </c>
      <c r="D115" s="292" t="s">
        <v>782</v>
      </c>
      <c r="E115" s="292"/>
      <c r="F115" s="313" t="s">
        <v>231</v>
      </c>
      <c r="G115" s="321">
        <f>G116+G120+G125+G126</f>
        <v>164032054.94</v>
      </c>
      <c r="H115" s="321">
        <f t="shared" ref="H115:Q115" si="135">H116+H120+H125+H126</f>
        <v>20070677.789999999</v>
      </c>
      <c r="I115" s="321">
        <f t="shared" si="135"/>
        <v>184102732.73000002</v>
      </c>
      <c r="J115" s="321">
        <f t="shared" si="135"/>
        <v>55826221.369999997</v>
      </c>
      <c r="K115" s="321">
        <f t="shared" si="135"/>
        <v>18976647</v>
      </c>
      <c r="L115" s="321">
        <f t="shared" si="135"/>
        <v>31897106</v>
      </c>
      <c r="M115" s="321">
        <f t="shared" si="135"/>
        <v>4958838</v>
      </c>
      <c r="N115" s="321">
        <f t="shared" si="135"/>
        <v>0</v>
      </c>
      <c r="O115" s="321">
        <f t="shared" si="135"/>
        <v>0</v>
      </c>
      <c r="P115" s="321">
        <f t="shared" si="135"/>
        <v>34377647</v>
      </c>
      <c r="Q115" s="321">
        <f t="shared" si="135"/>
        <v>34271555</v>
      </c>
      <c r="R115" s="297">
        <f t="shared" si="89"/>
        <v>180308014.37</v>
      </c>
      <c r="S115" s="295"/>
      <c r="T115" s="276">
        <f t="shared" si="91"/>
        <v>3794718.3600000143</v>
      </c>
      <c r="U115" s="344">
        <f>U116+U120+U125+U126</f>
        <v>26481741</v>
      </c>
      <c r="V115" s="277">
        <f t="shared" si="100"/>
        <v>7505094</v>
      </c>
      <c r="W115" s="278">
        <f t="shared" si="101"/>
        <v>0.71659363332644932</v>
      </c>
      <c r="Y115" s="321">
        <f t="shared" ref="Y115:AA115" si="136">Y116+Y120+Y125+Y126</f>
        <v>19065384</v>
      </c>
      <c r="Z115" s="321">
        <f t="shared" si="136"/>
        <v>15830194</v>
      </c>
      <c r="AA115" s="321">
        <f t="shared" si="136"/>
        <v>15616865</v>
      </c>
      <c r="AB115" s="296">
        <f t="shared" si="105"/>
        <v>0.81912145068780151</v>
      </c>
      <c r="AC115" s="296">
        <f t="shared" si="106"/>
        <v>0.99534564842753759</v>
      </c>
      <c r="AD115" s="293">
        <f t="shared" si="102"/>
        <v>5.1744245881497188E-8</v>
      </c>
      <c r="AF115" s="276">
        <f t="shared" si="90"/>
        <v>88737</v>
      </c>
      <c r="AI115" s="321">
        <f t="shared" ref="AI115" si="137">AI116+AI120+AI125+AI126</f>
        <v>19065384</v>
      </c>
      <c r="AJ115" s="282">
        <f t="shared" si="107"/>
        <v>88737</v>
      </c>
    </row>
    <row r="116" spans="1:36" ht="51">
      <c r="A116" s="346" t="s">
        <v>405</v>
      </c>
      <c r="B116" s="312" t="s">
        <v>878</v>
      </c>
      <c r="C116" s="313" t="s">
        <v>398</v>
      </c>
      <c r="D116" s="313" t="s">
        <v>782</v>
      </c>
      <c r="E116" s="313"/>
      <c r="F116" s="313" t="s">
        <v>231</v>
      </c>
      <c r="G116" s="314">
        <f>G117+G118+G119</f>
        <v>39280168.170000002</v>
      </c>
      <c r="H116" s="314">
        <f t="shared" ref="H116:Q116" si="138">H117+H118+H119</f>
        <v>0</v>
      </c>
      <c r="I116" s="314">
        <f t="shared" si="138"/>
        <v>39280168.170000002</v>
      </c>
      <c r="J116" s="314">
        <f t="shared" si="138"/>
        <v>11899532.26</v>
      </c>
      <c r="K116" s="314">
        <f t="shared" si="138"/>
        <v>772426</v>
      </c>
      <c r="L116" s="314">
        <f t="shared" si="138"/>
        <v>8372784</v>
      </c>
      <c r="M116" s="314">
        <f t="shared" si="138"/>
        <v>4958838</v>
      </c>
      <c r="N116" s="314">
        <f t="shared" si="138"/>
        <v>0</v>
      </c>
      <c r="O116" s="314">
        <f t="shared" si="138"/>
        <v>0</v>
      </c>
      <c r="P116" s="314">
        <f t="shared" si="138"/>
        <v>6755487</v>
      </c>
      <c r="Q116" s="314">
        <f t="shared" si="138"/>
        <v>6521101</v>
      </c>
      <c r="R116" s="297">
        <f t="shared" si="89"/>
        <v>39280168.259999998</v>
      </c>
      <c r="S116" s="295"/>
      <c r="T116" s="276">
        <f t="shared" si="91"/>
        <v>-8.999999612569809E-2</v>
      </c>
      <c r="U116" s="347">
        <f>U117+U118+U119</f>
        <v>10474846</v>
      </c>
      <c r="V116" s="316">
        <f t="shared" si="100"/>
        <v>9702420</v>
      </c>
      <c r="W116" s="349">
        <f t="shared" si="101"/>
        <v>7.3741036383732986E-2</v>
      </c>
      <c r="Y116" s="314">
        <f t="shared" ref="Y116:AA116" si="139">Y117+Y118+Y119</f>
        <v>1501315</v>
      </c>
      <c r="Z116" s="314">
        <f t="shared" si="139"/>
        <v>841531</v>
      </c>
      <c r="AA116" s="314">
        <f t="shared" si="139"/>
        <v>637271.72</v>
      </c>
      <c r="AB116" s="317">
        <f t="shared" si="105"/>
        <v>0.42447568964541083</v>
      </c>
      <c r="AC116" s="317">
        <f t="shared" si="106"/>
        <v>0.51449962199804833</v>
      </c>
      <c r="AD116" s="318">
        <f t="shared" si="102"/>
        <v>5.0440885676868805E-7</v>
      </c>
      <c r="AF116" s="276">
        <f t="shared" si="90"/>
        <v>728889</v>
      </c>
      <c r="AI116" s="314">
        <f t="shared" ref="AI116" si="140">AI117+AI118+AI119</f>
        <v>1501315</v>
      </c>
      <c r="AJ116" s="282">
        <f t="shared" si="107"/>
        <v>728889</v>
      </c>
    </row>
    <row r="117" spans="1:36" ht="25.5">
      <c r="A117" s="346" t="s">
        <v>4</v>
      </c>
      <c r="B117" s="323" t="s">
        <v>879</v>
      </c>
      <c r="C117" s="313" t="s">
        <v>398</v>
      </c>
      <c r="D117" s="313" t="s">
        <v>782</v>
      </c>
      <c r="E117" s="313"/>
      <c r="F117" s="313" t="s">
        <v>880</v>
      </c>
      <c r="G117" s="314">
        <v>37373845.350000001</v>
      </c>
      <c r="H117" s="314">
        <v>0</v>
      </c>
      <c r="I117" s="314">
        <v>37373845.350000001</v>
      </c>
      <c r="J117" s="297">
        <v>11034198.640000001</v>
      </c>
      <c r="K117" s="297">
        <v>594146</v>
      </c>
      <c r="L117" s="298">
        <v>8024256</v>
      </c>
      <c r="M117" s="298">
        <v>4679043</v>
      </c>
      <c r="N117" s="298">
        <v>0</v>
      </c>
      <c r="O117" s="297">
        <v>0</v>
      </c>
      <c r="P117" s="297">
        <v>6521101</v>
      </c>
      <c r="Q117" s="297">
        <v>6521101</v>
      </c>
      <c r="R117" s="297">
        <f t="shared" si="89"/>
        <v>37373845.640000001</v>
      </c>
      <c r="S117" s="295"/>
      <c r="T117" s="276">
        <f t="shared" si="91"/>
        <v>-0.28999999910593033</v>
      </c>
      <c r="U117" s="315">
        <v>10068184</v>
      </c>
      <c r="V117" s="316">
        <f t="shared" si="100"/>
        <v>9474038</v>
      </c>
      <c r="W117" s="349">
        <f t="shared" si="101"/>
        <v>5.90122310041215E-2</v>
      </c>
      <c r="Y117" s="300">
        <v>1120413</v>
      </c>
      <c r="Z117" s="300">
        <v>666009</v>
      </c>
      <c r="AA117" s="300">
        <v>488378.62</v>
      </c>
      <c r="AB117" s="317">
        <f t="shared" si="105"/>
        <v>0.43589160425664464</v>
      </c>
      <c r="AC117" s="317">
        <f t="shared" si="106"/>
        <v>0.53029195484165215</v>
      </c>
      <c r="AD117" s="318">
        <f t="shared" si="102"/>
        <v>6.5448305391765673E-7</v>
      </c>
      <c r="AF117" s="276">
        <f t="shared" si="90"/>
        <v>526267</v>
      </c>
      <c r="AI117" s="300">
        <v>1120413</v>
      </c>
      <c r="AJ117" s="282">
        <f t="shared" si="107"/>
        <v>526267</v>
      </c>
    </row>
    <row r="118" spans="1:36" ht="38.25">
      <c r="A118" s="346" t="s">
        <v>5</v>
      </c>
      <c r="B118" s="323" t="s">
        <v>881</v>
      </c>
      <c r="C118" s="313" t="s">
        <v>398</v>
      </c>
      <c r="D118" s="313" t="s">
        <v>782</v>
      </c>
      <c r="E118" s="313"/>
      <c r="F118" s="313" t="s">
        <v>882</v>
      </c>
      <c r="G118" s="314">
        <v>1906322.82</v>
      </c>
      <c r="H118" s="314">
        <v>0</v>
      </c>
      <c r="I118" s="314">
        <v>1906322.82</v>
      </c>
      <c r="J118" s="297">
        <v>865333.62</v>
      </c>
      <c r="K118" s="297">
        <v>178280</v>
      </c>
      <c r="L118" s="298">
        <v>348528</v>
      </c>
      <c r="M118" s="298">
        <v>279795</v>
      </c>
      <c r="N118" s="298">
        <v>0</v>
      </c>
      <c r="O118" s="297">
        <v>0</v>
      </c>
      <c r="P118" s="297">
        <v>234386</v>
      </c>
      <c r="Q118" s="297">
        <v>0</v>
      </c>
      <c r="R118" s="297">
        <f t="shared" si="89"/>
        <v>1906322.62</v>
      </c>
      <c r="S118" s="295"/>
      <c r="T118" s="276">
        <f t="shared" si="91"/>
        <v>0.19999999995343387</v>
      </c>
      <c r="U118" s="315">
        <f>350102+56560</f>
        <v>406662</v>
      </c>
      <c r="V118" s="316">
        <f t="shared" si="100"/>
        <v>228382</v>
      </c>
      <c r="W118" s="349">
        <f t="shared" si="101"/>
        <v>0.43839847342510485</v>
      </c>
      <c r="Y118" s="300">
        <v>380902</v>
      </c>
      <c r="Z118" s="300">
        <v>175522</v>
      </c>
      <c r="AA118" s="300">
        <v>148893.1</v>
      </c>
      <c r="AB118" s="317">
        <f t="shared" si="105"/>
        <v>0.3908960835070438</v>
      </c>
      <c r="AC118" s="317">
        <f t="shared" si="106"/>
        <v>0.46804689920241954</v>
      </c>
      <c r="AD118" s="318">
        <f t="shared" si="102"/>
        <v>2.2270489369255352E-6</v>
      </c>
      <c r="AF118" s="276">
        <f t="shared" si="90"/>
        <v>202622</v>
      </c>
      <c r="AI118" s="300">
        <v>380902</v>
      </c>
      <c r="AJ118" s="282">
        <f t="shared" si="107"/>
        <v>202622</v>
      </c>
    </row>
    <row r="119" spans="1:36" ht="42" customHeight="1">
      <c r="A119" s="346" t="s">
        <v>6</v>
      </c>
      <c r="B119" s="323" t="s">
        <v>883</v>
      </c>
      <c r="C119" s="313" t="s">
        <v>398</v>
      </c>
      <c r="D119" s="313" t="s">
        <v>782</v>
      </c>
      <c r="E119" s="313"/>
      <c r="F119" s="313" t="s">
        <v>884</v>
      </c>
      <c r="G119" s="314">
        <v>0</v>
      </c>
      <c r="H119" s="314">
        <v>0</v>
      </c>
      <c r="I119" s="314">
        <v>0</v>
      </c>
      <c r="J119" s="297">
        <v>0</v>
      </c>
      <c r="K119" s="297">
        <v>0</v>
      </c>
      <c r="L119" s="298">
        <v>0</v>
      </c>
      <c r="M119" s="298">
        <v>0</v>
      </c>
      <c r="N119" s="298">
        <v>0</v>
      </c>
      <c r="O119" s="297">
        <v>0</v>
      </c>
      <c r="P119" s="297">
        <v>0</v>
      </c>
      <c r="Q119" s="297">
        <v>0</v>
      </c>
      <c r="R119" s="297">
        <f t="shared" si="89"/>
        <v>0</v>
      </c>
      <c r="S119" s="295"/>
      <c r="T119" s="276">
        <f t="shared" si="91"/>
        <v>0</v>
      </c>
      <c r="U119" s="315">
        <v>0</v>
      </c>
      <c r="V119" s="316">
        <f t="shared" si="100"/>
        <v>0</v>
      </c>
      <c r="W119" s="349" t="e">
        <f t="shared" si="101"/>
        <v>#DIV/0!</v>
      </c>
      <c r="Y119" s="300">
        <v>0</v>
      </c>
      <c r="Z119" s="300">
        <v>0</v>
      </c>
      <c r="AA119" s="300">
        <v>0</v>
      </c>
      <c r="AB119" s="317" t="e">
        <f t="shared" si="105"/>
        <v>#DIV/0!</v>
      </c>
      <c r="AC119" s="317" t="e">
        <f t="shared" si="106"/>
        <v>#DIV/0!</v>
      </c>
      <c r="AD119" s="318" t="e">
        <f t="shared" si="102"/>
        <v>#DIV/0!</v>
      </c>
      <c r="AF119" s="276">
        <f t="shared" si="90"/>
        <v>0</v>
      </c>
      <c r="AI119" s="300">
        <v>0</v>
      </c>
      <c r="AJ119" s="282">
        <f t="shared" si="107"/>
        <v>0</v>
      </c>
    </row>
    <row r="120" spans="1:36" ht="38.25">
      <c r="A120" s="346" t="s">
        <v>413</v>
      </c>
      <c r="B120" s="312" t="s">
        <v>885</v>
      </c>
      <c r="C120" s="313" t="s">
        <v>398</v>
      </c>
      <c r="D120" s="313" t="s">
        <v>782</v>
      </c>
      <c r="E120" s="313"/>
      <c r="F120" s="313" t="s">
        <v>886</v>
      </c>
      <c r="G120" s="314">
        <f>G121+G122+G123+G124</f>
        <v>54158017.909999996</v>
      </c>
      <c r="H120" s="314">
        <f t="shared" ref="H120:Q120" si="141">H121+H122+H123+H124</f>
        <v>0</v>
      </c>
      <c r="I120" s="314">
        <f t="shared" si="141"/>
        <v>54158017.909999996</v>
      </c>
      <c r="J120" s="314">
        <f t="shared" si="141"/>
        <v>11111588.459999999</v>
      </c>
      <c r="K120" s="314">
        <f t="shared" si="141"/>
        <v>10463615</v>
      </c>
      <c r="L120" s="314">
        <f t="shared" si="141"/>
        <v>10788072</v>
      </c>
      <c r="M120" s="314">
        <f t="shared" si="141"/>
        <v>0</v>
      </c>
      <c r="N120" s="314">
        <f t="shared" si="141"/>
        <v>0</v>
      </c>
      <c r="O120" s="314">
        <f t="shared" si="141"/>
        <v>0</v>
      </c>
      <c r="P120" s="314">
        <f t="shared" si="141"/>
        <v>10833224</v>
      </c>
      <c r="Q120" s="314">
        <f t="shared" si="141"/>
        <v>10961518</v>
      </c>
      <c r="R120" s="297">
        <f t="shared" si="89"/>
        <v>54158017.460000001</v>
      </c>
      <c r="S120" s="295"/>
      <c r="T120" s="276">
        <f t="shared" si="91"/>
        <v>0.44999999552965164</v>
      </c>
      <c r="U120" s="330">
        <f t="shared" ref="U120" si="142">U121+U122+U123+U124</f>
        <v>7610634</v>
      </c>
      <c r="V120" s="316">
        <f t="shared" si="100"/>
        <v>-2852981</v>
      </c>
      <c r="W120" s="349">
        <f t="shared" si="101"/>
        <v>1.3748677179851245</v>
      </c>
      <c r="Y120" s="314">
        <f t="shared" ref="Y120:AA120" si="143">Y121+Y122+Y123+Y124</f>
        <v>9177928</v>
      </c>
      <c r="Z120" s="314">
        <f t="shared" si="143"/>
        <v>8796462</v>
      </c>
      <c r="AA120" s="314">
        <f t="shared" si="143"/>
        <v>8787401.0600000005</v>
      </c>
      <c r="AB120" s="317">
        <f t="shared" si="105"/>
        <v>0.95744933496972306</v>
      </c>
      <c r="AC120" s="317">
        <f t="shared" si="106"/>
        <v>1.1400846683478014</v>
      </c>
      <c r="AD120" s="318">
        <f t="shared" si="102"/>
        <v>1.0884482135769166E-7</v>
      </c>
      <c r="AF120" s="276">
        <f t="shared" si="90"/>
        <v>-1285687</v>
      </c>
      <c r="AI120" s="314">
        <f t="shared" ref="AI120" si="144">AI121+AI122+AI123+AI124</f>
        <v>9177928</v>
      </c>
      <c r="AJ120" s="282">
        <f t="shared" si="107"/>
        <v>-1285687</v>
      </c>
    </row>
    <row r="121" spans="1:36" ht="38.25">
      <c r="A121" s="346" t="s">
        <v>7</v>
      </c>
      <c r="B121" s="323" t="s">
        <v>887</v>
      </c>
      <c r="C121" s="313" t="s">
        <v>398</v>
      </c>
      <c r="D121" s="313" t="s">
        <v>782</v>
      </c>
      <c r="E121" s="313"/>
      <c r="F121" s="313" t="s">
        <v>886</v>
      </c>
      <c r="G121" s="314">
        <v>7295504.0099999998</v>
      </c>
      <c r="H121" s="314">
        <v>0</v>
      </c>
      <c r="I121" s="314">
        <v>7295504.0099999998</v>
      </c>
      <c r="J121" s="297">
        <v>4501020.0199999996</v>
      </c>
      <c r="K121" s="297">
        <v>488312</v>
      </c>
      <c r="L121" s="298">
        <v>0</v>
      </c>
      <c r="M121" s="298">
        <v>0</v>
      </c>
      <c r="N121" s="298">
        <v>0</v>
      </c>
      <c r="O121" s="297">
        <v>0</v>
      </c>
      <c r="P121" s="297">
        <v>1153086</v>
      </c>
      <c r="Q121" s="297">
        <v>1153086</v>
      </c>
      <c r="R121" s="297">
        <f t="shared" si="89"/>
        <v>7295504.0199999996</v>
      </c>
      <c r="S121" s="295"/>
      <c r="T121" s="276">
        <f t="shared" si="91"/>
        <v>-9.9999997764825821E-3</v>
      </c>
      <c r="U121" s="315">
        <v>844637</v>
      </c>
      <c r="V121" s="316">
        <f t="shared" si="100"/>
        <v>356325</v>
      </c>
      <c r="W121" s="349">
        <f t="shared" si="101"/>
        <v>0.57813238112940823</v>
      </c>
      <c r="Y121" s="300">
        <v>844637</v>
      </c>
      <c r="Z121" s="300">
        <v>497372</v>
      </c>
      <c r="AA121" s="300">
        <v>488312.49</v>
      </c>
      <c r="AB121" s="317">
        <f t="shared" si="105"/>
        <v>0.57813296126028102</v>
      </c>
      <c r="AC121" s="317">
        <f t="shared" si="106"/>
        <v>0.57813238112940823</v>
      </c>
      <c r="AD121" s="318">
        <f t="shared" si="102"/>
        <v>1.1623753674518891E-6</v>
      </c>
      <c r="AF121" s="276">
        <f t="shared" si="90"/>
        <v>356325</v>
      </c>
      <c r="AI121" s="300">
        <v>844637</v>
      </c>
      <c r="AJ121" s="282">
        <f t="shared" si="107"/>
        <v>356325</v>
      </c>
    </row>
    <row r="122" spans="1:36" ht="102">
      <c r="A122" s="346" t="s">
        <v>8</v>
      </c>
      <c r="B122" s="323" t="s">
        <v>888</v>
      </c>
      <c r="C122" s="313" t="s">
        <v>398</v>
      </c>
      <c r="D122" s="313" t="s">
        <v>782</v>
      </c>
      <c r="E122" s="313"/>
      <c r="F122" s="313" t="s">
        <v>886</v>
      </c>
      <c r="G122" s="314">
        <v>44687749.469999999</v>
      </c>
      <c r="H122" s="314">
        <v>0</v>
      </c>
      <c r="I122" s="314">
        <v>44687749.469999999</v>
      </c>
      <c r="J122" s="297">
        <v>6599930.7400000002</v>
      </c>
      <c r="K122" s="297">
        <v>9975303</v>
      </c>
      <c r="L122" s="298">
        <v>10752240</v>
      </c>
      <c r="M122" s="298">
        <v>0</v>
      </c>
      <c r="N122" s="298">
        <v>0</v>
      </c>
      <c r="O122" s="297">
        <v>0</v>
      </c>
      <c r="P122" s="297">
        <v>8680138</v>
      </c>
      <c r="Q122" s="297">
        <v>8680138</v>
      </c>
      <c r="R122" s="297">
        <f t="shared" si="89"/>
        <v>44687749.740000002</v>
      </c>
      <c r="S122" s="295"/>
      <c r="T122" s="276">
        <f t="shared" si="91"/>
        <v>-0.27000000327825546</v>
      </c>
      <c r="U122" s="315">
        <v>6731796</v>
      </c>
      <c r="V122" s="316">
        <f t="shared" si="100"/>
        <v>-3243507</v>
      </c>
      <c r="W122" s="349">
        <f t="shared" si="101"/>
        <v>1.481818967776207</v>
      </c>
      <c r="Y122" s="300">
        <v>8299090</v>
      </c>
      <c r="Z122" s="300">
        <v>8299090</v>
      </c>
      <c r="AA122" s="300">
        <v>8299088.5700000003</v>
      </c>
      <c r="AB122" s="317">
        <f t="shared" si="105"/>
        <v>0.99999982769195184</v>
      </c>
      <c r="AC122" s="317">
        <f t="shared" si="106"/>
        <v>1.2019755177977345</v>
      </c>
      <c r="AD122" s="318">
        <f t="shared" si="102"/>
        <v>1.2049511786135008E-7</v>
      </c>
      <c r="AF122" s="276">
        <f t="shared" si="90"/>
        <v>-1676213</v>
      </c>
      <c r="AI122" s="300">
        <v>8299090</v>
      </c>
      <c r="AJ122" s="282">
        <f t="shared" si="107"/>
        <v>-1676213</v>
      </c>
    </row>
    <row r="123" spans="1:36" ht="76.5">
      <c r="A123" s="346" t="s">
        <v>9</v>
      </c>
      <c r="B123" s="323" t="s">
        <v>889</v>
      </c>
      <c r="C123" s="313" t="s">
        <v>398</v>
      </c>
      <c r="D123" s="313" t="s">
        <v>782</v>
      </c>
      <c r="E123" s="313"/>
      <c r="F123" s="313" t="s">
        <v>886</v>
      </c>
      <c r="G123" s="314">
        <v>174764.16</v>
      </c>
      <c r="H123" s="314">
        <v>0</v>
      </c>
      <c r="I123" s="314">
        <v>174764.16</v>
      </c>
      <c r="J123" s="297">
        <v>10637.7</v>
      </c>
      <c r="K123" s="297">
        <v>0</v>
      </c>
      <c r="L123" s="298">
        <v>35832</v>
      </c>
      <c r="M123" s="298">
        <v>0</v>
      </c>
      <c r="N123" s="298">
        <v>0</v>
      </c>
      <c r="O123" s="297">
        <v>0</v>
      </c>
      <c r="P123" s="297">
        <v>0</v>
      </c>
      <c r="Q123" s="297">
        <v>128294</v>
      </c>
      <c r="R123" s="297">
        <f t="shared" si="89"/>
        <v>174763.7</v>
      </c>
      <c r="S123" s="295"/>
      <c r="T123" s="276">
        <f t="shared" si="91"/>
        <v>0.45999999999185093</v>
      </c>
      <c r="U123" s="315">
        <v>34201</v>
      </c>
      <c r="V123" s="316">
        <f t="shared" si="100"/>
        <v>34201</v>
      </c>
      <c r="W123" s="349">
        <f t="shared" si="101"/>
        <v>0</v>
      </c>
      <c r="Y123" s="300">
        <v>34201</v>
      </c>
      <c r="Z123" s="300">
        <v>0</v>
      </c>
      <c r="AA123" s="300">
        <v>0</v>
      </c>
      <c r="AB123" s="317">
        <f t="shared" si="105"/>
        <v>0</v>
      </c>
      <c r="AC123" s="317">
        <f t="shared" si="106"/>
        <v>0</v>
      </c>
      <c r="AD123" s="318" t="e">
        <f t="shared" si="102"/>
        <v>#DIV/0!</v>
      </c>
      <c r="AF123" s="276">
        <f t="shared" si="90"/>
        <v>34201</v>
      </c>
      <c r="AI123" s="300">
        <v>34201</v>
      </c>
      <c r="AJ123" s="282">
        <f t="shared" si="107"/>
        <v>34201</v>
      </c>
    </row>
    <row r="124" spans="1:36" ht="63.75">
      <c r="A124" s="346" t="s">
        <v>143</v>
      </c>
      <c r="B124" s="323" t="s">
        <v>890</v>
      </c>
      <c r="C124" s="313" t="s">
        <v>398</v>
      </c>
      <c r="D124" s="313" t="s">
        <v>782</v>
      </c>
      <c r="E124" s="313"/>
      <c r="F124" s="313" t="s">
        <v>891</v>
      </c>
      <c r="G124" s="314">
        <v>2000000.27</v>
      </c>
      <c r="H124" s="314">
        <v>0</v>
      </c>
      <c r="I124" s="314">
        <v>2000000.27</v>
      </c>
      <c r="J124" s="297">
        <v>0</v>
      </c>
      <c r="K124" s="297">
        <v>0</v>
      </c>
      <c r="L124" s="298">
        <v>0</v>
      </c>
      <c r="M124" s="298">
        <v>0</v>
      </c>
      <c r="N124" s="298">
        <v>0</v>
      </c>
      <c r="O124" s="297">
        <v>0</v>
      </c>
      <c r="P124" s="297">
        <v>1000000</v>
      </c>
      <c r="Q124" s="297">
        <v>1000000</v>
      </c>
      <c r="R124" s="297">
        <f t="shared" si="89"/>
        <v>2000000</v>
      </c>
      <c r="S124" s="295"/>
      <c r="T124" s="276">
        <f t="shared" si="91"/>
        <v>0.27000000001862645</v>
      </c>
      <c r="U124" s="315">
        <v>0</v>
      </c>
      <c r="V124" s="316">
        <f t="shared" si="100"/>
        <v>0</v>
      </c>
      <c r="W124" s="349" t="e">
        <f t="shared" si="101"/>
        <v>#DIV/0!</v>
      </c>
      <c r="Y124" s="300">
        <v>0</v>
      </c>
      <c r="Z124" s="300">
        <v>0</v>
      </c>
      <c r="AA124" s="300">
        <v>0</v>
      </c>
      <c r="AB124" s="317" t="e">
        <f t="shared" si="105"/>
        <v>#DIV/0!</v>
      </c>
      <c r="AC124" s="317" t="e">
        <f t="shared" si="106"/>
        <v>#DIV/0!</v>
      </c>
      <c r="AD124" s="318" t="e">
        <f t="shared" si="102"/>
        <v>#DIV/0!</v>
      </c>
      <c r="AF124" s="276">
        <f t="shared" si="90"/>
        <v>0</v>
      </c>
      <c r="AI124" s="300">
        <v>0</v>
      </c>
      <c r="AJ124" s="282">
        <f t="shared" si="107"/>
        <v>0</v>
      </c>
    </row>
    <row r="125" spans="1:36" ht="25.5">
      <c r="A125" s="346" t="s">
        <v>424</v>
      </c>
      <c r="B125" s="312" t="s">
        <v>892</v>
      </c>
      <c r="C125" s="313" t="s">
        <v>398</v>
      </c>
      <c r="D125" s="313" t="s">
        <v>782</v>
      </c>
      <c r="E125" s="313"/>
      <c r="F125" s="313" t="s">
        <v>231</v>
      </c>
      <c r="G125" s="314">
        <v>0</v>
      </c>
      <c r="H125" s="314">
        <v>0</v>
      </c>
      <c r="I125" s="314">
        <v>0</v>
      </c>
      <c r="J125" s="297">
        <v>0</v>
      </c>
      <c r="K125" s="297">
        <v>0</v>
      </c>
      <c r="L125" s="298">
        <v>0</v>
      </c>
      <c r="M125" s="298">
        <v>0</v>
      </c>
      <c r="N125" s="298">
        <v>0</v>
      </c>
      <c r="O125" s="297">
        <v>0</v>
      </c>
      <c r="P125" s="297">
        <v>0</v>
      </c>
      <c r="Q125" s="297">
        <v>0</v>
      </c>
      <c r="R125" s="297">
        <f t="shared" si="89"/>
        <v>0</v>
      </c>
      <c r="S125" s="295"/>
      <c r="T125" s="276">
        <f t="shared" si="91"/>
        <v>0</v>
      </c>
      <c r="U125" s="315">
        <v>0</v>
      </c>
      <c r="V125" s="316">
        <f t="shared" si="100"/>
        <v>0</v>
      </c>
      <c r="W125" s="349" t="e">
        <f t="shared" si="101"/>
        <v>#DIV/0!</v>
      </c>
      <c r="Y125" s="300">
        <v>0</v>
      </c>
      <c r="Z125" s="300">
        <v>0</v>
      </c>
      <c r="AA125" s="300">
        <v>0</v>
      </c>
      <c r="AB125" s="317" t="e">
        <f t="shared" si="105"/>
        <v>#DIV/0!</v>
      </c>
      <c r="AC125" s="317" t="e">
        <f t="shared" si="106"/>
        <v>#DIV/0!</v>
      </c>
      <c r="AD125" s="318" t="e">
        <f t="shared" si="102"/>
        <v>#DIV/0!</v>
      </c>
      <c r="AF125" s="276">
        <f t="shared" si="90"/>
        <v>0</v>
      </c>
      <c r="AI125" s="300">
        <v>0</v>
      </c>
      <c r="AJ125" s="282">
        <f t="shared" si="107"/>
        <v>0</v>
      </c>
    </row>
    <row r="126" spans="1:36" ht="63.75">
      <c r="A126" s="346" t="s">
        <v>10</v>
      </c>
      <c r="B126" s="312" t="s">
        <v>893</v>
      </c>
      <c r="C126" s="313" t="s">
        <v>398</v>
      </c>
      <c r="D126" s="313" t="s">
        <v>782</v>
      </c>
      <c r="E126" s="313"/>
      <c r="F126" s="313" t="s">
        <v>886</v>
      </c>
      <c r="G126" s="314">
        <v>70593868.859999999</v>
      </c>
      <c r="H126" s="314">
        <v>20070677.789999999</v>
      </c>
      <c r="I126" s="314">
        <v>90664546.650000006</v>
      </c>
      <c r="J126" s="297">
        <v>32815100.649999999</v>
      </c>
      <c r="K126" s="297">
        <v>7740606</v>
      </c>
      <c r="L126" s="298">
        <v>12736250</v>
      </c>
      <c r="M126" s="298">
        <v>0</v>
      </c>
      <c r="N126" s="298">
        <v>0</v>
      </c>
      <c r="O126" s="297">
        <v>0</v>
      </c>
      <c r="P126" s="297">
        <v>16788936</v>
      </c>
      <c r="Q126" s="297">
        <v>16788936</v>
      </c>
      <c r="R126" s="297">
        <f t="shared" si="89"/>
        <v>86869828.650000006</v>
      </c>
      <c r="S126" s="295" t="s">
        <v>894</v>
      </c>
      <c r="T126" s="276">
        <f t="shared" si="91"/>
        <v>3794718</v>
      </c>
      <c r="U126" s="315">
        <v>8396261</v>
      </c>
      <c r="V126" s="316">
        <f t="shared" si="100"/>
        <v>655655</v>
      </c>
      <c r="W126" s="349">
        <f t="shared" si="101"/>
        <v>0.92191107446516962</v>
      </c>
      <c r="Y126" s="300">
        <v>8386141</v>
      </c>
      <c r="Z126" s="300">
        <v>6192201</v>
      </c>
      <c r="AA126" s="300">
        <v>6192192.2199999997</v>
      </c>
      <c r="AB126" s="317">
        <f t="shared" si="105"/>
        <v>0.73838398615048328</v>
      </c>
      <c r="AC126" s="317">
        <f t="shared" si="106"/>
        <v>0.92302359333094919</v>
      </c>
      <c r="AD126" s="318">
        <f t="shared" si="102"/>
        <v>1.1924418896455125E-7</v>
      </c>
      <c r="AF126" s="276">
        <f t="shared" si="90"/>
        <v>645535</v>
      </c>
      <c r="AI126" s="300">
        <v>8386141</v>
      </c>
      <c r="AJ126" s="282">
        <f t="shared" si="107"/>
        <v>645535</v>
      </c>
    </row>
    <row r="127" spans="1:36" ht="25.5">
      <c r="A127" s="345" t="s">
        <v>431</v>
      </c>
      <c r="B127" s="310" t="s">
        <v>895</v>
      </c>
      <c r="C127" s="313" t="s">
        <v>398</v>
      </c>
      <c r="D127" s="292" t="s">
        <v>782</v>
      </c>
      <c r="E127" s="292"/>
      <c r="F127" s="292" t="s">
        <v>231</v>
      </c>
      <c r="G127" s="321">
        <f>G128</f>
        <v>147494366.41999999</v>
      </c>
      <c r="H127" s="321">
        <f t="shared" ref="H127:Q127" si="145">H128</f>
        <v>0</v>
      </c>
      <c r="I127" s="321">
        <f t="shared" si="145"/>
        <v>147494366.41999999</v>
      </c>
      <c r="J127" s="321">
        <f t="shared" si="145"/>
        <v>170300356</v>
      </c>
      <c r="K127" s="321">
        <f t="shared" si="145"/>
        <v>0</v>
      </c>
      <c r="L127" s="321">
        <f t="shared" si="145"/>
        <v>0</v>
      </c>
      <c r="M127" s="321">
        <f t="shared" si="145"/>
        <v>0</v>
      </c>
      <c r="N127" s="321">
        <f t="shared" si="145"/>
        <v>0</v>
      </c>
      <c r="O127" s="321">
        <f t="shared" si="145"/>
        <v>0</v>
      </c>
      <c r="P127" s="321">
        <f t="shared" si="145"/>
        <v>0</v>
      </c>
      <c r="Q127" s="321">
        <f t="shared" si="145"/>
        <v>0</v>
      </c>
      <c r="R127" s="297">
        <f t="shared" si="89"/>
        <v>170300356</v>
      </c>
      <c r="S127" s="295"/>
      <c r="T127" s="276">
        <f t="shared" si="91"/>
        <v>-22805989.580000013</v>
      </c>
      <c r="U127" s="277">
        <f>U128</f>
        <v>0</v>
      </c>
      <c r="V127" s="339">
        <f t="shared" si="100"/>
        <v>0</v>
      </c>
      <c r="W127" s="349" t="e">
        <f t="shared" si="101"/>
        <v>#DIV/0!</v>
      </c>
      <c r="Y127" s="321">
        <f t="shared" ref="Y127:AA127" si="146">Y128</f>
        <v>0</v>
      </c>
      <c r="Z127" s="321">
        <f t="shared" si="146"/>
        <v>0</v>
      </c>
      <c r="AA127" s="321">
        <f t="shared" si="146"/>
        <v>0</v>
      </c>
      <c r="AB127" s="317" t="e">
        <f t="shared" si="105"/>
        <v>#DIV/0!</v>
      </c>
      <c r="AC127" s="317" t="e">
        <f t="shared" si="106"/>
        <v>#DIV/0!</v>
      </c>
      <c r="AD127" s="318" t="e">
        <f t="shared" si="102"/>
        <v>#DIV/0!</v>
      </c>
      <c r="AF127" s="276">
        <f t="shared" si="90"/>
        <v>0</v>
      </c>
      <c r="AI127" s="321">
        <f t="shared" ref="AI127" si="147">AI128</f>
        <v>0</v>
      </c>
      <c r="AJ127" s="282">
        <f t="shared" si="107"/>
        <v>0</v>
      </c>
    </row>
    <row r="128" spans="1:36" ht="51">
      <c r="A128" s="345" t="s">
        <v>434</v>
      </c>
      <c r="B128" s="310" t="s">
        <v>896</v>
      </c>
      <c r="C128" s="313" t="s">
        <v>398</v>
      </c>
      <c r="D128" s="292" t="s">
        <v>782</v>
      </c>
      <c r="E128" s="292"/>
      <c r="F128" s="292" t="s">
        <v>231</v>
      </c>
      <c r="G128" s="321">
        <f>G129+G130+G133+G134</f>
        <v>147494366.41999999</v>
      </c>
      <c r="H128" s="321">
        <f t="shared" ref="H128:Q128" si="148">H129+H130+H133+H134</f>
        <v>0</v>
      </c>
      <c r="I128" s="321">
        <f t="shared" si="148"/>
        <v>147494366.41999999</v>
      </c>
      <c r="J128" s="321">
        <f t="shared" si="148"/>
        <v>170300356</v>
      </c>
      <c r="K128" s="321">
        <f t="shared" si="148"/>
        <v>0</v>
      </c>
      <c r="L128" s="321">
        <f t="shared" si="148"/>
        <v>0</v>
      </c>
      <c r="M128" s="321">
        <f t="shared" si="148"/>
        <v>0</v>
      </c>
      <c r="N128" s="321">
        <f t="shared" si="148"/>
        <v>0</v>
      </c>
      <c r="O128" s="321">
        <f t="shared" si="148"/>
        <v>0</v>
      </c>
      <c r="P128" s="321">
        <f t="shared" si="148"/>
        <v>0</v>
      </c>
      <c r="Q128" s="321">
        <f t="shared" si="148"/>
        <v>0</v>
      </c>
      <c r="R128" s="297">
        <f t="shared" si="89"/>
        <v>170300356</v>
      </c>
      <c r="S128" s="295"/>
      <c r="T128" s="276">
        <f t="shared" si="91"/>
        <v>-22805989.580000013</v>
      </c>
      <c r="U128" s="277">
        <f>U129+U130+U133+U134</f>
        <v>0</v>
      </c>
      <c r="V128" s="277">
        <f t="shared" si="100"/>
        <v>0</v>
      </c>
      <c r="W128" s="349" t="e">
        <f t="shared" si="101"/>
        <v>#DIV/0!</v>
      </c>
      <c r="Y128" s="321">
        <f t="shared" ref="Y128:AA128" si="149">Y129+Y130+Y133+Y134</f>
        <v>0</v>
      </c>
      <c r="Z128" s="321">
        <f t="shared" si="149"/>
        <v>0</v>
      </c>
      <c r="AA128" s="321">
        <f t="shared" si="149"/>
        <v>0</v>
      </c>
      <c r="AB128" s="317" t="e">
        <f t="shared" si="105"/>
        <v>#DIV/0!</v>
      </c>
      <c r="AC128" s="317" t="e">
        <f t="shared" si="106"/>
        <v>#DIV/0!</v>
      </c>
      <c r="AD128" s="318" t="e">
        <f t="shared" si="102"/>
        <v>#DIV/0!</v>
      </c>
      <c r="AF128" s="276">
        <f t="shared" si="90"/>
        <v>0</v>
      </c>
      <c r="AI128" s="321">
        <f t="shared" ref="AI128" si="150">AI129+AI130+AI133+AI134</f>
        <v>0</v>
      </c>
      <c r="AJ128" s="282">
        <f t="shared" si="107"/>
        <v>0</v>
      </c>
    </row>
    <row r="129" spans="1:37" ht="114.75">
      <c r="A129" s="346" t="s">
        <v>11</v>
      </c>
      <c r="B129" s="312" t="s">
        <v>897</v>
      </c>
      <c r="C129" s="313" t="s">
        <v>398</v>
      </c>
      <c r="D129" s="313" t="s">
        <v>782</v>
      </c>
      <c r="E129" s="313"/>
      <c r="F129" s="313" t="s">
        <v>898</v>
      </c>
      <c r="G129" s="314">
        <v>64306566</v>
      </c>
      <c r="H129" s="314">
        <v>0</v>
      </c>
      <c r="I129" s="314">
        <v>64306566</v>
      </c>
      <c r="J129" s="297">
        <v>64306566</v>
      </c>
      <c r="K129" s="297">
        <v>0</v>
      </c>
      <c r="L129" s="298">
        <v>0</v>
      </c>
      <c r="M129" s="298">
        <v>0</v>
      </c>
      <c r="N129" s="298">
        <v>0</v>
      </c>
      <c r="O129" s="297">
        <v>0</v>
      </c>
      <c r="P129" s="297">
        <v>0</v>
      </c>
      <c r="Q129" s="297">
        <v>0</v>
      </c>
      <c r="R129" s="297">
        <f t="shared" si="89"/>
        <v>64306566</v>
      </c>
      <c r="S129" s="295"/>
      <c r="T129" s="276">
        <f t="shared" si="91"/>
        <v>0</v>
      </c>
      <c r="U129" s="315">
        <v>0</v>
      </c>
      <c r="V129" s="316">
        <f t="shared" si="100"/>
        <v>0</v>
      </c>
      <c r="W129" s="349" t="e">
        <f t="shared" si="101"/>
        <v>#DIV/0!</v>
      </c>
      <c r="Y129" s="300">
        <v>0</v>
      </c>
      <c r="Z129" s="300">
        <v>0</v>
      </c>
      <c r="AA129" s="300">
        <v>0</v>
      </c>
      <c r="AB129" s="317" t="e">
        <f t="shared" si="105"/>
        <v>#DIV/0!</v>
      </c>
      <c r="AC129" s="317" t="e">
        <f t="shared" si="106"/>
        <v>#DIV/0!</v>
      </c>
      <c r="AD129" s="318" t="e">
        <f t="shared" si="102"/>
        <v>#DIV/0!</v>
      </c>
      <c r="AF129" s="276">
        <f t="shared" si="90"/>
        <v>0</v>
      </c>
      <c r="AI129" s="300">
        <v>0</v>
      </c>
      <c r="AJ129" s="282">
        <f t="shared" si="107"/>
        <v>0</v>
      </c>
    </row>
    <row r="130" spans="1:37" ht="25.5">
      <c r="A130" s="346" t="s">
        <v>439</v>
      </c>
      <c r="B130" s="312" t="s">
        <v>899</v>
      </c>
      <c r="C130" s="313" t="s">
        <v>398</v>
      </c>
      <c r="D130" s="313" t="s">
        <v>782</v>
      </c>
      <c r="E130" s="313"/>
      <c r="F130" s="313" t="s">
        <v>231</v>
      </c>
      <c r="G130" s="314">
        <f>G131+G132</f>
        <v>0</v>
      </c>
      <c r="H130" s="314">
        <f t="shared" ref="H130:Q130" si="151">H131+H132</f>
        <v>0</v>
      </c>
      <c r="I130" s="314">
        <f t="shared" si="151"/>
        <v>0</v>
      </c>
      <c r="J130" s="314">
        <f t="shared" si="151"/>
        <v>0</v>
      </c>
      <c r="K130" s="314">
        <f t="shared" si="151"/>
        <v>0</v>
      </c>
      <c r="L130" s="314">
        <f t="shared" si="151"/>
        <v>0</v>
      </c>
      <c r="M130" s="314">
        <f t="shared" si="151"/>
        <v>0</v>
      </c>
      <c r="N130" s="314">
        <f t="shared" si="151"/>
        <v>0</v>
      </c>
      <c r="O130" s="314">
        <f t="shared" si="151"/>
        <v>0</v>
      </c>
      <c r="P130" s="314">
        <f t="shared" si="151"/>
        <v>0</v>
      </c>
      <c r="Q130" s="314">
        <f t="shared" si="151"/>
        <v>0</v>
      </c>
      <c r="R130" s="297">
        <f t="shared" si="89"/>
        <v>0</v>
      </c>
      <c r="S130" s="295"/>
      <c r="T130" s="276">
        <f t="shared" si="91"/>
        <v>0</v>
      </c>
      <c r="U130" s="315">
        <f>U131+U132</f>
        <v>0</v>
      </c>
      <c r="V130" s="316">
        <f t="shared" si="100"/>
        <v>0</v>
      </c>
      <c r="W130" s="349" t="e">
        <f t="shared" si="101"/>
        <v>#DIV/0!</v>
      </c>
      <c r="Y130" s="314">
        <f t="shared" ref="Y130:AA130" si="152">Y131+Y132</f>
        <v>0</v>
      </c>
      <c r="Z130" s="314">
        <f t="shared" si="152"/>
        <v>0</v>
      </c>
      <c r="AA130" s="314">
        <f t="shared" si="152"/>
        <v>0</v>
      </c>
      <c r="AB130" s="317" t="e">
        <f t="shared" si="105"/>
        <v>#DIV/0!</v>
      </c>
      <c r="AC130" s="317" t="e">
        <f t="shared" si="106"/>
        <v>#DIV/0!</v>
      </c>
      <c r="AD130" s="318" t="e">
        <f t="shared" si="102"/>
        <v>#DIV/0!</v>
      </c>
      <c r="AF130" s="276">
        <f t="shared" si="90"/>
        <v>0</v>
      </c>
      <c r="AI130" s="314">
        <f t="shared" ref="AI130" si="153">AI131+AI132</f>
        <v>0</v>
      </c>
      <c r="AJ130" s="282">
        <f t="shared" si="107"/>
        <v>0</v>
      </c>
    </row>
    <row r="131" spans="1:37" ht="33" customHeight="1">
      <c r="A131" s="346" t="s">
        <v>12</v>
      </c>
      <c r="B131" s="323" t="s">
        <v>900</v>
      </c>
      <c r="C131" s="313" t="s">
        <v>398</v>
      </c>
      <c r="D131" s="313" t="s">
        <v>782</v>
      </c>
      <c r="E131" s="313"/>
      <c r="F131" s="313" t="s">
        <v>886</v>
      </c>
      <c r="G131" s="314">
        <v>0</v>
      </c>
      <c r="H131" s="314">
        <v>0</v>
      </c>
      <c r="I131" s="314">
        <v>0</v>
      </c>
      <c r="J131" s="297">
        <v>0</v>
      </c>
      <c r="K131" s="297">
        <v>0</v>
      </c>
      <c r="L131" s="298">
        <v>0</v>
      </c>
      <c r="M131" s="298">
        <v>0</v>
      </c>
      <c r="N131" s="298">
        <v>0</v>
      </c>
      <c r="O131" s="297">
        <v>0</v>
      </c>
      <c r="P131" s="297">
        <v>0</v>
      </c>
      <c r="Q131" s="297">
        <v>0</v>
      </c>
      <c r="R131" s="297">
        <f t="shared" si="89"/>
        <v>0</v>
      </c>
      <c r="S131" s="295"/>
      <c r="T131" s="276">
        <f t="shared" si="91"/>
        <v>0</v>
      </c>
      <c r="U131" s="315">
        <v>0</v>
      </c>
      <c r="V131" s="316">
        <f t="shared" si="100"/>
        <v>0</v>
      </c>
      <c r="W131" s="349" t="e">
        <f t="shared" si="101"/>
        <v>#DIV/0!</v>
      </c>
      <c r="Y131" s="300">
        <v>0</v>
      </c>
      <c r="Z131" s="300">
        <v>0</v>
      </c>
      <c r="AA131" s="300">
        <v>0</v>
      </c>
      <c r="AB131" s="317" t="e">
        <f t="shared" si="105"/>
        <v>#DIV/0!</v>
      </c>
      <c r="AC131" s="317" t="e">
        <f t="shared" si="106"/>
        <v>#DIV/0!</v>
      </c>
      <c r="AD131" s="318" t="e">
        <f t="shared" si="102"/>
        <v>#DIV/0!</v>
      </c>
      <c r="AF131" s="276">
        <f t="shared" si="90"/>
        <v>0</v>
      </c>
      <c r="AI131" s="300">
        <v>0</v>
      </c>
      <c r="AJ131" s="282">
        <f t="shared" si="107"/>
        <v>0</v>
      </c>
    </row>
    <row r="132" spans="1:37" ht="25.5">
      <c r="A132" s="346" t="s">
        <v>13</v>
      </c>
      <c r="B132" s="323" t="s">
        <v>901</v>
      </c>
      <c r="C132" s="313" t="s">
        <v>398</v>
      </c>
      <c r="D132" s="313" t="s">
        <v>782</v>
      </c>
      <c r="E132" s="313"/>
      <c r="F132" s="313" t="s">
        <v>902</v>
      </c>
      <c r="G132" s="314">
        <v>0</v>
      </c>
      <c r="H132" s="314">
        <v>0</v>
      </c>
      <c r="I132" s="314">
        <v>0</v>
      </c>
      <c r="J132" s="297">
        <v>0</v>
      </c>
      <c r="K132" s="297">
        <v>0</v>
      </c>
      <c r="L132" s="298">
        <v>0</v>
      </c>
      <c r="M132" s="298">
        <v>0</v>
      </c>
      <c r="N132" s="298">
        <v>0</v>
      </c>
      <c r="O132" s="297">
        <v>0</v>
      </c>
      <c r="P132" s="297">
        <v>0</v>
      </c>
      <c r="Q132" s="297">
        <v>0</v>
      </c>
      <c r="R132" s="297">
        <f t="shared" si="89"/>
        <v>0</v>
      </c>
      <c r="S132" s="295"/>
      <c r="T132" s="276">
        <f t="shared" si="91"/>
        <v>0</v>
      </c>
      <c r="U132" s="315">
        <v>0</v>
      </c>
      <c r="V132" s="316">
        <f t="shared" si="100"/>
        <v>0</v>
      </c>
      <c r="W132" s="349" t="e">
        <f t="shared" si="101"/>
        <v>#DIV/0!</v>
      </c>
      <c r="Y132" s="300">
        <v>0</v>
      </c>
      <c r="Z132" s="300">
        <v>0</v>
      </c>
      <c r="AA132" s="300">
        <v>0</v>
      </c>
      <c r="AB132" s="317" t="e">
        <f t="shared" si="105"/>
        <v>#DIV/0!</v>
      </c>
      <c r="AC132" s="317" t="e">
        <f t="shared" si="106"/>
        <v>#DIV/0!</v>
      </c>
      <c r="AD132" s="318" t="e">
        <f t="shared" si="102"/>
        <v>#DIV/0!</v>
      </c>
      <c r="AF132" s="276">
        <f t="shared" si="90"/>
        <v>0</v>
      </c>
      <c r="AI132" s="300">
        <v>0</v>
      </c>
      <c r="AJ132" s="282">
        <f t="shared" si="107"/>
        <v>0</v>
      </c>
    </row>
    <row r="133" spans="1:37" ht="51">
      <c r="A133" s="346" t="s">
        <v>14</v>
      </c>
      <c r="B133" s="312" t="s">
        <v>903</v>
      </c>
      <c r="C133" s="313" t="s">
        <v>398</v>
      </c>
      <c r="D133" s="313" t="s">
        <v>782</v>
      </c>
      <c r="E133" s="313"/>
      <c r="F133" s="313" t="s">
        <v>904</v>
      </c>
      <c r="G133" s="314">
        <v>20000000</v>
      </c>
      <c r="H133" s="314">
        <v>0</v>
      </c>
      <c r="I133" s="314">
        <v>20000000</v>
      </c>
      <c r="J133" s="297">
        <v>60544547</v>
      </c>
      <c r="K133" s="297">
        <v>0</v>
      </c>
      <c r="L133" s="298">
        <v>0</v>
      </c>
      <c r="M133" s="298">
        <v>0</v>
      </c>
      <c r="N133" s="298">
        <v>0</v>
      </c>
      <c r="O133" s="297">
        <v>0</v>
      </c>
      <c r="P133" s="297">
        <v>0</v>
      </c>
      <c r="Q133" s="297">
        <v>0</v>
      </c>
      <c r="R133" s="297">
        <f t="shared" si="89"/>
        <v>60544547</v>
      </c>
      <c r="S133" s="295"/>
      <c r="T133" s="276">
        <f t="shared" si="91"/>
        <v>-40544547</v>
      </c>
      <c r="U133" s="315">
        <v>0</v>
      </c>
      <c r="V133" s="316">
        <f t="shared" si="100"/>
        <v>0</v>
      </c>
      <c r="W133" s="349" t="e">
        <f t="shared" si="101"/>
        <v>#DIV/0!</v>
      </c>
      <c r="Y133" s="300">
        <v>0</v>
      </c>
      <c r="Z133" s="300">
        <v>0</v>
      </c>
      <c r="AA133" s="300">
        <v>0</v>
      </c>
      <c r="AB133" s="317" t="e">
        <f t="shared" si="105"/>
        <v>#DIV/0!</v>
      </c>
      <c r="AC133" s="317" t="e">
        <f t="shared" si="106"/>
        <v>#DIV/0!</v>
      </c>
      <c r="AD133" s="318" t="e">
        <f t="shared" si="102"/>
        <v>#DIV/0!</v>
      </c>
      <c r="AF133" s="276">
        <f t="shared" si="90"/>
        <v>0</v>
      </c>
      <c r="AI133" s="300">
        <v>0</v>
      </c>
      <c r="AJ133" s="282">
        <f t="shared" si="107"/>
        <v>0</v>
      </c>
    </row>
    <row r="134" spans="1:37" ht="51">
      <c r="A134" s="346" t="s">
        <v>905</v>
      </c>
      <c r="B134" s="312" t="s">
        <v>906</v>
      </c>
      <c r="C134" s="313" t="s">
        <v>398</v>
      </c>
      <c r="D134" s="313" t="s">
        <v>782</v>
      </c>
      <c r="E134" s="313"/>
      <c r="F134" s="313" t="s">
        <v>886</v>
      </c>
      <c r="G134" s="314">
        <f>G135+G136</f>
        <v>63187800.419999994</v>
      </c>
      <c r="H134" s="314">
        <f t="shared" ref="H134:Q134" si="154">H135+H136</f>
        <v>0</v>
      </c>
      <c r="I134" s="314">
        <f t="shared" si="154"/>
        <v>63187800.419999994</v>
      </c>
      <c r="J134" s="314">
        <f t="shared" si="154"/>
        <v>45449243</v>
      </c>
      <c r="K134" s="314">
        <f t="shared" si="154"/>
        <v>0</v>
      </c>
      <c r="L134" s="314">
        <f t="shared" si="154"/>
        <v>0</v>
      </c>
      <c r="M134" s="314">
        <f t="shared" si="154"/>
        <v>0</v>
      </c>
      <c r="N134" s="314">
        <f t="shared" si="154"/>
        <v>0</v>
      </c>
      <c r="O134" s="314">
        <f t="shared" si="154"/>
        <v>0</v>
      </c>
      <c r="P134" s="314">
        <f t="shared" si="154"/>
        <v>0</v>
      </c>
      <c r="Q134" s="314">
        <f t="shared" si="154"/>
        <v>0</v>
      </c>
      <c r="R134" s="297">
        <f t="shared" si="89"/>
        <v>45449243</v>
      </c>
      <c r="S134" s="295"/>
      <c r="T134" s="276">
        <f t="shared" si="91"/>
        <v>17738557.419999994</v>
      </c>
      <c r="U134" s="330">
        <f t="shared" ref="U134" si="155">U135+U136</f>
        <v>0</v>
      </c>
      <c r="V134" s="316">
        <f t="shared" si="100"/>
        <v>0</v>
      </c>
      <c r="W134" s="349" t="e">
        <f t="shared" si="101"/>
        <v>#DIV/0!</v>
      </c>
      <c r="Y134" s="314">
        <f t="shared" ref="Y134:AA134" si="156">Y135+Y136</f>
        <v>0</v>
      </c>
      <c r="Z134" s="314">
        <f t="shared" si="156"/>
        <v>0</v>
      </c>
      <c r="AA134" s="314">
        <f t="shared" si="156"/>
        <v>0</v>
      </c>
      <c r="AB134" s="317" t="e">
        <f t="shared" si="105"/>
        <v>#DIV/0!</v>
      </c>
      <c r="AC134" s="317" t="e">
        <f t="shared" si="106"/>
        <v>#DIV/0!</v>
      </c>
      <c r="AD134" s="318" t="e">
        <f t="shared" si="102"/>
        <v>#DIV/0!</v>
      </c>
      <c r="AF134" s="276">
        <f t="shared" si="90"/>
        <v>0</v>
      </c>
      <c r="AI134" s="314">
        <f t="shared" ref="AI134" si="157">AI135+AI136</f>
        <v>0</v>
      </c>
      <c r="AJ134" s="282">
        <f t="shared" si="107"/>
        <v>0</v>
      </c>
    </row>
    <row r="135" spans="1:37" ht="63.75">
      <c r="A135" s="346" t="s">
        <v>145</v>
      </c>
      <c r="B135" s="323" t="s">
        <v>907</v>
      </c>
      <c r="C135" s="313" t="s">
        <v>398</v>
      </c>
      <c r="D135" s="313" t="s">
        <v>782</v>
      </c>
      <c r="E135" s="313"/>
      <c r="F135" s="313" t="s">
        <v>908</v>
      </c>
      <c r="G135" s="314">
        <v>45449242.519999996</v>
      </c>
      <c r="H135" s="314">
        <v>0</v>
      </c>
      <c r="I135" s="314">
        <v>45449242.519999996</v>
      </c>
      <c r="J135" s="297">
        <v>45449243</v>
      </c>
      <c r="K135" s="297">
        <v>0</v>
      </c>
      <c r="L135" s="298">
        <v>0</v>
      </c>
      <c r="M135" s="298">
        <v>0</v>
      </c>
      <c r="N135" s="298">
        <v>0</v>
      </c>
      <c r="O135" s="297">
        <v>0</v>
      </c>
      <c r="P135" s="297">
        <v>0</v>
      </c>
      <c r="Q135" s="297">
        <v>0</v>
      </c>
      <c r="R135" s="297">
        <f t="shared" ref="R135:R198" si="158">J135+K135+L135+M135+N135+O135+P135+Q135</f>
        <v>45449243</v>
      </c>
      <c r="S135" s="295"/>
      <c r="T135" s="276">
        <f t="shared" si="91"/>
        <v>-0.48000000417232513</v>
      </c>
      <c r="U135" s="315">
        <v>0</v>
      </c>
      <c r="V135" s="316">
        <f t="shared" si="100"/>
        <v>0</v>
      </c>
      <c r="W135" s="349" t="e">
        <f t="shared" si="101"/>
        <v>#DIV/0!</v>
      </c>
      <c r="Y135" s="300">
        <v>0</v>
      </c>
      <c r="Z135" s="300">
        <v>0</v>
      </c>
      <c r="AA135" s="300">
        <v>0</v>
      </c>
      <c r="AB135" s="317" t="e">
        <f t="shared" si="105"/>
        <v>#DIV/0!</v>
      </c>
      <c r="AC135" s="317" t="e">
        <f t="shared" si="106"/>
        <v>#DIV/0!</v>
      </c>
      <c r="AD135" s="318" t="e">
        <f t="shared" si="102"/>
        <v>#DIV/0!</v>
      </c>
      <c r="AF135" s="276">
        <f t="shared" ref="AF135:AF198" si="159">Y135-K135</f>
        <v>0</v>
      </c>
      <c r="AI135" s="300">
        <v>0</v>
      </c>
      <c r="AJ135" s="282">
        <f t="shared" si="107"/>
        <v>0</v>
      </c>
    </row>
    <row r="136" spans="1:37" ht="76.5">
      <c r="A136" s="346" t="s">
        <v>146</v>
      </c>
      <c r="B136" s="323" t="s">
        <v>909</v>
      </c>
      <c r="C136" s="313" t="s">
        <v>398</v>
      </c>
      <c r="D136" s="313" t="s">
        <v>782</v>
      </c>
      <c r="E136" s="313"/>
      <c r="F136" s="313" t="s">
        <v>910</v>
      </c>
      <c r="G136" s="314">
        <v>17738557.899999999</v>
      </c>
      <c r="H136" s="314">
        <v>0</v>
      </c>
      <c r="I136" s="314">
        <v>17738557.899999999</v>
      </c>
      <c r="J136" s="297">
        <v>0</v>
      </c>
      <c r="K136" s="297">
        <v>0</v>
      </c>
      <c r="L136" s="298">
        <v>0</v>
      </c>
      <c r="M136" s="298">
        <v>0</v>
      </c>
      <c r="N136" s="298">
        <v>0</v>
      </c>
      <c r="O136" s="297">
        <v>0</v>
      </c>
      <c r="P136" s="297">
        <v>0</v>
      </c>
      <c r="Q136" s="297">
        <v>0</v>
      </c>
      <c r="R136" s="297">
        <f t="shared" si="158"/>
        <v>0</v>
      </c>
      <c r="S136" s="295"/>
      <c r="T136" s="276">
        <f t="shared" ref="T136:T199" si="160">I136-R136</f>
        <v>17738557.899999999</v>
      </c>
      <c r="U136" s="315">
        <v>0</v>
      </c>
      <c r="V136" s="316">
        <f t="shared" si="100"/>
        <v>0</v>
      </c>
      <c r="W136" s="349" t="e">
        <f t="shared" si="101"/>
        <v>#DIV/0!</v>
      </c>
      <c r="Y136" s="300">
        <v>0</v>
      </c>
      <c r="Z136" s="300">
        <v>0</v>
      </c>
      <c r="AA136" s="300">
        <v>0</v>
      </c>
      <c r="AB136" s="317" t="e">
        <f t="shared" si="105"/>
        <v>#DIV/0!</v>
      </c>
      <c r="AC136" s="317" t="e">
        <f t="shared" si="106"/>
        <v>#DIV/0!</v>
      </c>
      <c r="AD136" s="318" t="e">
        <f t="shared" si="102"/>
        <v>#DIV/0!</v>
      </c>
      <c r="AF136" s="276">
        <f t="shared" si="159"/>
        <v>0</v>
      </c>
      <c r="AI136" s="300">
        <v>0</v>
      </c>
      <c r="AJ136" s="282">
        <f t="shared" si="107"/>
        <v>0</v>
      </c>
    </row>
    <row r="137" spans="1:37" ht="51">
      <c r="A137" s="345" t="s">
        <v>451</v>
      </c>
      <c r="B137" s="310" t="s">
        <v>911</v>
      </c>
      <c r="C137" s="313" t="s">
        <v>398</v>
      </c>
      <c r="D137" s="292" t="s">
        <v>782</v>
      </c>
      <c r="E137" s="292"/>
      <c r="F137" s="292" t="s">
        <v>231</v>
      </c>
      <c r="G137" s="321">
        <f>G138+G143</f>
        <v>59433653.400000006</v>
      </c>
      <c r="H137" s="321">
        <f t="shared" ref="H137:Q137" si="161">H138+H143</f>
        <v>6000000</v>
      </c>
      <c r="I137" s="321">
        <f t="shared" si="161"/>
        <v>65433653.400000006</v>
      </c>
      <c r="J137" s="321">
        <f t="shared" si="161"/>
        <v>15802913.759999998</v>
      </c>
      <c r="K137" s="321">
        <f t="shared" si="161"/>
        <v>7011678</v>
      </c>
      <c r="L137" s="321">
        <f t="shared" si="161"/>
        <v>5623907</v>
      </c>
      <c r="M137" s="321">
        <f t="shared" si="161"/>
        <v>4265130</v>
      </c>
      <c r="N137" s="321">
        <f t="shared" si="161"/>
        <v>2837877</v>
      </c>
      <c r="O137" s="321">
        <f t="shared" si="161"/>
        <v>1422528</v>
      </c>
      <c r="P137" s="321">
        <f t="shared" si="161"/>
        <v>10999723</v>
      </c>
      <c r="Q137" s="321">
        <f t="shared" si="161"/>
        <v>11469898</v>
      </c>
      <c r="R137" s="297">
        <f t="shared" si="158"/>
        <v>59433654.759999998</v>
      </c>
      <c r="S137" s="295"/>
      <c r="T137" s="276">
        <f t="shared" si="160"/>
        <v>5999998.640000008</v>
      </c>
      <c r="U137" s="344">
        <f>U138+U143</f>
        <v>7586893</v>
      </c>
      <c r="V137" s="277">
        <f t="shared" si="100"/>
        <v>575215</v>
      </c>
      <c r="W137" s="278">
        <f t="shared" si="101"/>
        <v>0.9241830614982971</v>
      </c>
      <c r="Y137" s="321">
        <f t="shared" ref="Y137:AA137" si="162">Y138+Y143</f>
        <v>8150293</v>
      </c>
      <c r="Z137" s="321">
        <f t="shared" si="162"/>
        <v>5736284</v>
      </c>
      <c r="AA137" s="321">
        <f t="shared" si="162"/>
        <v>4888261.3899999997</v>
      </c>
      <c r="AB137" s="296">
        <f t="shared" si="105"/>
        <v>0.5997651115119419</v>
      </c>
      <c r="AC137" s="296">
        <f t="shared" si="106"/>
        <v>0.86029766046447653</v>
      </c>
      <c r="AD137" s="293">
        <f t="shared" si="102"/>
        <v>1.0455638380386011E-7</v>
      </c>
      <c r="AF137" s="276">
        <f t="shared" si="159"/>
        <v>1138615</v>
      </c>
      <c r="AI137" s="321">
        <f t="shared" ref="AI137" si="163">AI138+AI143</f>
        <v>8150293</v>
      </c>
      <c r="AJ137" s="282">
        <f t="shared" si="107"/>
        <v>1138615</v>
      </c>
    </row>
    <row r="138" spans="1:37" ht="38.25">
      <c r="A138" s="345" t="s">
        <v>453</v>
      </c>
      <c r="B138" s="310" t="s">
        <v>912</v>
      </c>
      <c r="C138" s="292" t="s">
        <v>398</v>
      </c>
      <c r="D138" s="292" t="s">
        <v>782</v>
      </c>
      <c r="E138" s="292"/>
      <c r="F138" s="292" t="s">
        <v>231</v>
      </c>
      <c r="G138" s="321">
        <f>G139+G142</f>
        <v>21713825.59</v>
      </c>
      <c r="H138" s="321">
        <f t="shared" ref="H138:Q138" si="164">H139+H142</f>
        <v>0</v>
      </c>
      <c r="I138" s="321">
        <f t="shared" si="164"/>
        <v>21713825.59</v>
      </c>
      <c r="J138" s="321">
        <f t="shared" si="164"/>
        <v>3857550.6100000003</v>
      </c>
      <c r="K138" s="321">
        <f t="shared" si="164"/>
        <v>3597069</v>
      </c>
      <c r="L138" s="321">
        <f t="shared" si="164"/>
        <v>2188445</v>
      </c>
      <c r="M138" s="321">
        <f t="shared" si="164"/>
        <v>829668</v>
      </c>
      <c r="N138" s="321">
        <f t="shared" si="164"/>
        <v>299991</v>
      </c>
      <c r="O138" s="321">
        <f t="shared" si="164"/>
        <v>169096</v>
      </c>
      <c r="P138" s="321">
        <f t="shared" si="164"/>
        <v>5386003</v>
      </c>
      <c r="Q138" s="321">
        <f t="shared" si="164"/>
        <v>5386003</v>
      </c>
      <c r="R138" s="297">
        <f t="shared" si="158"/>
        <v>21713825.609999999</v>
      </c>
      <c r="S138" s="295"/>
      <c r="T138" s="276">
        <f t="shared" si="160"/>
        <v>-1.9999999552965164E-2</v>
      </c>
      <c r="U138" s="344">
        <f>U139+U142</f>
        <v>2994178</v>
      </c>
      <c r="V138" s="277">
        <f t="shared" si="100"/>
        <v>-602891</v>
      </c>
      <c r="W138" s="278">
        <f t="shared" si="101"/>
        <v>1.2013544284942312</v>
      </c>
      <c r="Y138" s="321">
        <f t="shared" ref="Y138:AA138" si="165">Y139+Y142</f>
        <v>3707230</v>
      </c>
      <c r="Z138" s="321">
        <f t="shared" si="165"/>
        <v>3031091</v>
      </c>
      <c r="AA138" s="321">
        <f t="shared" si="165"/>
        <v>2795810.56</v>
      </c>
      <c r="AB138" s="322">
        <f t="shared" si="105"/>
        <v>0.7541508242002789</v>
      </c>
      <c r="AC138" s="296">
        <f t="shared" si="106"/>
        <v>0.97028482182114406</v>
      </c>
      <c r="AD138" s="273">
        <f t="shared" si="102"/>
        <v>2.4880507520238718E-7</v>
      </c>
      <c r="AF138" s="276">
        <f t="shared" si="159"/>
        <v>110161</v>
      </c>
      <c r="AI138" s="321">
        <f t="shared" ref="AI138" si="166">AI139+AI142</f>
        <v>3707230</v>
      </c>
      <c r="AJ138" s="282">
        <f t="shared" si="107"/>
        <v>110161</v>
      </c>
    </row>
    <row r="139" spans="1:37" ht="51">
      <c r="A139" s="346" t="s">
        <v>456</v>
      </c>
      <c r="B139" s="312" t="s">
        <v>913</v>
      </c>
      <c r="C139" s="313" t="s">
        <v>398</v>
      </c>
      <c r="D139" s="313" t="s">
        <v>782</v>
      </c>
      <c r="E139" s="313"/>
      <c r="F139" s="313" t="s">
        <v>231</v>
      </c>
      <c r="G139" s="314">
        <f>G140+G141</f>
        <v>19696804.59</v>
      </c>
      <c r="H139" s="314">
        <f t="shared" ref="H139:Q139" si="167">H140+H141</f>
        <v>0</v>
      </c>
      <c r="I139" s="314">
        <f t="shared" si="167"/>
        <v>19696804.59</v>
      </c>
      <c r="J139" s="314">
        <f t="shared" si="167"/>
        <v>3131210.18</v>
      </c>
      <c r="K139" s="314">
        <f t="shared" si="167"/>
        <v>3333715</v>
      </c>
      <c r="L139" s="314">
        <f t="shared" si="167"/>
        <v>1824777</v>
      </c>
      <c r="M139" s="314">
        <f t="shared" si="167"/>
        <v>466000</v>
      </c>
      <c r="N139" s="314">
        <f t="shared" si="167"/>
        <v>0</v>
      </c>
      <c r="O139" s="314">
        <f t="shared" si="167"/>
        <v>169096</v>
      </c>
      <c r="P139" s="314">
        <f t="shared" si="167"/>
        <v>5386003</v>
      </c>
      <c r="Q139" s="314">
        <f t="shared" si="167"/>
        <v>5386003</v>
      </c>
      <c r="R139" s="297">
        <f t="shared" si="158"/>
        <v>19696804.18</v>
      </c>
      <c r="S139" s="295"/>
      <c r="T139" s="276">
        <f t="shared" si="160"/>
        <v>0.41000000014901161</v>
      </c>
      <c r="U139" s="347">
        <f>U140+U141</f>
        <v>2631771</v>
      </c>
      <c r="V139" s="316">
        <f t="shared" si="100"/>
        <v>-701944</v>
      </c>
      <c r="W139" s="349">
        <f t="shared" si="101"/>
        <v>1.2667192548287827</v>
      </c>
      <c r="Y139" s="314">
        <f t="shared" ref="Y139:AA139" si="168">Y140+Y141</f>
        <v>3344823</v>
      </c>
      <c r="Z139" s="314">
        <f t="shared" si="168"/>
        <v>2887140</v>
      </c>
      <c r="AA139" s="314">
        <f t="shared" si="168"/>
        <v>2715681.98</v>
      </c>
      <c r="AB139" s="317">
        <f t="shared" si="105"/>
        <v>0.81190603508765635</v>
      </c>
      <c r="AC139" s="317">
        <f t="shared" si="106"/>
        <v>0.99667904699292009</v>
      </c>
      <c r="AD139" s="318">
        <f t="shared" si="102"/>
        <v>2.8121463977765413E-7</v>
      </c>
      <c r="AF139" s="276">
        <f t="shared" si="159"/>
        <v>11108</v>
      </c>
      <c r="AI139" s="314">
        <f t="shared" ref="AI139" si="169">AI140+AI141</f>
        <v>3344823</v>
      </c>
      <c r="AJ139" s="282">
        <f t="shared" si="107"/>
        <v>11108</v>
      </c>
    </row>
    <row r="140" spans="1:37" ht="51">
      <c r="A140" s="346" t="s">
        <v>15</v>
      </c>
      <c r="B140" s="323" t="s">
        <v>914</v>
      </c>
      <c r="C140" s="313" t="s">
        <v>398</v>
      </c>
      <c r="D140" s="313" t="s">
        <v>782</v>
      </c>
      <c r="E140" s="313"/>
      <c r="F140" s="313" t="s">
        <v>886</v>
      </c>
      <c r="G140" s="314">
        <v>14696804.619999999</v>
      </c>
      <c r="H140" s="314">
        <v>0</v>
      </c>
      <c r="I140" s="314">
        <v>14696804.619999999</v>
      </c>
      <c r="J140" s="297">
        <v>2301176.2400000002</v>
      </c>
      <c r="K140" s="297">
        <v>1366588</v>
      </c>
      <c r="L140" s="298">
        <v>257034</v>
      </c>
      <c r="M140" s="298">
        <v>0</v>
      </c>
      <c r="N140" s="298">
        <v>0</v>
      </c>
      <c r="O140" s="297">
        <v>0</v>
      </c>
      <c r="P140" s="297">
        <v>5386003</v>
      </c>
      <c r="Q140" s="297">
        <v>5386003</v>
      </c>
      <c r="R140" s="297">
        <f t="shared" si="158"/>
        <v>14696804.24</v>
      </c>
      <c r="S140" s="295"/>
      <c r="T140" s="276">
        <f t="shared" si="160"/>
        <v>0.37999999895691872</v>
      </c>
      <c r="U140" s="315">
        <v>1044644</v>
      </c>
      <c r="V140" s="316">
        <f t="shared" si="100"/>
        <v>-321944</v>
      </c>
      <c r="W140" s="349">
        <f t="shared" si="101"/>
        <v>1.3081853722416441</v>
      </c>
      <c r="Y140" s="300">
        <v>1127696</v>
      </c>
      <c r="Z140" s="300">
        <v>1127696</v>
      </c>
      <c r="AA140" s="300">
        <v>1087295.5900000001</v>
      </c>
      <c r="AB140" s="317">
        <f t="shared" si="105"/>
        <v>0.96417437855592292</v>
      </c>
      <c r="AC140" s="317">
        <f t="shared" si="106"/>
        <v>1.2118407797846229</v>
      </c>
      <c r="AD140" s="318">
        <f t="shared" si="102"/>
        <v>8.5499494416573517E-7</v>
      </c>
      <c r="AF140" s="276">
        <f t="shared" si="159"/>
        <v>-238892</v>
      </c>
      <c r="AG140" s="256">
        <v>-238892</v>
      </c>
      <c r="AI140" s="300">
        <v>1127696</v>
      </c>
      <c r="AJ140" s="282">
        <f t="shared" si="107"/>
        <v>-238892</v>
      </c>
      <c r="AK140" s="256">
        <v>-238892</v>
      </c>
    </row>
    <row r="141" spans="1:37" ht="89.25">
      <c r="A141" s="346" t="s">
        <v>16</v>
      </c>
      <c r="B141" s="323" t="s">
        <v>915</v>
      </c>
      <c r="C141" s="313" t="s">
        <v>398</v>
      </c>
      <c r="D141" s="313" t="s">
        <v>782</v>
      </c>
      <c r="E141" s="313"/>
      <c r="F141" s="313" t="s">
        <v>916</v>
      </c>
      <c r="G141" s="314">
        <v>4999999.9700000007</v>
      </c>
      <c r="H141" s="314">
        <v>0</v>
      </c>
      <c r="I141" s="314">
        <v>4999999.9700000007</v>
      </c>
      <c r="J141" s="297">
        <v>830033.94</v>
      </c>
      <c r="K141" s="297">
        <v>1967127</v>
      </c>
      <c r="L141" s="298">
        <v>1567743</v>
      </c>
      <c r="M141" s="298">
        <v>466000</v>
      </c>
      <c r="N141" s="298">
        <v>0</v>
      </c>
      <c r="O141" s="297">
        <v>169096</v>
      </c>
      <c r="P141" s="297">
        <v>0</v>
      </c>
      <c r="Q141" s="297">
        <v>0</v>
      </c>
      <c r="R141" s="297">
        <f t="shared" si="158"/>
        <v>4999999.9399999995</v>
      </c>
      <c r="S141" s="295" t="s">
        <v>917</v>
      </c>
      <c r="T141" s="276">
        <f t="shared" si="160"/>
        <v>3.0000001192092896E-2</v>
      </c>
      <c r="U141" s="315">
        <v>1587127</v>
      </c>
      <c r="V141" s="316">
        <f t="shared" si="100"/>
        <v>-380000</v>
      </c>
      <c r="W141" s="349">
        <f t="shared" si="101"/>
        <v>1.239426334502532</v>
      </c>
      <c r="Y141" s="300">
        <v>2217127</v>
      </c>
      <c r="Z141" s="300">
        <v>1759444</v>
      </c>
      <c r="AA141" s="300">
        <v>1628386.39</v>
      </c>
      <c r="AB141" s="317">
        <f t="shared" si="105"/>
        <v>0.73445787724383849</v>
      </c>
      <c r="AC141" s="317">
        <f t="shared" si="106"/>
        <v>0.88724146158519557</v>
      </c>
      <c r="AD141" s="318">
        <f t="shared" si="102"/>
        <v>4.1743748436656038E-7</v>
      </c>
      <c r="AF141" s="276">
        <f t="shared" si="159"/>
        <v>250000</v>
      </c>
      <c r="AI141" s="300">
        <v>2217127</v>
      </c>
      <c r="AJ141" s="282">
        <f t="shared" si="107"/>
        <v>250000</v>
      </c>
    </row>
    <row r="142" spans="1:37" ht="63.75">
      <c r="A142" s="346" t="s">
        <v>17</v>
      </c>
      <c r="B142" s="312" t="s">
        <v>918</v>
      </c>
      <c r="C142" s="313" t="s">
        <v>398</v>
      </c>
      <c r="D142" s="313" t="s">
        <v>782</v>
      </c>
      <c r="E142" s="313"/>
      <c r="F142" s="313" t="s">
        <v>919</v>
      </c>
      <c r="G142" s="314">
        <v>2017021</v>
      </c>
      <c r="H142" s="314">
        <v>0</v>
      </c>
      <c r="I142" s="314">
        <v>2017021</v>
      </c>
      <c r="J142" s="297">
        <v>726340.42999999993</v>
      </c>
      <c r="K142" s="297">
        <v>263354</v>
      </c>
      <c r="L142" s="298">
        <v>363668</v>
      </c>
      <c r="M142" s="298">
        <v>363668</v>
      </c>
      <c r="N142" s="298">
        <v>299991</v>
      </c>
      <c r="O142" s="297">
        <v>0</v>
      </c>
      <c r="P142" s="297">
        <v>0</v>
      </c>
      <c r="Q142" s="297">
        <v>0</v>
      </c>
      <c r="R142" s="297">
        <f t="shared" si="158"/>
        <v>2017021.43</v>
      </c>
      <c r="S142" s="295"/>
      <c r="T142" s="276">
        <f t="shared" si="160"/>
        <v>-0.42999999993480742</v>
      </c>
      <c r="U142" s="315">
        <v>362407</v>
      </c>
      <c r="V142" s="316">
        <f t="shared" si="100"/>
        <v>99053</v>
      </c>
      <c r="W142" s="349">
        <f t="shared" si="101"/>
        <v>0.72668022416785549</v>
      </c>
      <c r="Y142" s="300">
        <v>362407</v>
      </c>
      <c r="Z142" s="300">
        <v>143951</v>
      </c>
      <c r="AA142" s="300">
        <v>80128.58</v>
      </c>
      <c r="AB142" s="317">
        <f t="shared" si="105"/>
        <v>0.22110108248460986</v>
      </c>
      <c r="AC142" s="317">
        <f t="shared" si="106"/>
        <v>0.72668022416785549</v>
      </c>
      <c r="AD142" s="318">
        <f t="shared" si="102"/>
        <v>1.5359468324958483E-6</v>
      </c>
      <c r="AF142" s="276">
        <f t="shared" si="159"/>
        <v>99053</v>
      </c>
      <c r="AI142" s="300">
        <v>362407</v>
      </c>
      <c r="AJ142" s="282">
        <f t="shared" si="107"/>
        <v>99053</v>
      </c>
    </row>
    <row r="143" spans="1:37" ht="63.75">
      <c r="A143" s="345" t="s">
        <v>463</v>
      </c>
      <c r="B143" s="310" t="s">
        <v>920</v>
      </c>
      <c r="C143" s="292" t="s">
        <v>398</v>
      </c>
      <c r="D143" s="292" t="s">
        <v>782</v>
      </c>
      <c r="E143" s="292"/>
      <c r="F143" s="292" t="s">
        <v>231</v>
      </c>
      <c r="G143" s="321">
        <f>G144+G145+G146</f>
        <v>37719827.810000002</v>
      </c>
      <c r="H143" s="321">
        <f t="shared" ref="H143:Q143" si="170">H144+H145+H146</f>
        <v>6000000</v>
      </c>
      <c r="I143" s="321">
        <f t="shared" si="170"/>
        <v>43719827.810000002</v>
      </c>
      <c r="J143" s="321">
        <f t="shared" si="170"/>
        <v>11945363.149999999</v>
      </c>
      <c r="K143" s="321">
        <f t="shared" si="170"/>
        <v>3414609</v>
      </c>
      <c r="L143" s="321">
        <f t="shared" si="170"/>
        <v>3435462</v>
      </c>
      <c r="M143" s="321">
        <f t="shared" si="170"/>
        <v>3435462</v>
      </c>
      <c r="N143" s="321">
        <f t="shared" si="170"/>
        <v>2537886</v>
      </c>
      <c r="O143" s="321">
        <f t="shared" si="170"/>
        <v>1253432</v>
      </c>
      <c r="P143" s="321">
        <f t="shared" si="170"/>
        <v>5613720</v>
      </c>
      <c r="Q143" s="321">
        <f t="shared" si="170"/>
        <v>6083895</v>
      </c>
      <c r="R143" s="297">
        <f t="shared" si="158"/>
        <v>37719829.149999999</v>
      </c>
      <c r="S143" s="295"/>
      <c r="T143" s="276">
        <f t="shared" si="160"/>
        <v>5999998.6600000039</v>
      </c>
      <c r="U143" s="344">
        <f>U144+U145+U146</f>
        <v>4592715</v>
      </c>
      <c r="V143" s="277">
        <f t="shared" si="100"/>
        <v>1178106</v>
      </c>
      <c r="W143" s="350">
        <f t="shared" si="101"/>
        <v>0.74348375634020403</v>
      </c>
      <c r="Y143" s="321">
        <f t="shared" ref="Y143:AA143" si="171">Y144+Y145+Y146</f>
        <v>4443063</v>
      </c>
      <c r="Z143" s="321">
        <f t="shared" si="171"/>
        <v>2705193</v>
      </c>
      <c r="AA143" s="321">
        <f t="shared" si="171"/>
        <v>2092450.8299999998</v>
      </c>
      <c r="AB143" s="322">
        <f t="shared" si="105"/>
        <v>0.47094781910587352</v>
      </c>
      <c r="AC143" s="322">
        <f t="shared" si="106"/>
        <v>0.7685259020635089</v>
      </c>
      <c r="AD143" s="273">
        <f t="shared" si="102"/>
        <v>1.7409028454009512E-7</v>
      </c>
      <c r="AF143" s="276">
        <f t="shared" si="159"/>
        <v>1028454</v>
      </c>
      <c r="AI143" s="321">
        <f t="shared" ref="AI143" si="172">AI144+AI145+AI146</f>
        <v>4443063</v>
      </c>
      <c r="AJ143" s="282">
        <f t="shared" si="107"/>
        <v>1028454</v>
      </c>
    </row>
    <row r="144" spans="1:37" ht="25.5">
      <c r="A144" s="346" t="s">
        <v>18</v>
      </c>
      <c r="B144" s="312" t="s">
        <v>921</v>
      </c>
      <c r="C144" s="313" t="s">
        <v>398</v>
      </c>
      <c r="D144" s="313" t="s">
        <v>782</v>
      </c>
      <c r="E144" s="313"/>
      <c r="F144" s="313" t="s">
        <v>919</v>
      </c>
      <c r="G144" s="314">
        <v>20208601</v>
      </c>
      <c r="H144" s="314">
        <v>0</v>
      </c>
      <c r="I144" s="314">
        <v>20208601</v>
      </c>
      <c r="J144" s="297">
        <v>7364329.4100000001</v>
      </c>
      <c r="K144" s="297">
        <v>2681276</v>
      </c>
      <c r="L144" s="298">
        <v>3435462</v>
      </c>
      <c r="M144" s="298">
        <v>3435462</v>
      </c>
      <c r="N144" s="298">
        <v>2537886</v>
      </c>
      <c r="O144" s="297">
        <v>0</v>
      </c>
      <c r="P144" s="297">
        <v>0</v>
      </c>
      <c r="Q144" s="297">
        <v>754186</v>
      </c>
      <c r="R144" s="297">
        <f t="shared" si="158"/>
        <v>20208601.41</v>
      </c>
      <c r="S144" s="295" t="s">
        <v>922</v>
      </c>
      <c r="T144" s="276">
        <f t="shared" si="160"/>
        <v>-0.41000000014901161</v>
      </c>
      <c r="U144" s="315">
        <v>3435462</v>
      </c>
      <c r="V144" s="316">
        <f t="shared" si="100"/>
        <v>754186</v>
      </c>
      <c r="W144" s="349">
        <f t="shared" si="101"/>
        <v>0.78047028318170886</v>
      </c>
      <c r="Y144" s="300">
        <v>3435462</v>
      </c>
      <c r="Z144" s="300">
        <v>1983349</v>
      </c>
      <c r="AA144" s="300">
        <v>1619633.21</v>
      </c>
      <c r="AB144" s="317">
        <f t="shared" si="105"/>
        <v>0.47144553192554595</v>
      </c>
      <c r="AC144" s="317">
        <f t="shared" si="106"/>
        <v>0.78047028318170886</v>
      </c>
      <c r="AD144" s="318">
        <f t="shared" si="102"/>
        <v>2.3770175189820146E-7</v>
      </c>
      <c r="AF144" s="276">
        <f t="shared" si="159"/>
        <v>754186</v>
      </c>
      <c r="AI144" s="300">
        <v>3435462</v>
      </c>
      <c r="AJ144" s="282">
        <f t="shared" si="107"/>
        <v>754186</v>
      </c>
    </row>
    <row r="145" spans="1:37" ht="102">
      <c r="A145" s="346" t="s">
        <v>19</v>
      </c>
      <c r="B145" s="312" t="s">
        <v>923</v>
      </c>
      <c r="C145" s="313" t="s">
        <v>398</v>
      </c>
      <c r="D145" s="313" t="s">
        <v>782</v>
      </c>
      <c r="E145" s="313"/>
      <c r="F145" s="313" t="s">
        <v>886</v>
      </c>
      <c r="G145" s="314">
        <v>14103938.140000001</v>
      </c>
      <c r="H145" s="314">
        <v>6000000</v>
      </c>
      <c r="I145" s="314">
        <v>20103938.140000001</v>
      </c>
      <c r="J145" s="297">
        <v>4581033.7399999993</v>
      </c>
      <c r="K145" s="297">
        <v>555227</v>
      </c>
      <c r="L145" s="298">
        <v>0</v>
      </c>
      <c r="M145" s="298">
        <v>0</v>
      </c>
      <c r="N145" s="298">
        <v>0</v>
      </c>
      <c r="O145" s="297">
        <v>0</v>
      </c>
      <c r="P145" s="297">
        <v>4483839</v>
      </c>
      <c r="Q145" s="297">
        <v>4483839</v>
      </c>
      <c r="R145" s="297">
        <f t="shared" si="158"/>
        <v>14103938.739999998</v>
      </c>
      <c r="S145" s="295" t="s">
        <v>924</v>
      </c>
      <c r="T145" s="276">
        <f t="shared" si="160"/>
        <v>5999999.4000000022</v>
      </c>
      <c r="U145" s="315">
        <v>1157253</v>
      </c>
      <c r="V145" s="316">
        <f t="shared" si="100"/>
        <v>602026</v>
      </c>
      <c r="W145" s="349">
        <f t="shared" si="101"/>
        <v>0.47978013450818446</v>
      </c>
      <c r="Y145" s="300">
        <v>869951</v>
      </c>
      <c r="Z145" s="300">
        <v>584194</v>
      </c>
      <c r="AA145" s="300">
        <v>344074.15</v>
      </c>
      <c r="AB145" s="317">
        <f t="shared" si="105"/>
        <v>0.39550980457520024</v>
      </c>
      <c r="AC145" s="317">
        <f t="shared" si="106"/>
        <v>0.63822790019207976</v>
      </c>
      <c r="AD145" s="318">
        <f t="shared" si="102"/>
        <v>6.7701791626617229E-7</v>
      </c>
      <c r="AF145" s="276">
        <f t="shared" si="159"/>
        <v>314724</v>
      </c>
      <c r="AI145" s="300">
        <v>869951</v>
      </c>
      <c r="AJ145" s="282">
        <f t="shared" si="107"/>
        <v>314724</v>
      </c>
    </row>
    <row r="146" spans="1:37" ht="25.5">
      <c r="A146" s="346" t="s">
        <v>142</v>
      </c>
      <c r="B146" s="312" t="s">
        <v>925</v>
      </c>
      <c r="C146" s="313" t="s">
        <v>398</v>
      </c>
      <c r="D146" s="313" t="s">
        <v>782</v>
      </c>
      <c r="E146" s="313"/>
      <c r="F146" s="313" t="s">
        <v>926</v>
      </c>
      <c r="G146" s="314">
        <v>3407288.67</v>
      </c>
      <c r="H146" s="314">
        <v>0</v>
      </c>
      <c r="I146" s="314">
        <v>3407288.67</v>
      </c>
      <c r="J146" s="297">
        <v>0</v>
      </c>
      <c r="K146" s="297">
        <v>178106</v>
      </c>
      <c r="L146" s="298">
        <v>0</v>
      </c>
      <c r="M146" s="298">
        <v>0</v>
      </c>
      <c r="N146" s="298">
        <v>0</v>
      </c>
      <c r="O146" s="297">
        <v>1253432</v>
      </c>
      <c r="P146" s="297">
        <v>1129881</v>
      </c>
      <c r="Q146" s="297">
        <v>845870</v>
      </c>
      <c r="R146" s="297">
        <f t="shared" si="158"/>
        <v>3407289</v>
      </c>
      <c r="S146" s="295"/>
      <c r="T146" s="276">
        <f t="shared" si="160"/>
        <v>-0.33000000007450581</v>
      </c>
      <c r="U146" s="315">
        <v>0</v>
      </c>
      <c r="V146" s="316">
        <f t="shared" si="100"/>
        <v>-178106</v>
      </c>
      <c r="W146" s="349" t="e">
        <f t="shared" si="101"/>
        <v>#DIV/0!</v>
      </c>
      <c r="Y146" s="300">
        <v>137650</v>
      </c>
      <c r="Z146" s="300">
        <v>137650</v>
      </c>
      <c r="AA146" s="300">
        <v>128743.47</v>
      </c>
      <c r="AB146" s="317">
        <f t="shared" si="105"/>
        <v>0.93529582273883038</v>
      </c>
      <c r="AC146" s="317">
        <f t="shared" si="106"/>
        <v>1.2939048310933527</v>
      </c>
      <c r="AD146" s="318">
        <f t="shared" si="102"/>
        <v>6.7947389955599739E-6</v>
      </c>
      <c r="AF146" s="276">
        <f t="shared" si="159"/>
        <v>-40456</v>
      </c>
      <c r="AI146" s="300">
        <v>137650</v>
      </c>
      <c r="AJ146" s="282">
        <f t="shared" si="107"/>
        <v>-40456</v>
      </c>
    </row>
    <row r="147" spans="1:37" ht="63.75">
      <c r="A147" s="268" t="s">
        <v>482</v>
      </c>
      <c r="B147" s="283" t="s">
        <v>927</v>
      </c>
      <c r="C147" s="265" t="s">
        <v>928</v>
      </c>
      <c r="D147" s="265" t="s">
        <v>231</v>
      </c>
      <c r="E147" s="265"/>
      <c r="F147" s="265"/>
      <c r="G147" s="351">
        <f>G150+G181+G199+G209+G232+G248</f>
        <v>2401013647.78264</v>
      </c>
      <c r="H147" s="351">
        <f t="shared" ref="H147:Q147" si="173">H150+H181+H199+H209+H232+H248</f>
        <v>216634579</v>
      </c>
      <c r="I147" s="351">
        <f t="shared" si="173"/>
        <v>2617648226.9665599</v>
      </c>
      <c r="J147" s="351">
        <f t="shared" si="173"/>
        <v>1016664522.98</v>
      </c>
      <c r="K147" s="351">
        <f t="shared" si="173"/>
        <v>289649317.51999998</v>
      </c>
      <c r="L147" s="351">
        <f t="shared" si="173"/>
        <v>352811485.60000002</v>
      </c>
      <c r="M147" s="351">
        <f t="shared" si="173"/>
        <v>169707331</v>
      </c>
      <c r="N147" s="351">
        <f t="shared" si="173"/>
        <v>43389723</v>
      </c>
      <c r="O147" s="351">
        <f t="shared" si="173"/>
        <v>90933948.400000006</v>
      </c>
      <c r="P147" s="351">
        <f t="shared" si="173"/>
        <v>311478920.44999999</v>
      </c>
      <c r="Q147" s="351">
        <f t="shared" si="173"/>
        <v>299961935.47000003</v>
      </c>
      <c r="R147" s="297">
        <f t="shared" si="158"/>
        <v>2574597184.4200001</v>
      </c>
      <c r="S147" s="286"/>
      <c r="T147" s="276">
        <f t="shared" si="160"/>
        <v>43051042.546559811</v>
      </c>
      <c r="U147" s="287">
        <f>U150+U181+U199+U209+U232+U248+U252</f>
        <v>411562102</v>
      </c>
      <c r="V147" s="287">
        <f t="shared" ref="V147:V210" si="174">U147-K147</f>
        <v>121912784.48000002</v>
      </c>
      <c r="W147" s="308">
        <f t="shared" ref="W147:W210" si="175">K147/U147</f>
        <v>0.70378034350694418</v>
      </c>
      <c r="Y147" s="351">
        <f t="shared" ref="Y147:AA147" si="176">Y150+Y181+Y199+Y209+Y232+Y248</f>
        <v>354667971</v>
      </c>
      <c r="Z147" s="351">
        <f t="shared" si="176"/>
        <v>237642278</v>
      </c>
      <c r="AA147" s="351">
        <f t="shared" si="176"/>
        <v>227161873.61999997</v>
      </c>
      <c r="AB147" s="309">
        <f t="shared" si="105"/>
        <v>0.64049164907535439</v>
      </c>
      <c r="AC147" s="309">
        <f t="shared" si="106"/>
        <v>0.81667740310274584</v>
      </c>
      <c r="AD147" s="284">
        <f t="shared" ref="AD147:AD210" si="177">AB147/Z147</f>
        <v>2.6951923473623427E-9</v>
      </c>
      <c r="AF147" s="276">
        <f t="shared" si="159"/>
        <v>65018653.480000019</v>
      </c>
      <c r="AI147" s="351">
        <f t="shared" ref="AI147" si="178">AI150+AI181+AI199+AI209+AI232+AI248</f>
        <v>354121372</v>
      </c>
      <c r="AJ147" s="282">
        <f t="shared" si="107"/>
        <v>64472054.480000019</v>
      </c>
    </row>
    <row r="148" spans="1:37">
      <c r="A148" s="352"/>
      <c r="B148" s="283" t="s">
        <v>929</v>
      </c>
      <c r="C148" s="265" t="s">
        <v>398</v>
      </c>
      <c r="D148" s="265"/>
      <c r="E148" s="265"/>
      <c r="F148" s="265"/>
      <c r="G148" s="351">
        <f>G150+G181+G209+G248</f>
        <v>1264128388.29264</v>
      </c>
      <c r="H148" s="351">
        <f t="shared" ref="H148:Q148" si="179">H150+H181+H209+H248</f>
        <v>169677622</v>
      </c>
      <c r="I148" s="351">
        <f t="shared" si="179"/>
        <v>1433806010.4765601</v>
      </c>
      <c r="J148" s="351">
        <f t="shared" si="179"/>
        <v>527858260.16000003</v>
      </c>
      <c r="K148" s="351">
        <f t="shared" si="179"/>
        <v>179698103.51999998</v>
      </c>
      <c r="L148" s="351">
        <f t="shared" si="179"/>
        <v>173232597.59999999</v>
      </c>
      <c r="M148" s="351">
        <f t="shared" si="179"/>
        <v>56617877</v>
      </c>
      <c r="N148" s="351">
        <f t="shared" si="179"/>
        <v>8393251</v>
      </c>
      <c r="O148" s="351">
        <f t="shared" si="179"/>
        <v>78169717.400000006</v>
      </c>
      <c r="P148" s="351">
        <f t="shared" si="179"/>
        <v>193371875</v>
      </c>
      <c r="Q148" s="351">
        <f t="shared" si="179"/>
        <v>173413290</v>
      </c>
      <c r="R148" s="297">
        <f t="shared" si="158"/>
        <v>1390754971.6800001</v>
      </c>
      <c r="S148" s="286"/>
      <c r="T148" s="276">
        <f t="shared" si="160"/>
        <v>43051038.796560049</v>
      </c>
      <c r="U148" s="287">
        <f>U150+U181+U209+U248</f>
        <v>235753462</v>
      </c>
      <c r="V148" s="287">
        <f t="shared" si="174"/>
        <v>56055358.480000019</v>
      </c>
      <c r="W148" s="308">
        <f t="shared" si="175"/>
        <v>0.76222890639883789</v>
      </c>
      <c r="Y148" s="351">
        <f t="shared" ref="Y148:AA148" si="180">Y150+Y181+Y209+Y248</f>
        <v>212217073</v>
      </c>
      <c r="Z148" s="351">
        <f t="shared" si="180"/>
        <v>139394676</v>
      </c>
      <c r="AA148" s="351">
        <f t="shared" si="180"/>
        <v>130515494.06</v>
      </c>
      <c r="AB148" s="309">
        <f t="shared" si="105"/>
        <v>0.61500939681700351</v>
      </c>
      <c r="AC148" s="309">
        <f t="shared" si="106"/>
        <v>0.84676553577760438</v>
      </c>
      <c r="AD148" s="284">
        <f t="shared" si="177"/>
        <v>4.4120006191413186E-9</v>
      </c>
      <c r="AF148" s="276">
        <f t="shared" si="159"/>
        <v>32518969.480000019</v>
      </c>
      <c r="AI148" s="351">
        <f t="shared" ref="AI148" si="181">AI150+AI181+AI209+AI248</f>
        <v>200780433</v>
      </c>
      <c r="AJ148" s="282">
        <f t="shared" si="107"/>
        <v>21082329.480000019</v>
      </c>
    </row>
    <row r="149" spans="1:37">
      <c r="A149" s="352"/>
      <c r="B149" s="283" t="s">
        <v>930</v>
      </c>
      <c r="C149" s="265" t="s">
        <v>931</v>
      </c>
      <c r="D149" s="265"/>
      <c r="E149" s="265"/>
      <c r="F149" s="265"/>
      <c r="G149" s="351">
        <f>G199+G232</f>
        <v>1136885259.49</v>
      </c>
      <c r="H149" s="351">
        <f t="shared" ref="H149:Q149" si="182">H199+H232</f>
        <v>46956957</v>
      </c>
      <c r="I149" s="351">
        <f t="shared" si="182"/>
        <v>1183842216.49</v>
      </c>
      <c r="J149" s="351">
        <f t="shared" si="182"/>
        <v>488806262.82000005</v>
      </c>
      <c r="K149" s="351">
        <f t="shared" si="182"/>
        <v>109951214</v>
      </c>
      <c r="L149" s="351">
        <f t="shared" si="182"/>
        <v>179578888</v>
      </c>
      <c r="M149" s="351">
        <f t="shared" si="182"/>
        <v>113089454</v>
      </c>
      <c r="N149" s="351">
        <f t="shared" si="182"/>
        <v>34996472</v>
      </c>
      <c r="O149" s="351">
        <f t="shared" si="182"/>
        <v>12764231</v>
      </c>
      <c r="P149" s="351">
        <f t="shared" si="182"/>
        <v>118107045.45</v>
      </c>
      <c r="Q149" s="351">
        <f t="shared" si="182"/>
        <v>126548645.47</v>
      </c>
      <c r="R149" s="297">
        <f t="shared" si="158"/>
        <v>1183842212.74</v>
      </c>
      <c r="S149" s="286"/>
      <c r="T149" s="276">
        <f t="shared" si="160"/>
        <v>3.75</v>
      </c>
      <c r="U149" s="287">
        <f>U199+U232</f>
        <v>175808640</v>
      </c>
      <c r="V149" s="287">
        <f t="shared" si="174"/>
        <v>65857426</v>
      </c>
      <c r="W149" s="308">
        <f t="shared" si="175"/>
        <v>0.62540279021554346</v>
      </c>
      <c r="Y149" s="351">
        <f t="shared" ref="Y149:AA149" si="183">Y199+Y232</f>
        <v>142450898</v>
      </c>
      <c r="Z149" s="351">
        <f t="shared" si="183"/>
        <v>98247602</v>
      </c>
      <c r="AA149" s="351">
        <f t="shared" si="183"/>
        <v>96646379.560000002</v>
      </c>
      <c r="AB149" s="309">
        <f t="shared" ref="AB149:AB212" si="184">AA149/Y149</f>
        <v>0.67845398601839635</v>
      </c>
      <c r="AC149" s="309">
        <f t="shared" ref="AC149:AC212" si="185">K149/Y149</f>
        <v>0.77185342840028992</v>
      </c>
      <c r="AD149" s="284">
        <f t="shared" si="177"/>
        <v>6.9055526262961242E-9</v>
      </c>
      <c r="AF149" s="276">
        <f t="shared" si="159"/>
        <v>32499684</v>
      </c>
      <c r="AI149" s="351">
        <f t="shared" ref="AI149" si="186">AI199+AI232</f>
        <v>153340939</v>
      </c>
      <c r="AJ149" s="282">
        <f t="shared" ref="AJ149:AJ212" si="187">AI149-K149</f>
        <v>43389725</v>
      </c>
    </row>
    <row r="150" spans="1:37" ht="51">
      <c r="A150" s="272" t="s">
        <v>488</v>
      </c>
      <c r="B150" s="310" t="s">
        <v>932</v>
      </c>
      <c r="C150" s="292" t="s">
        <v>398</v>
      </c>
      <c r="D150" s="292" t="s">
        <v>231</v>
      </c>
      <c r="E150" s="292"/>
      <c r="F150" s="292"/>
      <c r="G150" s="321">
        <f>G151+G154+G157+G163+G173</f>
        <v>394454497.32000005</v>
      </c>
      <c r="H150" s="321">
        <f t="shared" ref="H150:Q150" si="188">H151+H154+H157+H163+H173</f>
        <v>65330624</v>
      </c>
      <c r="I150" s="321">
        <f t="shared" si="188"/>
        <v>459785121.32000005</v>
      </c>
      <c r="J150" s="321">
        <f t="shared" si="188"/>
        <v>192767556.74000001</v>
      </c>
      <c r="K150" s="321">
        <f t="shared" si="188"/>
        <v>54067569</v>
      </c>
      <c r="L150" s="321">
        <f t="shared" si="188"/>
        <v>56221998</v>
      </c>
      <c r="M150" s="321">
        <f t="shared" si="188"/>
        <v>27502114</v>
      </c>
      <c r="N150" s="321">
        <f t="shared" si="188"/>
        <v>0</v>
      </c>
      <c r="O150" s="321">
        <f t="shared" si="188"/>
        <v>8284130</v>
      </c>
      <c r="P150" s="321">
        <f t="shared" si="188"/>
        <v>49588931</v>
      </c>
      <c r="Q150" s="321">
        <f t="shared" si="188"/>
        <v>64090888</v>
      </c>
      <c r="R150" s="297">
        <f t="shared" si="158"/>
        <v>452523186.74000001</v>
      </c>
      <c r="S150" s="295"/>
      <c r="T150" s="276">
        <f t="shared" si="160"/>
        <v>7261934.5800000429</v>
      </c>
      <c r="U150" s="344">
        <f>U151+U154+U157+U163+U173</f>
        <v>76853721</v>
      </c>
      <c r="V150" s="277">
        <f t="shared" si="174"/>
        <v>22786152</v>
      </c>
      <c r="W150" s="278">
        <f t="shared" si="175"/>
        <v>0.70351270304791103</v>
      </c>
      <c r="Y150" s="321">
        <f t="shared" ref="Y150:AA150" si="189">Y151+Y154+Y157+Y163+Y173</f>
        <v>60180602</v>
      </c>
      <c r="Z150" s="321">
        <f t="shared" si="189"/>
        <v>44960903</v>
      </c>
      <c r="AA150" s="321">
        <f t="shared" si="189"/>
        <v>39997516.289999999</v>
      </c>
      <c r="AB150" s="296">
        <f t="shared" si="184"/>
        <v>0.66462472891181779</v>
      </c>
      <c r="AC150" s="296">
        <f t="shared" si="185"/>
        <v>0.89842187022323239</v>
      </c>
      <c r="AD150" s="293">
        <f t="shared" si="177"/>
        <v>1.4782281595007507E-8</v>
      </c>
      <c r="AF150" s="276">
        <f t="shared" si="159"/>
        <v>6113033</v>
      </c>
      <c r="AI150" s="321">
        <f t="shared" ref="AI150" si="190">AI151+AI154+AI157+AI163+AI173</f>
        <v>58446168</v>
      </c>
      <c r="AJ150" s="282">
        <f t="shared" si="187"/>
        <v>4378599</v>
      </c>
    </row>
    <row r="151" spans="1:37" ht="51">
      <c r="A151" s="272" t="s">
        <v>490</v>
      </c>
      <c r="B151" s="310" t="s">
        <v>933</v>
      </c>
      <c r="C151" s="292" t="s">
        <v>398</v>
      </c>
      <c r="D151" s="292" t="s">
        <v>290</v>
      </c>
      <c r="E151" s="313"/>
      <c r="F151" s="292"/>
      <c r="G151" s="321">
        <f>G152+G153</f>
        <v>71450941.150000006</v>
      </c>
      <c r="H151" s="321">
        <f t="shared" ref="H151:Q151" si="191">H152+H153</f>
        <v>43509857</v>
      </c>
      <c r="I151" s="321">
        <f t="shared" si="191"/>
        <v>114960798.15000001</v>
      </c>
      <c r="J151" s="321">
        <f t="shared" si="191"/>
        <v>13926985.08</v>
      </c>
      <c r="K151" s="321">
        <f t="shared" si="191"/>
        <v>6420453</v>
      </c>
      <c r="L151" s="321">
        <f t="shared" si="191"/>
        <v>1421493</v>
      </c>
      <c r="M151" s="321">
        <f t="shared" si="191"/>
        <v>0</v>
      </c>
      <c r="N151" s="321">
        <f t="shared" si="191"/>
        <v>0</v>
      </c>
      <c r="O151" s="321">
        <f t="shared" si="191"/>
        <v>5322556</v>
      </c>
      <c r="P151" s="321">
        <f t="shared" si="191"/>
        <v>36195800</v>
      </c>
      <c r="Q151" s="321">
        <f t="shared" si="191"/>
        <v>49769226</v>
      </c>
      <c r="R151" s="297">
        <f t="shared" si="158"/>
        <v>113056513.08</v>
      </c>
      <c r="S151" s="295"/>
      <c r="T151" s="276">
        <f t="shared" si="160"/>
        <v>1904285.0700000077</v>
      </c>
      <c r="U151" s="344">
        <f>U152+U153</f>
        <v>17399679</v>
      </c>
      <c r="V151" s="277">
        <f t="shared" si="174"/>
        <v>10979226</v>
      </c>
      <c r="W151" s="278">
        <f t="shared" si="175"/>
        <v>0.36899835910765938</v>
      </c>
      <c r="Y151" s="321">
        <f t="shared" ref="Y151:AA151" si="192">Y152+Y153</f>
        <v>9110245</v>
      </c>
      <c r="Z151" s="321">
        <f t="shared" si="192"/>
        <v>6514243</v>
      </c>
      <c r="AA151" s="321">
        <f t="shared" si="192"/>
        <v>5247880.0200000005</v>
      </c>
      <c r="AB151" s="296">
        <f t="shared" si="184"/>
        <v>0.57604159053900317</v>
      </c>
      <c r="AC151" s="296">
        <f t="shared" si="185"/>
        <v>0.70475086015798694</v>
      </c>
      <c r="AD151" s="293">
        <f t="shared" si="177"/>
        <v>8.842801696820385E-8</v>
      </c>
      <c r="AF151" s="276">
        <f t="shared" si="159"/>
        <v>2689792</v>
      </c>
      <c r="AI151" s="321">
        <f t="shared" ref="AI151" si="193">AI152+AI153</f>
        <v>9016820</v>
      </c>
      <c r="AJ151" s="282">
        <f t="shared" si="187"/>
        <v>2596367</v>
      </c>
    </row>
    <row r="152" spans="1:37" ht="102">
      <c r="A152" s="311" t="s">
        <v>80</v>
      </c>
      <c r="B152" s="312" t="s">
        <v>934</v>
      </c>
      <c r="C152" s="313" t="s">
        <v>398</v>
      </c>
      <c r="D152" s="313" t="s">
        <v>290</v>
      </c>
      <c r="E152" s="313" t="s">
        <v>935</v>
      </c>
      <c r="F152" s="313" t="s">
        <v>936</v>
      </c>
      <c r="G152" s="327">
        <v>69135611</v>
      </c>
      <c r="H152" s="327">
        <v>43509857</v>
      </c>
      <c r="I152" s="327">
        <v>112645468</v>
      </c>
      <c r="J152" s="319">
        <v>12350017</v>
      </c>
      <c r="K152" s="297">
        <v>5682091</v>
      </c>
      <c r="L152" s="298">
        <v>1421493</v>
      </c>
      <c r="M152" s="298">
        <v>0</v>
      </c>
      <c r="N152" s="298">
        <v>0</v>
      </c>
      <c r="O152" s="297">
        <v>5322556</v>
      </c>
      <c r="P152" s="297">
        <v>36195800</v>
      </c>
      <c r="Q152" s="297">
        <v>49769226</v>
      </c>
      <c r="R152" s="297">
        <f t="shared" si="158"/>
        <v>110741183</v>
      </c>
      <c r="S152" s="295" t="s">
        <v>937</v>
      </c>
      <c r="T152" s="276">
        <f t="shared" si="160"/>
        <v>1904285</v>
      </c>
      <c r="U152" s="315">
        <v>16661320</v>
      </c>
      <c r="V152" s="316">
        <f t="shared" si="174"/>
        <v>10979229</v>
      </c>
      <c r="W152" s="349">
        <f t="shared" si="175"/>
        <v>0.34103486398436617</v>
      </c>
      <c r="Y152" s="302">
        <v>8371886</v>
      </c>
      <c r="Z152" s="302">
        <v>5775884</v>
      </c>
      <c r="AA152" s="302">
        <v>4567705.2</v>
      </c>
      <c r="AB152" s="317">
        <f t="shared" si="184"/>
        <v>0.54560050148795625</v>
      </c>
      <c r="AC152" s="317">
        <f t="shared" si="185"/>
        <v>0.67871098579220979</v>
      </c>
      <c r="AD152" s="318">
        <f t="shared" si="177"/>
        <v>9.4461817704087588E-8</v>
      </c>
      <c r="AF152" s="276">
        <f t="shared" si="159"/>
        <v>2689795</v>
      </c>
      <c r="AG152" s="256">
        <v>2689795</v>
      </c>
      <c r="AI152" s="302">
        <f>8371886-58880+38232-72777</f>
        <v>8278461</v>
      </c>
      <c r="AJ152" s="282">
        <f>AI152-K152</f>
        <v>2596370</v>
      </c>
      <c r="AK152" s="256">
        <v>2596370</v>
      </c>
    </row>
    <row r="153" spans="1:37" ht="102">
      <c r="A153" s="311" t="s">
        <v>81</v>
      </c>
      <c r="B153" s="312" t="s">
        <v>938</v>
      </c>
      <c r="C153" s="313" t="s">
        <v>398</v>
      </c>
      <c r="D153" s="313" t="s">
        <v>290</v>
      </c>
      <c r="E153" s="313" t="s">
        <v>939</v>
      </c>
      <c r="F153" s="313" t="s">
        <v>940</v>
      </c>
      <c r="G153" s="314">
        <v>2315330.15</v>
      </c>
      <c r="H153" s="314">
        <v>0</v>
      </c>
      <c r="I153" s="314">
        <v>2315330.15</v>
      </c>
      <c r="J153" s="297">
        <v>1576968.08</v>
      </c>
      <c r="K153" s="297">
        <v>738362</v>
      </c>
      <c r="L153" s="298">
        <v>0</v>
      </c>
      <c r="M153" s="298">
        <v>0</v>
      </c>
      <c r="N153" s="298">
        <v>0</v>
      </c>
      <c r="O153" s="297">
        <v>0</v>
      </c>
      <c r="P153" s="297">
        <v>0</v>
      </c>
      <c r="Q153" s="297">
        <v>0</v>
      </c>
      <c r="R153" s="297">
        <f t="shared" si="158"/>
        <v>2315330.08</v>
      </c>
      <c r="S153" s="295"/>
      <c r="T153" s="276">
        <f t="shared" si="160"/>
        <v>6.9999999832361937E-2</v>
      </c>
      <c r="U153" s="315">
        <v>738359</v>
      </c>
      <c r="V153" s="316">
        <f t="shared" si="174"/>
        <v>-3</v>
      </c>
      <c r="W153" s="349">
        <f t="shared" si="175"/>
        <v>1.0000040630641733</v>
      </c>
      <c r="Y153" s="302">
        <v>738359</v>
      </c>
      <c r="Z153" s="302">
        <v>738359</v>
      </c>
      <c r="AA153" s="302">
        <v>680174.82</v>
      </c>
      <c r="AB153" s="317">
        <f t="shared" si="184"/>
        <v>0.92119798092797667</v>
      </c>
      <c r="AC153" s="317">
        <f t="shared" si="185"/>
        <v>1.0000040630641733</v>
      </c>
      <c r="AD153" s="318">
        <f t="shared" si="177"/>
        <v>1.2476288376358609E-6</v>
      </c>
      <c r="AF153" s="276">
        <f t="shared" si="159"/>
        <v>-3</v>
      </c>
      <c r="AI153" s="302">
        <v>738359</v>
      </c>
      <c r="AJ153" s="282">
        <f t="shared" si="187"/>
        <v>-3</v>
      </c>
    </row>
    <row r="154" spans="1:37" ht="51">
      <c r="A154" s="272" t="s">
        <v>494</v>
      </c>
      <c r="B154" s="310" t="s">
        <v>941</v>
      </c>
      <c r="C154" s="292" t="s">
        <v>398</v>
      </c>
      <c r="D154" s="292" t="s">
        <v>290</v>
      </c>
      <c r="E154" s="313" t="s">
        <v>942</v>
      </c>
      <c r="F154" s="292"/>
      <c r="G154" s="321">
        <f>G155+G156</f>
        <v>92718203.430000007</v>
      </c>
      <c r="H154" s="321">
        <f t="shared" ref="H154:Q154" si="194">H155+H156</f>
        <v>0</v>
      </c>
      <c r="I154" s="321">
        <f t="shared" si="194"/>
        <v>92718203.430000007</v>
      </c>
      <c r="J154" s="321">
        <f t="shared" si="194"/>
        <v>44511209.289999999</v>
      </c>
      <c r="K154" s="321">
        <f t="shared" si="194"/>
        <v>14525451</v>
      </c>
      <c r="L154" s="321">
        <f t="shared" si="194"/>
        <v>25682155</v>
      </c>
      <c r="M154" s="321">
        <f t="shared" si="194"/>
        <v>12143836</v>
      </c>
      <c r="N154" s="321">
        <f t="shared" si="194"/>
        <v>0</v>
      </c>
      <c r="O154" s="321">
        <f t="shared" si="194"/>
        <v>-4058830</v>
      </c>
      <c r="P154" s="321">
        <f t="shared" si="194"/>
        <v>-85618</v>
      </c>
      <c r="Q154" s="321">
        <f t="shared" si="194"/>
        <v>0</v>
      </c>
      <c r="R154" s="297">
        <f t="shared" si="158"/>
        <v>92718203.289999992</v>
      </c>
      <c r="S154" s="295"/>
      <c r="T154" s="276">
        <f t="shared" si="160"/>
        <v>0.14000001549720764</v>
      </c>
      <c r="U154" s="344">
        <f>U155+U156</f>
        <v>21778119</v>
      </c>
      <c r="V154" s="339">
        <f t="shared" si="174"/>
        <v>7252668</v>
      </c>
      <c r="W154" s="350">
        <f t="shared" si="175"/>
        <v>0.66697454449578497</v>
      </c>
      <c r="Y154" s="321">
        <f t="shared" ref="Y154:AA154" si="195">Y155+Y156</f>
        <v>15740598</v>
      </c>
      <c r="Z154" s="321">
        <f t="shared" si="195"/>
        <v>11060683</v>
      </c>
      <c r="AA154" s="321">
        <f t="shared" si="195"/>
        <v>9662661.2899999991</v>
      </c>
      <c r="AB154" s="296">
        <f t="shared" si="184"/>
        <v>0.61386875454159995</v>
      </c>
      <c r="AC154" s="322">
        <f t="shared" si="185"/>
        <v>0.92280172583023845</v>
      </c>
      <c r="AD154" s="293">
        <f t="shared" si="177"/>
        <v>5.5500076671720902E-8</v>
      </c>
      <c r="AF154" s="276">
        <f t="shared" si="159"/>
        <v>1215147</v>
      </c>
      <c r="AI154" s="321">
        <f t="shared" ref="AI154" si="196">AI155+AI156</f>
        <v>14311326</v>
      </c>
      <c r="AJ154" s="282">
        <f t="shared" si="187"/>
        <v>-214125</v>
      </c>
    </row>
    <row r="155" spans="1:37" ht="191.25">
      <c r="A155" s="311" t="s">
        <v>82</v>
      </c>
      <c r="B155" s="323" t="s">
        <v>943</v>
      </c>
      <c r="C155" s="313" t="s">
        <v>398</v>
      </c>
      <c r="D155" s="313" t="s">
        <v>290</v>
      </c>
      <c r="E155" s="313" t="s">
        <v>942</v>
      </c>
      <c r="F155" s="313" t="s">
        <v>944</v>
      </c>
      <c r="G155" s="314">
        <v>92718203.430000007</v>
      </c>
      <c r="H155" s="314">
        <v>0</v>
      </c>
      <c r="I155" s="314">
        <v>92718203.430000007</v>
      </c>
      <c r="J155" s="297">
        <v>44511209.289999999</v>
      </c>
      <c r="K155" s="297">
        <v>14525451</v>
      </c>
      <c r="L155" s="298">
        <v>25682155</v>
      </c>
      <c r="M155" s="298">
        <v>12143836</v>
      </c>
      <c r="N155" s="298">
        <v>0</v>
      </c>
      <c r="O155" s="297">
        <v>-4058830</v>
      </c>
      <c r="P155" s="297">
        <v>-85618</v>
      </c>
      <c r="Q155" s="297">
        <v>0</v>
      </c>
      <c r="R155" s="297">
        <f t="shared" si="158"/>
        <v>92718203.289999992</v>
      </c>
      <c r="S155" s="295"/>
      <c r="T155" s="276">
        <f t="shared" si="160"/>
        <v>0.14000001549720764</v>
      </c>
      <c r="U155" s="315">
        <v>21778119</v>
      </c>
      <c r="V155" s="316">
        <f t="shared" si="174"/>
        <v>7252668</v>
      </c>
      <c r="W155" s="349">
        <f t="shared" si="175"/>
        <v>0.66697454449578497</v>
      </c>
      <c r="Y155" s="302">
        <v>15740598</v>
      </c>
      <c r="Z155" s="302">
        <v>11060683</v>
      </c>
      <c r="AA155" s="302">
        <v>9662661.2899999991</v>
      </c>
      <c r="AB155" s="317">
        <f t="shared" si="184"/>
        <v>0.61386875454159995</v>
      </c>
      <c r="AC155" s="317">
        <f t="shared" si="185"/>
        <v>0.92280172583023845</v>
      </c>
      <c r="AD155" s="318">
        <f t="shared" si="177"/>
        <v>5.5500076671720902E-8</v>
      </c>
      <c r="AF155" s="276">
        <f t="shared" si="159"/>
        <v>1215147</v>
      </c>
      <c r="AI155" s="302">
        <f>15740598-214125-1215147</f>
        <v>14311326</v>
      </c>
      <c r="AJ155" s="282">
        <f t="shared" si="187"/>
        <v>-214125</v>
      </c>
    </row>
    <row r="156" spans="1:37" ht="76.5">
      <c r="A156" s="311" t="s">
        <v>83</v>
      </c>
      <c r="B156" s="323" t="s">
        <v>945</v>
      </c>
      <c r="C156" s="313" t="s">
        <v>398</v>
      </c>
      <c r="D156" s="313" t="s">
        <v>290</v>
      </c>
      <c r="E156" s="313" t="s">
        <v>942</v>
      </c>
      <c r="F156" s="313" t="s">
        <v>946</v>
      </c>
      <c r="G156" s="314">
        <v>0</v>
      </c>
      <c r="H156" s="314">
        <v>0</v>
      </c>
      <c r="I156" s="314">
        <v>0</v>
      </c>
      <c r="J156" s="297">
        <v>0</v>
      </c>
      <c r="K156" s="297">
        <v>0</v>
      </c>
      <c r="L156" s="298">
        <v>0</v>
      </c>
      <c r="M156" s="298">
        <v>0</v>
      </c>
      <c r="N156" s="298">
        <v>0</v>
      </c>
      <c r="O156" s="297">
        <v>0</v>
      </c>
      <c r="P156" s="297">
        <v>0</v>
      </c>
      <c r="Q156" s="297">
        <v>0</v>
      </c>
      <c r="R156" s="297">
        <f t="shared" si="158"/>
        <v>0</v>
      </c>
      <c r="S156" s="295"/>
      <c r="T156" s="276">
        <f t="shared" si="160"/>
        <v>0</v>
      </c>
      <c r="U156" s="315">
        <v>0</v>
      </c>
      <c r="V156" s="316">
        <f t="shared" si="174"/>
        <v>0</v>
      </c>
      <c r="W156" s="349" t="e">
        <f t="shared" si="175"/>
        <v>#DIV/0!</v>
      </c>
      <c r="Y156" s="302">
        <v>0</v>
      </c>
      <c r="Z156" s="302">
        <v>0</v>
      </c>
      <c r="AA156" s="302">
        <v>0</v>
      </c>
      <c r="AB156" s="317" t="e">
        <f t="shared" si="184"/>
        <v>#DIV/0!</v>
      </c>
      <c r="AC156" s="317" t="e">
        <f t="shared" si="185"/>
        <v>#DIV/0!</v>
      </c>
      <c r="AD156" s="318" t="e">
        <f t="shared" si="177"/>
        <v>#DIV/0!</v>
      </c>
      <c r="AF156" s="276">
        <f t="shared" si="159"/>
        <v>0</v>
      </c>
      <c r="AI156" s="302">
        <v>0</v>
      </c>
      <c r="AJ156" s="282">
        <f t="shared" si="187"/>
        <v>0</v>
      </c>
    </row>
    <row r="157" spans="1:37" ht="76.5">
      <c r="A157" s="272" t="s">
        <v>499</v>
      </c>
      <c r="B157" s="310" t="s">
        <v>947</v>
      </c>
      <c r="C157" s="292" t="s">
        <v>398</v>
      </c>
      <c r="D157" s="292" t="s">
        <v>290</v>
      </c>
      <c r="E157" s="313" t="s">
        <v>942</v>
      </c>
      <c r="F157" s="292"/>
      <c r="G157" s="321">
        <f>G158+G159+G160</f>
        <v>32499394.399999999</v>
      </c>
      <c r="H157" s="321">
        <f t="shared" ref="H157:Q157" si="197">H158+H159+H160</f>
        <v>0</v>
      </c>
      <c r="I157" s="321">
        <f t="shared" si="197"/>
        <v>32499394.399999999</v>
      </c>
      <c r="J157" s="321">
        <f t="shared" si="197"/>
        <v>24893331.949999999</v>
      </c>
      <c r="K157" s="321">
        <f t="shared" si="197"/>
        <v>3552241</v>
      </c>
      <c r="L157" s="321">
        <f t="shared" si="197"/>
        <v>1407609</v>
      </c>
      <c r="M157" s="321">
        <f t="shared" si="197"/>
        <v>14577</v>
      </c>
      <c r="N157" s="321">
        <f t="shared" si="197"/>
        <v>0</v>
      </c>
      <c r="O157" s="321">
        <f t="shared" si="197"/>
        <v>-468122</v>
      </c>
      <c r="P157" s="321">
        <f t="shared" si="197"/>
        <v>1161</v>
      </c>
      <c r="Q157" s="321">
        <f t="shared" si="197"/>
        <v>0</v>
      </c>
      <c r="R157" s="297">
        <f t="shared" si="158"/>
        <v>29400797.949999999</v>
      </c>
      <c r="S157" s="295"/>
      <c r="T157" s="276">
        <f t="shared" si="160"/>
        <v>3098596.4499999993</v>
      </c>
      <c r="U157" s="344">
        <f>U158+U159+U160</f>
        <v>2213742</v>
      </c>
      <c r="V157" s="316">
        <f t="shared" si="174"/>
        <v>-1338499</v>
      </c>
      <c r="W157" s="349">
        <f t="shared" si="175"/>
        <v>1.6046318857391693</v>
      </c>
      <c r="Y157" s="321">
        <f t="shared" ref="Y157:AA157" si="198">Y158+Y159+Y160</f>
        <v>3552239</v>
      </c>
      <c r="Z157" s="321">
        <f t="shared" si="198"/>
        <v>3332503</v>
      </c>
      <c r="AA157" s="321">
        <f t="shared" si="198"/>
        <v>3332500.32</v>
      </c>
      <c r="AB157" s="296">
        <f t="shared" si="184"/>
        <v>0.93814079514356996</v>
      </c>
      <c r="AC157" s="322">
        <f t="shared" si="185"/>
        <v>1.0000005630251794</v>
      </c>
      <c r="AD157" s="293">
        <f t="shared" si="177"/>
        <v>2.8151236327276222E-7</v>
      </c>
      <c r="AF157" s="276">
        <f t="shared" si="159"/>
        <v>-2</v>
      </c>
      <c r="AI157" s="321">
        <f t="shared" ref="AI157" si="199">AI158+AI159+AI160</f>
        <v>3554326</v>
      </c>
      <c r="AJ157" s="282">
        <f t="shared" si="187"/>
        <v>2085</v>
      </c>
    </row>
    <row r="158" spans="1:37" ht="89.25">
      <c r="A158" s="311" t="s">
        <v>84</v>
      </c>
      <c r="B158" s="312" t="s">
        <v>948</v>
      </c>
      <c r="C158" s="313" t="s">
        <v>398</v>
      </c>
      <c r="D158" s="313" t="s">
        <v>290</v>
      </c>
      <c r="E158" s="313" t="s">
        <v>942</v>
      </c>
      <c r="F158" s="313" t="s">
        <v>949</v>
      </c>
      <c r="G158" s="327">
        <v>21380117</v>
      </c>
      <c r="H158" s="314">
        <v>0</v>
      </c>
      <c r="I158" s="327">
        <v>21380117</v>
      </c>
      <c r="J158" s="319">
        <v>17164256</v>
      </c>
      <c r="K158" s="297">
        <v>1205494</v>
      </c>
      <c r="L158" s="298">
        <v>546148</v>
      </c>
      <c r="M158" s="298">
        <v>0</v>
      </c>
      <c r="N158" s="298">
        <v>0</v>
      </c>
      <c r="O158" s="297">
        <v>-6163</v>
      </c>
      <c r="P158" s="297">
        <v>0</v>
      </c>
      <c r="Q158" s="297">
        <v>0</v>
      </c>
      <c r="R158" s="297">
        <f t="shared" si="158"/>
        <v>18909735</v>
      </c>
      <c r="S158" s="295" t="s">
        <v>937</v>
      </c>
      <c r="T158" s="276">
        <f t="shared" si="160"/>
        <v>2470382</v>
      </c>
      <c r="U158" s="353">
        <v>1242857</v>
      </c>
      <c r="V158" s="316">
        <f t="shared" si="174"/>
        <v>37363</v>
      </c>
      <c r="W158" s="349">
        <f t="shared" si="175"/>
        <v>0.96993781263653023</v>
      </c>
      <c r="Y158" s="302">
        <v>1205494</v>
      </c>
      <c r="Z158" s="302">
        <v>1205494</v>
      </c>
      <c r="AA158" s="302">
        <v>1205493.52</v>
      </c>
      <c r="AB158" s="317">
        <f t="shared" si="184"/>
        <v>0.99999960182298708</v>
      </c>
      <c r="AC158" s="317">
        <f t="shared" si="185"/>
        <v>1</v>
      </c>
      <c r="AD158" s="318">
        <f t="shared" si="177"/>
        <v>8.2953511325895201E-7</v>
      </c>
      <c r="AF158" s="276">
        <f t="shared" si="159"/>
        <v>0</v>
      </c>
      <c r="AG158" s="256">
        <v>0</v>
      </c>
      <c r="AI158" s="302">
        <v>1205494</v>
      </c>
      <c r="AJ158" s="282">
        <f t="shared" si="187"/>
        <v>0</v>
      </c>
      <c r="AK158" s="256">
        <v>0</v>
      </c>
    </row>
    <row r="159" spans="1:37" ht="51">
      <c r="A159" s="311" t="s">
        <v>85</v>
      </c>
      <c r="B159" s="312" t="s">
        <v>950</v>
      </c>
      <c r="C159" s="313" t="s">
        <v>398</v>
      </c>
      <c r="D159" s="313" t="s">
        <v>290</v>
      </c>
      <c r="E159" s="313" t="s">
        <v>942</v>
      </c>
      <c r="F159" s="313" t="s">
        <v>949</v>
      </c>
      <c r="G159" s="314">
        <v>2226541.4</v>
      </c>
      <c r="H159" s="314">
        <v>0</v>
      </c>
      <c r="I159" s="314">
        <v>2226541.4</v>
      </c>
      <c r="J159" s="297">
        <v>582758.68000000005</v>
      </c>
      <c r="K159" s="297">
        <v>1415553</v>
      </c>
      <c r="L159" s="298">
        <v>667093</v>
      </c>
      <c r="M159" s="298">
        <v>14577</v>
      </c>
      <c r="N159" s="298">
        <v>0</v>
      </c>
      <c r="O159" s="297">
        <v>-454601</v>
      </c>
      <c r="P159" s="297">
        <v>1161</v>
      </c>
      <c r="Q159" s="297">
        <v>0</v>
      </c>
      <c r="R159" s="297">
        <f t="shared" si="158"/>
        <v>2226541.6800000002</v>
      </c>
      <c r="S159" s="295"/>
      <c r="T159" s="276">
        <f t="shared" si="160"/>
        <v>-0.28000000026077032</v>
      </c>
      <c r="U159" s="315">
        <v>411536</v>
      </c>
      <c r="V159" s="316">
        <f t="shared" si="174"/>
        <v>-1004017</v>
      </c>
      <c r="W159" s="349">
        <f t="shared" si="175"/>
        <v>3.4396820691263947</v>
      </c>
      <c r="Y159" s="302">
        <v>1415551</v>
      </c>
      <c r="Z159" s="302">
        <v>1232439</v>
      </c>
      <c r="AA159" s="302">
        <v>1232438.44</v>
      </c>
      <c r="AB159" s="317">
        <f t="shared" si="184"/>
        <v>0.87064220222372768</v>
      </c>
      <c r="AC159" s="317">
        <f t="shared" si="185"/>
        <v>1.0000014128773884</v>
      </c>
      <c r="AD159" s="318">
        <f t="shared" si="177"/>
        <v>7.0643837319634297E-7</v>
      </c>
      <c r="AF159" s="276">
        <f t="shared" si="159"/>
        <v>-2</v>
      </c>
      <c r="AG159" s="256">
        <v>-2</v>
      </c>
      <c r="AI159" s="302">
        <v>1415551</v>
      </c>
      <c r="AJ159" s="282">
        <f t="shared" si="187"/>
        <v>-2</v>
      </c>
      <c r="AK159" s="256">
        <v>-2</v>
      </c>
    </row>
    <row r="160" spans="1:37" ht="114.75">
      <c r="A160" s="311" t="s">
        <v>951</v>
      </c>
      <c r="B160" s="312" t="s">
        <v>952</v>
      </c>
      <c r="C160" s="313" t="s">
        <v>398</v>
      </c>
      <c r="D160" s="313" t="s">
        <v>290</v>
      </c>
      <c r="E160" s="313" t="s">
        <v>942</v>
      </c>
      <c r="F160" s="313"/>
      <c r="G160" s="314">
        <f>G161+G162</f>
        <v>8892736</v>
      </c>
      <c r="H160" s="314">
        <f t="shared" ref="H160:Q160" si="200">H161+H162</f>
        <v>0</v>
      </c>
      <c r="I160" s="314">
        <f t="shared" si="200"/>
        <v>8892736</v>
      </c>
      <c r="J160" s="314">
        <f t="shared" si="200"/>
        <v>7146317.2699999996</v>
      </c>
      <c r="K160" s="314">
        <f t="shared" si="200"/>
        <v>931194</v>
      </c>
      <c r="L160" s="314">
        <f t="shared" si="200"/>
        <v>194368</v>
      </c>
      <c r="M160" s="314">
        <f t="shared" si="200"/>
        <v>0</v>
      </c>
      <c r="N160" s="314">
        <f t="shared" si="200"/>
        <v>0</v>
      </c>
      <c r="O160" s="314">
        <f t="shared" si="200"/>
        <v>-7358</v>
      </c>
      <c r="P160" s="314">
        <f t="shared" si="200"/>
        <v>0</v>
      </c>
      <c r="Q160" s="314">
        <f t="shared" si="200"/>
        <v>0</v>
      </c>
      <c r="R160" s="297">
        <f t="shared" si="158"/>
        <v>8264521.2699999996</v>
      </c>
      <c r="S160" s="295"/>
      <c r="T160" s="276">
        <f t="shared" si="160"/>
        <v>628214.73000000045</v>
      </c>
      <c r="U160" s="347">
        <f>U161+U162</f>
        <v>559349</v>
      </c>
      <c r="V160" s="316">
        <f t="shared" si="174"/>
        <v>-371845</v>
      </c>
      <c r="W160" s="349">
        <f t="shared" si="175"/>
        <v>1.6647817373410876</v>
      </c>
      <c r="Y160" s="314">
        <f t="shared" ref="Y160:AA160" si="201">Y161+Y162</f>
        <v>931194</v>
      </c>
      <c r="Z160" s="314">
        <f t="shared" si="201"/>
        <v>894570</v>
      </c>
      <c r="AA160" s="314">
        <f t="shared" si="201"/>
        <v>894568.36</v>
      </c>
      <c r="AB160" s="317">
        <f t="shared" si="184"/>
        <v>0.96066808849713381</v>
      </c>
      <c r="AC160" s="317">
        <f t="shared" si="185"/>
        <v>1</v>
      </c>
      <c r="AD160" s="318">
        <f t="shared" si="177"/>
        <v>1.0738881121624176E-6</v>
      </c>
      <c r="AF160" s="276">
        <f t="shared" si="159"/>
        <v>0</v>
      </c>
      <c r="AI160" s="314">
        <f t="shared" ref="AI160" si="202">AI161+AI162</f>
        <v>933281</v>
      </c>
      <c r="AJ160" s="282">
        <f t="shared" si="187"/>
        <v>2087</v>
      </c>
    </row>
    <row r="161" spans="1:37" ht="76.5">
      <c r="A161" s="354" t="s">
        <v>86</v>
      </c>
      <c r="B161" s="323" t="s">
        <v>953</v>
      </c>
      <c r="C161" s="313" t="s">
        <v>398</v>
      </c>
      <c r="D161" s="313" t="s">
        <v>290</v>
      </c>
      <c r="E161" s="313" t="s">
        <v>942</v>
      </c>
      <c r="F161" s="313" t="s">
        <v>954</v>
      </c>
      <c r="G161" s="327">
        <v>5716032</v>
      </c>
      <c r="H161" s="314">
        <v>0</v>
      </c>
      <c r="I161" s="327">
        <v>5716032</v>
      </c>
      <c r="J161" s="319">
        <v>4537160</v>
      </c>
      <c r="K161" s="297">
        <v>763140</v>
      </c>
      <c r="L161" s="298">
        <v>194368</v>
      </c>
      <c r="M161" s="298">
        <v>0</v>
      </c>
      <c r="N161" s="298">
        <v>0</v>
      </c>
      <c r="O161" s="297">
        <v>-7358</v>
      </c>
      <c r="P161" s="297">
        <v>0</v>
      </c>
      <c r="Q161" s="297">
        <v>0</v>
      </c>
      <c r="R161" s="297">
        <f t="shared" si="158"/>
        <v>5487310</v>
      </c>
      <c r="S161" s="295" t="s">
        <v>955</v>
      </c>
      <c r="T161" s="276">
        <f t="shared" si="160"/>
        <v>228722</v>
      </c>
      <c r="U161" s="353">
        <v>389693</v>
      </c>
      <c r="V161" s="316">
        <f t="shared" si="174"/>
        <v>-373447</v>
      </c>
      <c r="W161" s="349">
        <f t="shared" si="175"/>
        <v>1.9583107728391322</v>
      </c>
      <c r="Y161" s="302">
        <v>763140</v>
      </c>
      <c r="Z161" s="302">
        <v>726516</v>
      </c>
      <c r="AA161" s="302">
        <v>726515.11</v>
      </c>
      <c r="AB161" s="317">
        <f t="shared" si="184"/>
        <v>0.95200763948947764</v>
      </c>
      <c r="AC161" s="317">
        <f t="shared" si="185"/>
        <v>1</v>
      </c>
      <c r="AD161" s="318">
        <f t="shared" si="177"/>
        <v>1.310373948391333E-6</v>
      </c>
      <c r="AF161" s="276">
        <f t="shared" si="159"/>
        <v>0</v>
      </c>
      <c r="AG161" s="256">
        <v>0</v>
      </c>
      <c r="AI161" s="302">
        <f>763140+2087</f>
        <v>765227</v>
      </c>
      <c r="AJ161" s="282">
        <f t="shared" si="187"/>
        <v>2087</v>
      </c>
      <c r="AK161" s="256">
        <v>2087</v>
      </c>
    </row>
    <row r="162" spans="1:37" ht="102">
      <c r="A162" s="354" t="s">
        <v>87</v>
      </c>
      <c r="B162" s="323" t="s">
        <v>956</v>
      </c>
      <c r="C162" s="313" t="s">
        <v>398</v>
      </c>
      <c r="D162" s="313" t="s">
        <v>290</v>
      </c>
      <c r="E162" s="313" t="s">
        <v>942</v>
      </c>
      <c r="F162" s="313" t="s">
        <v>949</v>
      </c>
      <c r="G162" s="327">
        <v>3176704</v>
      </c>
      <c r="H162" s="314">
        <v>0</v>
      </c>
      <c r="I162" s="327">
        <v>3176704</v>
      </c>
      <c r="J162" s="297">
        <v>2609157.27</v>
      </c>
      <c r="K162" s="297">
        <v>168054</v>
      </c>
      <c r="L162" s="298">
        <v>0</v>
      </c>
      <c r="M162" s="298">
        <v>0</v>
      </c>
      <c r="N162" s="298">
        <v>0</v>
      </c>
      <c r="O162" s="297">
        <v>0</v>
      </c>
      <c r="P162" s="297">
        <v>0</v>
      </c>
      <c r="Q162" s="297">
        <v>0</v>
      </c>
      <c r="R162" s="297">
        <f t="shared" si="158"/>
        <v>2777211.27</v>
      </c>
      <c r="S162" s="295" t="s">
        <v>937</v>
      </c>
      <c r="T162" s="276">
        <f t="shared" si="160"/>
        <v>399492.73</v>
      </c>
      <c r="U162" s="353">
        <v>169656</v>
      </c>
      <c r="V162" s="316">
        <f t="shared" si="174"/>
        <v>1602</v>
      </c>
      <c r="W162" s="349">
        <f t="shared" si="175"/>
        <v>0.99055736313481402</v>
      </c>
      <c r="Y162" s="302">
        <v>168054</v>
      </c>
      <c r="Z162" s="302">
        <v>168054</v>
      </c>
      <c r="AA162" s="302">
        <v>168053.25</v>
      </c>
      <c r="AB162" s="317">
        <f t="shared" si="184"/>
        <v>0.99999553714877365</v>
      </c>
      <c r="AC162" s="317">
        <f t="shared" si="185"/>
        <v>1</v>
      </c>
      <c r="AD162" s="318">
        <f t="shared" si="177"/>
        <v>5.9504417458005977E-6</v>
      </c>
      <c r="AF162" s="276">
        <f t="shared" si="159"/>
        <v>0</v>
      </c>
      <c r="AG162" s="256">
        <v>0</v>
      </c>
      <c r="AI162" s="302">
        <v>168054</v>
      </c>
      <c r="AJ162" s="282">
        <f t="shared" si="187"/>
        <v>0</v>
      </c>
      <c r="AK162" s="256">
        <v>0</v>
      </c>
    </row>
    <row r="163" spans="1:37" ht="63.75">
      <c r="A163" s="355" t="s">
        <v>508</v>
      </c>
      <c r="B163" s="356" t="s">
        <v>957</v>
      </c>
      <c r="C163" s="292" t="s">
        <v>398</v>
      </c>
      <c r="D163" s="357" t="s">
        <v>231</v>
      </c>
      <c r="E163" s="357"/>
      <c r="F163" s="357"/>
      <c r="G163" s="321">
        <f>G164+G170+G171+G172</f>
        <v>38960097.630000003</v>
      </c>
      <c r="H163" s="321">
        <f t="shared" ref="H163:Q163" si="203">H164+H170+H171+H172</f>
        <v>11220767</v>
      </c>
      <c r="I163" s="321">
        <f t="shared" si="203"/>
        <v>50180864.630000003</v>
      </c>
      <c r="J163" s="321">
        <f t="shared" si="203"/>
        <v>31805031.510000002</v>
      </c>
      <c r="K163" s="321">
        <f t="shared" si="203"/>
        <v>2739325</v>
      </c>
      <c r="L163" s="321">
        <f t="shared" si="203"/>
        <v>802824</v>
      </c>
      <c r="M163" s="321">
        <f t="shared" si="203"/>
        <v>0</v>
      </c>
      <c r="N163" s="321">
        <f t="shared" si="203"/>
        <v>0</v>
      </c>
      <c r="O163" s="321">
        <f t="shared" si="203"/>
        <v>3105334</v>
      </c>
      <c r="P163" s="321">
        <f t="shared" si="203"/>
        <v>5004953</v>
      </c>
      <c r="Q163" s="321">
        <f t="shared" si="203"/>
        <v>5004953</v>
      </c>
      <c r="R163" s="297">
        <f t="shared" si="158"/>
        <v>48462420.510000005</v>
      </c>
      <c r="S163" s="295"/>
      <c r="T163" s="276">
        <f t="shared" si="160"/>
        <v>1718444.1199999973</v>
      </c>
      <c r="U163" s="344">
        <f>U164+U170+U171+U172</f>
        <v>3405929</v>
      </c>
      <c r="V163" s="277">
        <f t="shared" si="174"/>
        <v>666604</v>
      </c>
      <c r="W163" s="278">
        <f t="shared" si="175"/>
        <v>0.80428129887616562</v>
      </c>
      <c r="Y163" s="321">
        <f t="shared" ref="Y163:AA163" si="204">Y164+Y170+Y171+Y172</f>
        <v>4276653</v>
      </c>
      <c r="Z163" s="321">
        <f t="shared" si="204"/>
        <v>3167279</v>
      </c>
      <c r="AA163" s="321">
        <f t="shared" si="204"/>
        <v>2696486.74</v>
      </c>
      <c r="AB163" s="296">
        <f t="shared" si="184"/>
        <v>0.63051333367472184</v>
      </c>
      <c r="AC163" s="296">
        <f t="shared" si="185"/>
        <v>0.64053010613673822</v>
      </c>
      <c r="AD163" s="293">
        <f t="shared" si="177"/>
        <v>1.9907097975098558E-7</v>
      </c>
      <c r="AF163" s="276">
        <f t="shared" si="159"/>
        <v>1537328</v>
      </c>
      <c r="AI163" s="321">
        <f t="shared" ref="AI163" si="205">AI164+AI170+AI171+AI172</f>
        <v>4062829</v>
      </c>
      <c r="AJ163" s="282">
        <f t="shared" si="187"/>
        <v>1323504</v>
      </c>
    </row>
    <row r="164" spans="1:37" ht="89.25">
      <c r="A164" s="354" t="s">
        <v>510</v>
      </c>
      <c r="B164" s="358" t="s">
        <v>958</v>
      </c>
      <c r="C164" s="313" t="s">
        <v>398</v>
      </c>
      <c r="D164" s="359" t="s">
        <v>762</v>
      </c>
      <c r="E164" s="359"/>
      <c r="F164" s="359"/>
      <c r="G164" s="314">
        <f>G165+G166+G167+G168+G169</f>
        <v>9581734.6300000008</v>
      </c>
      <c r="H164" s="314">
        <f t="shared" ref="H164:Q164" si="206">H165+H166+H167+H168+H169</f>
        <v>0</v>
      </c>
      <c r="I164" s="314">
        <f t="shared" si="206"/>
        <v>9581734.6300000008</v>
      </c>
      <c r="J164" s="314">
        <f t="shared" si="206"/>
        <v>6990957.8300000001</v>
      </c>
      <c r="K164" s="314">
        <f t="shared" si="206"/>
        <v>1611697</v>
      </c>
      <c r="L164" s="314">
        <f t="shared" si="206"/>
        <v>476658</v>
      </c>
      <c r="M164" s="314">
        <f t="shared" si="206"/>
        <v>0</v>
      </c>
      <c r="N164" s="314">
        <f t="shared" si="206"/>
        <v>0</v>
      </c>
      <c r="O164" s="314">
        <f t="shared" si="206"/>
        <v>602858</v>
      </c>
      <c r="P164" s="314">
        <f t="shared" si="206"/>
        <v>0</v>
      </c>
      <c r="Q164" s="314">
        <f t="shared" si="206"/>
        <v>0</v>
      </c>
      <c r="R164" s="297">
        <f t="shared" si="158"/>
        <v>9682170.8300000001</v>
      </c>
      <c r="S164" s="295"/>
      <c r="T164" s="276">
        <f t="shared" si="160"/>
        <v>-100436.19999999925</v>
      </c>
      <c r="U164" s="347">
        <f>U165+U166+U167+U168+U169</f>
        <v>2702973</v>
      </c>
      <c r="V164" s="316">
        <f t="shared" si="174"/>
        <v>1091276</v>
      </c>
      <c r="W164" s="349">
        <f t="shared" si="175"/>
        <v>0.59626825721159626</v>
      </c>
      <c r="Y164" s="314">
        <f t="shared" ref="Y164:AA164" si="207">Y165+Y166+Y167+Y168+Y169</f>
        <v>2756320</v>
      </c>
      <c r="Z164" s="314">
        <f t="shared" si="207"/>
        <v>1646946</v>
      </c>
      <c r="AA164" s="314">
        <f t="shared" si="207"/>
        <v>1645865.96</v>
      </c>
      <c r="AB164" s="317">
        <f t="shared" si="184"/>
        <v>0.59712441225982471</v>
      </c>
      <c r="AC164" s="317">
        <f t="shared" si="185"/>
        <v>0.5847278255064724</v>
      </c>
      <c r="AD164" s="318">
        <f t="shared" si="177"/>
        <v>3.6256465740821174E-7</v>
      </c>
      <c r="AF164" s="276">
        <f t="shared" si="159"/>
        <v>1144623</v>
      </c>
      <c r="AI164" s="314">
        <f t="shared" ref="AI164" si="208">AI165+AI166+AI167+AI168+AI169</f>
        <v>2756320</v>
      </c>
      <c r="AJ164" s="282">
        <f t="shared" si="187"/>
        <v>1144623</v>
      </c>
    </row>
    <row r="165" spans="1:37" ht="114.75">
      <c r="A165" s="354" t="s">
        <v>117</v>
      </c>
      <c r="B165" s="323" t="s">
        <v>959</v>
      </c>
      <c r="C165" s="313" t="s">
        <v>398</v>
      </c>
      <c r="D165" s="359" t="s">
        <v>762</v>
      </c>
      <c r="E165" s="359" t="s">
        <v>960</v>
      </c>
      <c r="F165" s="359" t="s">
        <v>940</v>
      </c>
      <c r="G165" s="314">
        <v>526200.6</v>
      </c>
      <c r="H165" s="314">
        <v>0</v>
      </c>
      <c r="I165" s="314">
        <v>526200.6</v>
      </c>
      <c r="J165" s="297">
        <v>352033.32999999996</v>
      </c>
      <c r="K165" s="297">
        <v>178167</v>
      </c>
      <c r="L165" s="298">
        <v>0</v>
      </c>
      <c r="M165" s="298">
        <v>0</v>
      </c>
      <c r="N165" s="298">
        <v>0</v>
      </c>
      <c r="O165" s="297">
        <v>0</v>
      </c>
      <c r="P165" s="297">
        <v>0</v>
      </c>
      <c r="Q165" s="297">
        <v>0</v>
      </c>
      <c r="R165" s="297">
        <f t="shared" si="158"/>
        <v>530200.32999999996</v>
      </c>
      <c r="S165" s="295" t="s">
        <v>961</v>
      </c>
      <c r="T165" s="276">
        <f t="shared" si="160"/>
        <v>-3999.7299999999814</v>
      </c>
      <c r="U165" s="315">
        <v>141907</v>
      </c>
      <c r="V165" s="316">
        <f t="shared" si="174"/>
        <v>-36260</v>
      </c>
      <c r="W165" s="349">
        <f t="shared" si="175"/>
        <v>1.2555194599279811</v>
      </c>
      <c r="Y165" s="302">
        <v>178167</v>
      </c>
      <c r="Z165" s="302">
        <v>174471</v>
      </c>
      <c r="AA165" s="302">
        <v>173823.89</v>
      </c>
      <c r="AB165" s="317">
        <f t="shared" si="184"/>
        <v>0.97562337582156078</v>
      </c>
      <c r="AC165" s="317">
        <f t="shared" si="185"/>
        <v>1</v>
      </c>
      <c r="AD165" s="318">
        <f t="shared" si="177"/>
        <v>5.5918942163543554E-6</v>
      </c>
      <c r="AF165" s="276">
        <f t="shared" si="159"/>
        <v>0</v>
      </c>
      <c r="AI165" s="302">
        <v>178167</v>
      </c>
      <c r="AJ165" s="282">
        <f t="shared" si="187"/>
        <v>0</v>
      </c>
    </row>
    <row r="166" spans="1:37" ht="76.5">
      <c r="A166" s="354" t="s">
        <v>118</v>
      </c>
      <c r="B166" s="323" t="s">
        <v>962</v>
      </c>
      <c r="C166" s="313" t="s">
        <v>398</v>
      </c>
      <c r="D166" s="359" t="s">
        <v>762</v>
      </c>
      <c r="E166" s="359"/>
      <c r="F166" s="359" t="s">
        <v>963</v>
      </c>
      <c r="G166" s="314">
        <v>2525392.64</v>
      </c>
      <c r="H166" s="314">
        <v>0</v>
      </c>
      <c r="I166" s="314">
        <v>2525392.64</v>
      </c>
      <c r="J166" s="297">
        <v>2627347.77</v>
      </c>
      <c r="K166" s="297">
        <v>0</v>
      </c>
      <c r="L166" s="298">
        <v>0</v>
      </c>
      <c r="M166" s="298">
        <v>0</v>
      </c>
      <c r="N166" s="298">
        <v>0</v>
      </c>
      <c r="O166" s="297">
        <v>0</v>
      </c>
      <c r="P166" s="297">
        <v>0</v>
      </c>
      <c r="Q166" s="297">
        <v>0</v>
      </c>
      <c r="R166" s="297">
        <f t="shared" si="158"/>
        <v>2627347.77</v>
      </c>
      <c r="S166" s="295" t="s">
        <v>806</v>
      </c>
      <c r="T166" s="276">
        <f t="shared" si="160"/>
        <v>-101955.12999999989</v>
      </c>
      <c r="U166" s="353">
        <v>0</v>
      </c>
      <c r="V166" s="316">
        <f t="shared" si="174"/>
        <v>0</v>
      </c>
      <c r="W166" s="349" t="e">
        <f t="shared" si="175"/>
        <v>#DIV/0!</v>
      </c>
      <c r="Y166" s="302">
        <v>0</v>
      </c>
      <c r="Z166" s="302">
        <v>0</v>
      </c>
      <c r="AA166" s="302">
        <v>0</v>
      </c>
      <c r="AB166" s="317" t="e">
        <f t="shared" si="184"/>
        <v>#DIV/0!</v>
      </c>
      <c r="AC166" s="317" t="e">
        <f t="shared" si="185"/>
        <v>#DIV/0!</v>
      </c>
      <c r="AD166" s="318" t="e">
        <f t="shared" si="177"/>
        <v>#DIV/0!</v>
      </c>
      <c r="AF166" s="276">
        <f t="shared" si="159"/>
        <v>0</v>
      </c>
      <c r="AI166" s="302">
        <v>0</v>
      </c>
      <c r="AJ166" s="282">
        <f t="shared" si="187"/>
        <v>0</v>
      </c>
    </row>
    <row r="167" spans="1:37" ht="114.75">
      <c r="A167" s="354" t="s">
        <v>119</v>
      </c>
      <c r="B167" s="323" t="s">
        <v>964</v>
      </c>
      <c r="C167" s="313" t="s">
        <v>398</v>
      </c>
      <c r="D167" s="359" t="s">
        <v>762</v>
      </c>
      <c r="E167" s="359" t="s">
        <v>960</v>
      </c>
      <c r="F167" s="359" t="s">
        <v>965</v>
      </c>
      <c r="G167" s="314">
        <v>610841.39</v>
      </c>
      <c r="H167" s="314">
        <v>0</v>
      </c>
      <c r="I167" s="314">
        <v>610841.39</v>
      </c>
      <c r="J167" s="319">
        <v>610836</v>
      </c>
      <c r="K167" s="297">
        <v>0</v>
      </c>
      <c r="L167" s="298">
        <v>0</v>
      </c>
      <c r="M167" s="298">
        <v>0</v>
      </c>
      <c r="N167" s="298">
        <v>0</v>
      </c>
      <c r="O167" s="297">
        <v>0</v>
      </c>
      <c r="P167" s="297">
        <v>0</v>
      </c>
      <c r="Q167" s="297">
        <v>0</v>
      </c>
      <c r="R167" s="297">
        <f t="shared" si="158"/>
        <v>610836</v>
      </c>
      <c r="S167" s="295"/>
      <c r="T167" s="276">
        <f t="shared" si="160"/>
        <v>5.3900000000139698</v>
      </c>
      <c r="U167" s="353">
        <v>61084</v>
      </c>
      <c r="V167" s="316">
        <f t="shared" si="174"/>
        <v>61084</v>
      </c>
      <c r="W167" s="349">
        <f t="shared" si="175"/>
        <v>0</v>
      </c>
      <c r="Y167" s="302">
        <v>61084</v>
      </c>
      <c r="Z167" s="302">
        <v>61084</v>
      </c>
      <c r="AA167" s="302">
        <v>61080.35</v>
      </c>
      <c r="AB167" s="317">
        <f t="shared" si="184"/>
        <v>0.99994024621832234</v>
      </c>
      <c r="AC167" s="317">
        <f t="shared" si="185"/>
        <v>0</v>
      </c>
      <c r="AD167" s="318">
        <f t="shared" si="177"/>
        <v>1.6369920866647932E-5</v>
      </c>
      <c r="AF167" s="276">
        <f t="shared" si="159"/>
        <v>61084</v>
      </c>
      <c r="AI167" s="302">
        <v>61084</v>
      </c>
      <c r="AJ167" s="282">
        <f t="shared" si="187"/>
        <v>61084</v>
      </c>
    </row>
    <row r="168" spans="1:37" ht="51">
      <c r="A168" s="354" t="s">
        <v>120</v>
      </c>
      <c r="B168" s="323" t="s">
        <v>966</v>
      </c>
      <c r="C168" s="313" t="s">
        <v>398</v>
      </c>
      <c r="D168" s="359" t="s">
        <v>762</v>
      </c>
      <c r="E168" s="359"/>
      <c r="F168" s="359" t="s">
        <v>967</v>
      </c>
      <c r="G168" s="360">
        <v>0</v>
      </c>
      <c r="H168" s="360">
        <v>0</v>
      </c>
      <c r="I168" s="360">
        <v>0</v>
      </c>
      <c r="J168" s="297">
        <v>0</v>
      </c>
      <c r="K168" s="297">
        <v>0</v>
      </c>
      <c r="L168" s="298">
        <v>0</v>
      </c>
      <c r="M168" s="298">
        <v>0</v>
      </c>
      <c r="N168" s="298">
        <v>0</v>
      </c>
      <c r="O168" s="297">
        <v>0</v>
      </c>
      <c r="P168" s="297">
        <v>0</v>
      </c>
      <c r="Q168" s="297">
        <v>0</v>
      </c>
      <c r="R168" s="297">
        <f t="shared" si="158"/>
        <v>0</v>
      </c>
      <c r="S168" s="295"/>
      <c r="T168" s="276">
        <f t="shared" si="160"/>
        <v>0</v>
      </c>
      <c r="U168" s="315">
        <v>0</v>
      </c>
      <c r="V168" s="316">
        <f t="shared" si="174"/>
        <v>0</v>
      </c>
      <c r="W168" s="349" t="e">
        <f t="shared" si="175"/>
        <v>#DIV/0!</v>
      </c>
      <c r="Y168" s="302">
        <v>0</v>
      </c>
      <c r="Z168" s="302">
        <v>0</v>
      </c>
      <c r="AA168" s="302">
        <v>0</v>
      </c>
      <c r="AB168" s="317" t="e">
        <f t="shared" si="184"/>
        <v>#DIV/0!</v>
      </c>
      <c r="AC168" s="317" t="e">
        <f t="shared" si="185"/>
        <v>#DIV/0!</v>
      </c>
      <c r="AD168" s="318" t="e">
        <f t="shared" si="177"/>
        <v>#DIV/0!</v>
      </c>
      <c r="AF168" s="276">
        <f t="shared" si="159"/>
        <v>0</v>
      </c>
      <c r="AI168" s="302">
        <v>0</v>
      </c>
      <c r="AJ168" s="282">
        <f t="shared" si="187"/>
        <v>0</v>
      </c>
    </row>
    <row r="169" spans="1:37" ht="102">
      <c r="A169" s="311" t="s">
        <v>121</v>
      </c>
      <c r="B169" s="323" t="s">
        <v>968</v>
      </c>
      <c r="C169" s="313" t="s">
        <v>398</v>
      </c>
      <c r="D169" s="359" t="s">
        <v>762</v>
      </c>
      <c r="E169" s="359"/>
      <c r="F169" s="359" t="s">
        <v>744</v>
      </c>
      <c r="G169" s="314">
        <v>5919300</v>
      </c>
      <c r="H169" s="314">
        <v>0</v>
      </c>
      <c r="I169" s="314">
        <v>5919300</v>
      </c>
      <c r="J169" s="297">
        <v>3400740.73</v>
      </c>
      <c r="K169" s="297">
        <v>1433530</v>
      </c>
      <c r="L169" s="298">
        <v>476658</v>
      </c>
      <c r="M169" s="298">
        <v>0</v>
      </c>
      <c r="N169" s="298">
        <v>0</v>
      </c>
      <c r="O169" s="297">
        <v>602858</v>
      </c>
      <c r="P169" s="297">
        <v>0</v>
      </c>
      <c r="Q169" s="297">
        <v>0</v>
      </c>
      <c r="R169" s="297">
        <f t="shared" si="158"/>
        <v>5913786.7300000004</v>
      </c>
      <c r="S169" s="295" t="s">
        <v>969</v>
      </c>
      <c r="T169" s="276">
        <f t="shared" si="160"/>
        <v>5513.269999999553</v>
      </c>
      <c r="U169" s="353">
        <v>2499982</v>
      </c>
      <c r="V169" s="316">
        <f t="shared" si="174"/>
        <v>1066452</v>
      </c>
      <c r="W169" s="349">
        <f t="shared" si="175"/>
        <v>0.5734161285961259</v>
      </c>
      <c r="Y169" s="302">
        <v>2517069</v>
      </c>
      <c r="Z169" s="302">
        <v>1411391</v>
      </c>
      <c r="AA169" s="302">
        <v>1410961.72</v>
      </c>
      <c r="AB169" s="317">
        <f t="shared" si="184"/>
        <v>0.56055742611744053</v>
      </c>
      <c r="AC169" s="317">
        <f t="shared" si="185"/>
        <v>0.56952352120660976</v>
      </c>
      <c r="AD169" s="318">
        <f t="shared" si="177"/>
        <v>3.9716664348677337E-7</v>
      </c>
      <c r="AF169" s="276">
        <f t="shared" si="159"/>
        <v>1083539</v>
      </c>
      <c r="AI169" s="302">
        <v>2517069</v>
      </c>
      <c r="AJ169" s="282">
        <f t="shared" si="187"/>
        <v>1083539</v>
      </c>
    </row>
    <row r="170" spans="1:37" ht="51">
      <c r="A170" s="361" t="s">
        <v>122</v>
      </c>
      <c r="B170" s="312" t="s">
        <v>970</v>
      </c>
      <c r="C170" s="313" t="s">
        <v>398</v>
      </c>
      <c r="D170" s="359" t="s">
        <v>762</v>
      </c>
      <c r="E170" s="359" t="s">
        <v>971</v>
      </c>
      <c r="F170" s="359" t="s">
        <v>744</v>
      </c>
      <c r="G170" s="314">
        <v>2439479</v>
      </c>
      <c r="H170" s="314">
        <v>0</v>
      </c>
      <c r="I170" s="314">
        <v>2439479</v>
      </c>
      <c r="J170" s="297">
        <v>2568007.27</v>
      </c>
      <c r="K170" s="297">
        <v>0</v>
      </c>
      <c r="L170" s="298">
        <v>0</v>
      </c>
      <c r="M170" s="298">
        <v>0</v>
      </c>
      <c r="N170" s="298">
        <v>0</v>
      </c>
      <c r="O170" s="297">
        <v>0</v>
      </c>
      <c r="P170" s="297">
        <v>0</v>
      </c>
      <c r="Q170" s="297">
        <v>0</v>
      </c>
      <c r="R170" s="297">
        <f t="shared" si="158"/>
        <v>2568007.27</v>
      </c>
      <c r="S170" s="295" t="s">
        <v>972</v>
      </c>
      <c r="T170" s="276">
        <f t="shared" si="160"/>
        <v>-128528.27000000002</v>
      </c>
      <c r="U170" s="353">
        <v>0</v>
      </c>
      <c r="V170" s="316">
        <f t="shared" si="174"/>
        <v>0</v>
      </c>
      <c r="W170" s="349" t="e">
        <f t="shared" si="175"/>
        <v>#DIV/0!</v>
      </c>
      <c r="Y170" s="302">
        <v>0</v>
      </c>
      <c r="Z170" s="302">
        <v>0</v>
      </c>
      <c r="AA170" s="302">
        <v>0</v>
      </c>
      <c r="AB170" s="317" t="e">
        <f t="shared" si="184"/>
        <v>#DIV/0!</v>
      </c>
      <c r="AC170" s="317" t="e">
        <f t="shared" si="185"/>
        <v>#DIV/0!</v>
      </c>
      <c r="AD170" s="318" t="e">
        <f t="shared" si="177"/>
        <v>#DIV/0!</v>
      </c>
      <c r="AF170" s="276">
        <f t="shared" si="159"/>
        <v>0</v>
      </c>
      <c r="AI170" s="302">
        <v>0</v>
      </c>
      <c r="AJ170" s="282">
        <f t="shared" si="187"/>
        <v>0</v>
      </c>
    </row>
    <row r="171" spans="1:37" ht="102">
      <c r="A171" s="361" t="s">
        <v>104</v>
      </c>
      <c r="B171" s="312" t="s">
        <v>973</v>
      </c>
      <c r="C171" s="313" t="s">
        <v>398</v>
      </c>
      <c r="D171" s="362" t="s">
        <v>830</v>
      </c>
      <c r="E171" s="362" t="s">
        <v>974</v>
      </c>
      <c r="F171" s="362" t="s">
        <v>859</v>
      </c>
      <c r="G171" s="327">
        <v>24799799</v>
      </c>
      <c r="H171" s="327">
        <v>11220767</v>
      </c>
      <c r="I171" s="327">
        <v>36020566</v>
      </c>
      <c r="J171" s="297">
        <v>20424429</v>
      </c>
      <c r="K171" s="297">
        <v>1018967</v>
      </c>
      <c r="L171" s="298">
        <v>326166</v>
      </c>
      <c r="M171" s="298">
        <v>0</v>
      </c>
      <c r="N171" s="298">
        <v>0</v>
      </c>
      <c r="O171" s="297">
        <v>2502476</v>
      </c>
      <c r="P171" s="297">
        <v>5004953</v>
      </c>
      <c r="Q171" s="297">
        <v>5004953</v>
      </c>
      <c r="R171" s="297">
        <f t="shared" si="158"/>
        <v>34281944</v>
      </c>
      <c r="S171" s="295" t="s">
        <v>975</v>
      </c>
      <c r="T171" s="276">
        <f t="shared" si="160"/>
        <v>1738622</v>
      </c>
      <c r="U171" s="353">
        <v>621399</v>
      </c>
      <c r="V171" s="316">
        <f t="shared" si="174"/>
        <v>-397568</v>
      </c>
      <c r="W171" s="349">
        <f t="shared" si="175"/>
        <v>1.6397950431204427</v>
      </c>
      <c r="Y171" s="302">
        <v>1388485</v>
      </c>
      <c r="Z171" s="302">
        <v>1388485</v>
      </c>
      <c r="AA171" s="302">
        <v>969063.78</v>
      </c>
      <c r="AB171" s="317">
        <f t="shared" si="184"/>
        <v>0.69792887931810577</v>
      </c>
      <c r="AC171" s="317">
        <f t="shared" si="185"/>
        <v>0.73386964929401466</v>
      </c>
      <c r="AD171" s="318">
        <f t="shared" si="177"/>
        <v>5.0265496517290841E-7</v>
      </c>
      <c r="AF171" s="276">
        <f t="shared" si="159"/>
        <v>369518</v>
      </c>
      <c r="AG171" s="256">
        <v>369518</v>
      </c>
      <c r="AI171" s="302">
        <f>1388485-213824</f>
        <v>1174661</v>
      </c>
      <c r="AJ171" s="282">
        <f t="shared" si="187"/>
        <v>155694</v>
      </c>
      <c r="AK171" s="256">
        <v>155694</v>
      </c>
    </row>
    <row r="172" spans="1:37" ht="204">
      <c r="A172" s="361" t="s">
        <v>150</v>
      </c>
      <c r="B172" s="312" t="s">
        <v>976</v>
      </c>
      <c r="C172" s="313" t="s">
        <v>398</v>
      </c>
      <c r="D172" s="362" t="s">
        <v>830</v>
      </c>
      <c r="E172" s="362" t="s">
        <v>974</v>
      </c>
      <c r="F172" s="362" t="s">
        <v>859</v>
      </c>
      <c r="G172" s="327">
        <v>2139085</v>
      </c>
      <c r="H172" s="314">
        <v>0</v>
      </c>
      <c r="I172" s="327">
        <v>2139085</v>
      </c>
      <c r="J172" s="297">
        <v>1821637.41</v>
      </c>
      <c r="K172" s="297">
        <v>108661</v>
      </c>
      <c r="L172" s="298">
        <v>0</v>
      </c>
      <c r="M172" s="298">
        <v>0</v>
      </c>
      <c r="N172" s="298">
        <v>0</v>
      </c>
      <c r="O172" s="297"/>
      <c r="P172" s="297"/>
      <c r="Q172" s="297"/>
      <c r="R172" s="297">
        <f t="shared" si="158"/>
        <v>1930298.41</v>
      </c>
      <c r="S172" s="295" t="s">
        <v>977</v>
      </c>
      <c r="T172" s="276">
        <f t="shared" si="160"/>
        <v>208786.59000000008</v>
      </c>
      <c r="U172" s="353">
        <v>81557</v>
      </c>
      <c r="V172" s="316">
        <f t="shared" si="174"/>
        <v>-27104</v>
      </c>
      <c r="W172" s="349">
        <f t="shared" si="175"/>
        <v>1.3323319886705003</v>
      </c>
      <c r="Y172" s="302">
        <v>131848</v>
      </c>
      <c r="Z172" s="302">
        <v>131848</v>
      </c>
      <c r="AA172" s="302">
        <v>81557</v>
      </c>
      <c r="AB172" s="317">
        <f t="shared" si="184"/>
        <v>0.61856835143498579</v>
      </c>
      <c r="AC172" s="317">
        <f t="shared" si="185"/>
        <v>0.8241384017960075</v>
      </c>
      <c r="AD172" s="318">
        <f t="shared" si="177"/>
        <v>4.6915262380543181E-6</v>
      </c>
      <c r="AF172" s="276">
        <f t="shared" si="159"/>
        <v>23187</v>
      </c>
      <c r="AG172" s="256">
        <v>23187</v>
      </c>
      <c r="AI172" s="302">
        <v>131848</v>
      </c>
      <c r="AJ172" s="282">
        <f t="shared" si="187"/>
        <v>23187</v>
      </c>
      <c r="AK172" s="256">
        <v>23187</v>
      </c>
    </row>
    <row r="173" spans="1:37" ht="38.25">
      <c r="A173" s="363" t="s">
        <v>520</v>
      </c>
      <c r="B173" s="364" t="s">
        <v>978</v>
      </c>
      <c r="C173" s="292" t="s">
        <v>398</v>
      </c>
      <c r="D173" s="365" t="s">
        <v>813</v>
      </c>
      <c r="E173" s="362" t="s">
        <v>979</v>
      </c>
      <c r="F173" s="365"/>
      <c r="G173" s="321">
        <f>G174+G177+G178</f>
        <v>158825860.71000001</v>
      </c>
      <c r="H173" s="321">
        <f t="shared" ref="H173:Q173" si="209">H174+H177+H178</f>
        <v>10600000</v>
      </c>
      <c r="I173" s="321">
        <f t="shared" si="209"/>
        <v>169425860.71000001</v>
      </c>
      <c r="J173" s="321">
        <f t="shared" si="209"/>
        <v>77630998.909999996</v>
      </c>
      <c r="K173" s="321">
        <f t="shared" si="209"/>
        <v>26830099</v>
      </c>
      <c r="L173" s="321">
        <f t="shared" si="209"/>
        <v>26907917</v>
      </c>
      <c r="M173" s="321">
        <f t="shared" si="209"/>
        <v>15343701</v>
      </c>
      <c r="N173" s="321">
        <f t="shared" si="209"/>
        <v>0</v>
      </c>
      <c r="O173" s="321">
        <f t="shared" si="209"/>
        <v>4383192</v>
      </c>
      <c r="P173" s="321">
        <f t="shared" si="209"/>
        <v>8472635</v>
      </c>
      <c r="Q173" s="321">
        <f t="shared" si="209"/>
        <v>9316709</v>
      </c>
      <c r="R173" s="297">
        <f t="shared" si="158"/>
        <v>168885251.91</v>
      </c>
      <c r="S173" s="295"/>
      <c r="T173" s="276">
        <f t="shared" si="160"/>
        <v>540608.80000001192</v>
      </c>
      <c r="U173" s="344">
        <f>U174+U177+U178</f>
        <v>32056252</v>
      </c>
      <c r="V173" s="277">
        <f t="shared" si="174"/>
        <v>5226153</v>
      </c>
      <c r="W173" s="278">
        <f t="shared" si="175"/>
        <v>0.83696930633063404</v>
      </c>
      <c r="Y173" s="321">
        <f t="shared" ref="Y173:AA173" si="210">Y174+Y177+Y178</f>
        <v>27500867</v>
      </c>
      <c r="Z173" s="321">
        <f t="shared" si="210"/>
        <v>20886195</v>
      </c>
      <c r="AA173" s="321">
        <f t="shared" si="210"/>
        <v>19057987.920000002</v>
      </c>
      <c r="AB173" s="296">
        <f t="shared" si="184"/>
        <v>0.69299589427489694</v>
      </c>
      <c r="AC173" s="296">
        <f t="shared" si="185"/>
        <v>0.97560920533887163</v>
      </c>
      <c r="AD173" s="293">
        <f t="shared" si="177"/>
        <v>3.3179614299057197E-8</v>
      </c>
      <c r="AF173" s="276">
        <f t="shared" si="159"/>
        <v>670768</v>
      </c>
      <c r="AI173" s="321">
        <f t="shared" ref="AI173" si="211">AI174+AI177+AI178</f>
        <v>27500867</v>
      </c>
      <c r="AJ173" s="282">
        <f t="shared" si="187"/>
        <v>670768</v>
      </c>
    </row>
    <row r="174" spans="1:37" ht="38.25">
      <c r="A174" s="361" t="s">
        <v>522</v>
      </c>
      <c r="B174" s="366" t="s">
        <v>980</v>
      </c>
      <c r="C174" s="313" t="s">
        <v>398</v>
      </c>
      <c r="D174" s="362" t="s">
        <v>813</v>
      </c>
      <c r="E174" s="362" t="s">
        <v>979</v>
      </c>
      <c r="F174" s="362"/>
      <c r="G174" s="314">
        <f>G175+G176</f>
        <v>7657701.7799999993</v>
      </c>
      <c r="H174" s="314">
        <f t="shared" ref="H174:Q174" si="212">H175+H176</f>
        <v>0</v>
      </c>
      <c r="I174" s="314">
        <f t="shared" si="212"/>
        <v>7657701.7799999993</v>
      </c>
      <c r="J174" s="314">
        <f t="shared" si="212"/>
        <v>3324395.4199999995</v>
      </c>
      <c r="K174" s="314">
        <f t="shared" si="212"/>
        <v>1168943</v>
      </c>
      <c r="L174" s="314">
        <f t="shared" si="212"/>
        <v>1346088</v>
      </c>
      <c r="M174" s="314">
        <f t="shared" si="212"/>
        <v>0</v>
      </c>
      <c r="N174" s="314">
        <f t="shared" si="212"/>
        <v>0</v>
      </c>
      <c r="O174" s="314">
        <f t="shared" si="212"/>
        <v>560508</v>
      </c>
      <c r="P174" s="314">
        <f t="shared" si="212"/>
        <v>765331</v>
      </c>
      <c r="Q174" s="314">
        <f t="shared" si="212"/>
        <v>0</v>
      </c>
      <c r="R174" s="297">
        <f t="shared" si="158"/>
        <v>7165265.4199999999</v>
      </c>
      <c r="S174" s="295"/>
      <c r="T174" s="276">
        <f t="shared" si="160"/>
        <v>492436.3599999994</v>
      </c>
      <c r="U174" s="347">
        <f>U175+U176</f>
        <v>1839711</v>
      </c>
      <c r="V174" s="316">
        <f t="shared" si="174"/>
        <v>670768</v>
      </c>
      <c r="W174" s="349">
        <f t="shared" si="175"/>
        <v>0.63539490713487068</v>
      </c>
      <c r="Y174" s="314">
        <f t="shared" ref="Y174:AA174" si="213">Y175+Y176</f>
        <v>1839711</v>
      </c>
      <c r="Z174" s="314">
        <f t="shared" si="213"/>
        <v>913671</v>
      </c>
      <c r="AA174" s="314">
        <f t="shared" si="213"/>
        <v>834164.55</v>
      </c>
      <c r="AB174" s="317">
        <f t="shared" si="184"/>
        <v>0.45342151566197086</v>
      </c>
      <c r="AC174" s="317">
        <f t="shared" si="185"/>
        <v>0.63539490713487068</v>
      </c>
      <c r="AD174" s="318">
        <f t="shared" si="177"/>
        <v>4.9626344237911772E-7</v>
      </c>
      <c r="AF174" s="276">
        <f t="shared" si="159"/>
        <v>670768</v>
      </c>
      <c r="AI174" s="314">
        <f t="shared" ref="AI174" si="214">AI175+AI176</f>
        <v>1839711</v>
      </c>
      <c r="AJ174" s="282">
        <f t="shared" si="187"/>
        <v>670768</v>
      </c>
    </row>
    <row r="175" spans="1:37" ht="102">
      <c r="A175" s="361" t="s">
        <v>109</v>
      </c>
      <c r="B175" s="323" t="s">
        <v>981</v>
      </c>
      <c r="C175" s="313" t="s">
        <v>398</v>
      </c>
      <c r="D175" s="362" t="s">
        <v>813</v>
      </c>
      <c r="E175" s="362" t="s">
        <v>979</v>
      </c>
      <c r="F175" s="362" t="s">
        <v>982</v>
      </c>
      <c r="G175" s="314">
        <v>3552899.82</v>
      </c>
      <c r="H175" s="314">
        <v>0</v>
      </c>
      <c r="I175" s="314">
        <v>3552899.82</v>
      </c>
      <c r="J175" s="297">
        <v>57077.86</v>
      </c>
      <c r="K175" s="297">
        <v>500298</v>
      </c>
      <c r="L175" s="298">
        <v>1333838</v>
      </c>
      <c r="M175" s="298">
        <v>0</v>
      </c>
      <c r="N175" s="298">
        <v>0</v>
      </c>
      <c r="O175" s="297">
        <v>560508</v>
      </c>
      <c r="P175" s="297">
        <v>765331</v>
      </c>
      <c r="Q175" s="297">
        <v>0</v>
      </c>
      <c r="R175" s="297">
        <f t="shared" si="158"/>
        <v>3217052.86</v>
      </c>
      <c r="S175" s="295" t="s">
        <v>983</v>
      </c>
      <c r="T175" s="276">
        <f t="shared" si="160"/>
        <v>335846.95999999996</v>
      </c>
      <c r="U175" s="315">
        <v>1112347</v>
      </c>
      <c r="V175" s="316">
        <f t="shared" si="174"/>
        <v>612049</v>
      </c>
      <c r="W175" s="349">
        <f t="shared" si="175"/>
        <v>0.44976792313909236</v>
      </c>
      <c r="Y175" s="302">
        <v>1112347</v>
      </c>
      <c r="Z175" s="302">
        <v>433755</v>
      </c>
      <c r="AA175" s="302">
        <v>358909.38</v>
      </c>
      <c r="AB175" s="317">
        <f t="shared" si="184"/>
        <v>0.32265954778499872</v>
      </c>
      <c r="AC175" s="317">
        <f t="shared" si="185"/>
        <v>0.44976792313909236</v>
      </c>
      <c r="AD175" s="318">
        <f t="shared" si="177"/>
        <v>7.4387510872496852E-7</v>
      </c>
      <c r="AF175" s="276">
        <f t="shared" si="159"/>
        <v>612049</v>
      </c>
      <c r="AG175" s="256">
        <v>612049</v>
      </c>
      <c r="AI175" s="302">
        <v>1112347</v>
      </c>
      <c r="AJ175" s="282">
        <f t="shared" si="187"/>
        <v>612049</v>
      </c>
      <c r="AK175" s="256">
        <v>612049</v>
      </c>
    </row>
    <row r="176" spans="1:37" ht="76.5">
      <c r="A176" s="361" t="s">
        <v>110</v>
      </c>
      <c r="B176" s="323" t="s">
        <v>984</v>
      </c>
      <c r="C176" s="313" t="s">
        <v>398</v>
      </c>
      <c r="D176" s="362" t="s">
        <v>813</v>
      </c>
      <c r="E176" s="362" t="s">
        <v>979</v>
      </c>
      <c r="F176" s="362" t="s">
        <v>985</v>
      </c>
      <c r="G176" s="314">
        <v>4104801.96</v>
      </c>
      <c r="H176" s="314">
        <v>0</v>
      </c>
      <c r="I176" s="314">
        <v>4104801.96</v>
      </c>
      <c r="J176" s="297">
        <v>3267317.5599999996</v>
      </c>
      <c r="K176" s="297">
        <v>668645</v>
      </c>
      <c r="L176" s="298">
        <v>12250</v>
      </c>
      <c r="M176" s="298">
        <v>0</v>
      </c>
      <c r="N176" s="298">
        <v>0</v>
      </c>
      <c r="O176" s="297">
        <v>0</v>
      </c>
      <c r="P176" s="297">
        <v>0</v>
      </c>
      <c r="Q176" s="297">
        <v>0</v>
      </c>
      <c r="R176" s="297">
        <f t="shared" si="158"/>
        <v>3948212.5599999996</v>
      </c>
      <c r="S176" s="295" t="s">
        <v>986</v>
      </c>
      <c r="T176" s="276">
        <f t="shared" si="160"/>
        <v>156589.40000000037</v>
      </c>
      <c r="U176" s="315">
        <v>727364</v>
      </c>
      <c r="V176" s="316">
        <f t="shared" si="174"/>
        <v>58719</v>
      </c>
      <c r="W176" s="349">
        <f t="shared" si="175"/>
        <v>0.91927150642594357</v>
      </c>
      <c r="Y176" s="302">
        <v>727364</v>
      </c>
      <c r="Z176" s="302">
        <v>479916</v>
      </c>
      <c r="AA176" s="302">
        <v>475255.17</v>
      </c>
      <c r="AB176" s="317">
        <f t="shared" si="184"/>
        <v>0.65339385782084347</v>
      </c>
      <c r="AC176" s="317">
        <f t="shared" si="185"/>
        <v>0.91927150642594357</v>
      </c>
      <c r="AD176" s="318">
        <f t="shared" si="177"/>
        <v>1.3614754619992738E-6</v>
      </c>
      <c r="AF176" s="276">
        <f t="shared" si="159"/>
        <v>58719</v>
      </c>
      <c r="AG176" s="256">
        <v>58719</v>
      </c>
      <c r="AI176" s="302">
        <v>727364</v>
      </c>
      <c r="AJ176" s="282">
        <f t="shared" si="187"/>
        <v>58719</v>
      </c>
      <c r="AK176" s="256">
        <v>58719</v>
      </c>
    </row>
    <row r="177" spans="1:37" ht="51">
      <c r="A177" s="361" t="s">
        <v>111</v>
      </c>
      <c r="B177" s="312" t="s">
        <v>987</v>
      </c>
      <c r="C177" s="313" t="s">
        <v>398</v>
      </c>
      <c r="D177" s="362" t="s">
        <v>813</v>
      </c>
      <c r="E177" s="362" t="s">
        <v>979</v>
      </c>
      <c r="F177" s="362" t="s">
        <v>744</v>
      </c>
      <c r="G177" s="314">
        <v>10678405.380000001</v>
      </c>
      <c r="H177" s="314">
        <v>10600000</v>
      </c>
      <c r="I177" s="314">
        <v>21278405.380000003</v>
      </c>
      <c r="J177" s="319">
        <v>3957509</v>
      </c>
      <c r="K177" s="297">
        <v>5758790</v>
      </c>
      <c r="L177" s="298">
        <v>949442</v>
      </c>
      <c r="M177" s="298">
        <v>0</v>
      </c>
      <c r="N177" s="298">
        <v>0</v>
      </c>
      <c r="O177" s="297">
        <v>3822684</v>
      </c>
      <c r="P177" s="297">
        <v>3051005</v>
      </c>
      <c r="Q177" s="297">
        <v>3738975</v>
      </c>
      <c r="R177" s="297">
        <f t="shared" si="158"/>
        <v>21278405</v>
      </c>
      <c r="S177" s="295"/>
      <c r="T177" s="276">
        <f t="shared" si="160"/>
        <v>0.38000000268220901</v>
      </c>
      <c r="U177" s="353">
        <v>5758790</v>
      </c>
      <c r="V177" s="316">
        <f t="shared" si="174"/>
        <v>0</v>
      </c>
      <c r="W177" s="349">
        <f t="shared" si="175"/>
        <v>1</v>
      </c>
      <c r="Y177" s="302">
        <v>5758790</v>
      </c>
      <c r="Z177" s="302">
        <v>4257506</v>
      </c>
      <c r="AA177" s="302">
        <v>3732504.91</v>
      </c>
      <c r="AB177" s="317">
        <f t="shared" si="184"/>
        <v>0.64814047916315753</v>
      </c>
      <c r="AC177" s="317">
        <f t="shared" si="185"/>
        <v>1</v>
      </c>
      <c r="AD177" s="318">
        <f t="shared" si="177"/>
        <v>1.5223477762877082E-7</v>
      </c>
      <c r="AF177" s="276">
        <f t="shared" si="159"/>
        <v>0</v>
      </c>
      <c r="AI177" s="302">
        <v>5758790</v>
      </c>
      <c r="AJ177" s="282">
        <f t="shared" si="187"/>
        <v>0</v>
      </c>
    </row>
    <row r="178" spans="1:37" ht="51">
      <c r="A178" s="361" t="s">
        <v>527</v>
      </c>
      <c r="B178" s="366" t="s">
        <v>988</v>
      </c>
      <c r="C178" s="313" t="s">
        <v>398</v>
      </c>
      <c r="D178" s="362" t="s">
        <v>813</v>
      </c>
      <c r="E178" s="362" t="s">
        <v>979</v>
      </c>
      <c r="F178" s="362"/>
      <c r="G178" s="314">
        <f>G179+G180</f>
        <v>140489753.55000001</v>
      </c>
      <c r="H178" s="314">
        <f t="shared" ref="H178:R178" si="215">H179+H180</f>
        <v>0</v>
      </c>
      <c r="I178" s="314">
        <f t="shared" si="215"/>
        <v>140489753.55000001</v>
      </c>
      <c r="J178" s="314">
        <f t="shared" si="215"/>
        <v>70349094.489999995</v>
      </c>
      <c r="K178" s="314">
        <f t="shared" si="215"/>
        <v>19902366</v>
      </c>
      <c r="L178" s="314">
        <f t="shared" si="215"/>
        <v>24612387</v>
      </c>
      <c r="M178" s="314">
        <f t="shared" si="215"/>
        <v>15343701</v>
      </c>
      <c r="N178" s="314">
        <f t="shared" si="215"/>
        <v>0</v>
      </c>
      <c r="O178" s="314">
        <f t="shared" si="215"/>
        <v>0</v>
      </c>
      <c r="P178" s="314">
        <f t="shared" si="215"/>
        <v>4656299</v>
      </c>
      <c r="Q178" s="314">
        <f t="shared" si="215"/>
        <v>5577734</v>
      </c>
      <c r="R178" s="314">
        <f t="shared" si="215"/>
        <v>140441581.49000001</v>
      </c>
      <c r="S178" s="295"/>
      <c r="T178" s="276">
        <f t="shared" si="160"/>
        <v>48172.060000002384</v>
      </c>
      <c r="U178" s="347">
        <f>U179+U180</f>
        <v>24457751</v>
      </c>
      <c r="V178" s="316">
        <f t="shared" si="174"/>
        <v>4555385</v>
      </c>
      <c r="W178" s="349">
        <f t="shared" si="175"/>
        <v>0.81374473065818687</v>
      </c>
      <c r="Y178" s="314">
        <f t="shared" ref="Y178:AA178" si="216">Y179+Y180</f>
        <v>19902366</v>
      </c>
      <c r="Z178" s="314">
        <f t="shared" si="216"/>
        <v>15715018</v>
      </c>
      <c r="AA178" s="314">
        <f t="shared" si="216"/>
        <v>14491318.460000001</v>
      </c>
      <c r="AB178" s="317">
        <f t="shared" si="184"/>
        <v>0.72812038829956205</v>
      </c>
      <c r="AC178" s="317">
        <f t="shared" si="185"/>
        <v>1</v>
      </c>
      <c r="AD178" s="318">
        <f t="shared" si="177"/>
        <v>4.6332774693580497E-8</v>
      </c>
      <c r="AF178" s="276">
        <f t="shared" si="159"/>
        <v>0</v>
      </c>
      <c r="AI178" s="314">
        <f t="shared" ref="AI178" si="217">AI179+AI180</f>
        <v>19902366</v>
      </c>
      <c r="AJ178" s="282">
        <f t="shared" si="187"/>
        <v>0</v>
      </c>
    </row>
    <row r="179" spans="1:37" ht="38.25">
      <c r="A179" s="361" t="s">
        <v>112</v>
      </c>
      <c r="B179" s="323" t="s">
        <v>989</v>
      </c>
      <c r="C179" s="313" t="s">
        <v>398</v>
      </c>
      <c r="D179" s="362" t="s">
        <v>813</v>
      </c>
      <c r="E179" s="362" t="s">
        <v>979</v>
      </c>
      <c r="F179" s="362" t="s">
        <v>990</v>
      </c>
      <c r="G179" s="314">
        <v>130775408.31</v>
      </c>
      <c r="H179" s="314">
        <v>0</v>
      </c>
      <c r="I179" s="314">
        <v>130775408.31</v>
      </c>
      <c r="J179" s="297">
        <v>60634750.359999999</v>
      </c>
      <c r="K179" s="297">
        <v>19902366</v>
      </c>
      <c r="L179" s="298">
        <v>24612387</v>
      </c>
      <c r="M179" s="298">
        <v>15343701</v>
      </c>
      <c r="N179" s="298">
        <v>0</v>
      </c>
      <c r="O179" s="297">
        <v>0</v>
      </c>
      <c r="P179" s="297">
        <v>4656299</v>
      </c>
      <c r="Q179" s="297">
        <v>5577734</v>
      </c>
      <c r="R179" s="297">
        <f t="shared" si="158"/>
        <v>130727237.36</v>
      </c>
      <c r="S179" s="295" t="s">
        <v>991</v>
      </c>
      <c r="T179" s="276">
        <f t="shared" si="160"/>
        <v>48170.95000000298</v>
      </c>
      <c r="U179" s="367">
        <v>24457751</v>
      </c>
      <c r="V179" s="316">
        <f t="shared" si="174"/>
        <v>4555385</v>
      </c>
      <c r="W179" s="349">
        <f t="shared" si="175"/>
        <v>0.81374473065818687</v>
      </c>
      <c r="Y179" s="302">
        <v>19902366</v>
      </c>
      <c r="Z179" s="302">
        <v>15715018</v>
      </c>
      <c r="AA179" s="302">
        <v>14491318.460000001</v>
      </c>
      <c r="AB179" s="317">
        <f t="shared" si="184"/>
        <v>0.72812038829956205</v>
      </c>
      <c r="AC179" s="317">
        <f t="shared" si="185"/>
        <v>1</v>
      </c>
      <c r="AD179" s="318">
        <f t="shared" si="177"/>
        <v>4.6332774693580497E-8</v>
      </c>
      <c r="AF179" s="276">
        <f t="shared" si="159"/>
        <v>0</v>
      </c>
      <c r="AI179" s="302">
        <v>19902366</v>
      </c>
      <c r="AJ179" s="282">
        <f t="shared" si="187"/>
        <v>0</v>
      </c>
    </row>
    <row r="180" spans="1:37" ht="63.75">
      <c r="A180" s="361" t="s">
        <v>113</v>
      </c>
      <c r="B180" s="323" t="s">
        <v>992</v>
      </c>
      <c r="C180" s="313" t="s">
        <v>398</v>
      </c>
      <c r="D180" s="362" t="s">
        <v>813</v>
      </c>
      <c r="E180" s="362" t="s">
        <v>979</v>
      </c>
      <c r="F180" s="362" t="s">
        <v>990</v>
      </c>
      <c r="G180" s="314">
        <v>9714345.2400000002</v>
      </c>
      <c r="H180" s="314">
        <v>0</v>
      </c>
      <c r="I180" s="314">
        <v>9714345.2400000002</v>
      </c>
      <c r="J180" s="297">
        <v>9714344.129999999</v>
      </c>
      <c r="K180" s="297">
        <v>0</v>
      </c>
      <c r="L180" s="298">
        <v>0</v>
      </c>
      <c r="M180" s="298">
        <v>0</v>
      </c>
      <c r="N180" s="298">
        <v>0</v>
      </c>
      <c r="O180" s="297">
        <v>0</v>
      </c>
      <c r="P180" s="297">
        <v>0</v>
      </c>
      <c r="Q180" s="297">
        <v>0</v>
      </c>
      <c r="R180" s="297">
        <f t="shared" si="158"/>
        <v>9714344.129999999</v>
      </c>
      <c r="S180" s="295"/>
      <c r="T180" s="276">
        <f t="shared" si="160"/>
        <v>1.1100000012665987</v>
      </c>
      <c r="U180" s="353">
        <v>0</v>
      </c>
      <c r="V180" s="316">
        <f t="shared" si="174"/>
        <v>0</v>
      </c>
      <c r="W180" s="349" t="e">
        <f t="shared" si="175"/>
        <v>#DIV/0!</v>
      </c>
      <c r="Y180" s="302">
        <v>0</v>
      </c>
      <c r="Z180" s="302">
        <v>0</v>
      </c>
      <c r="AA180" s="302">
        <v>0</v>
      </c>
      <c r="AB180" s="317" t="e">
        <f t="shared" si="184"/>
        <v>#DIV/0!</v>
      </c>
      <c r="AC180" s="317" t="e">
        <f t="shared" si="185"/>
        <v>#DIV/0!</v>
      </c>
      <c r="AD180" s="318" t="e">
        <f t="shared" si="177"/>
        <v>#DIV/0!</v>
      </c>
      <c r="AF180" s="276">
        <f t="shared" si="159"/>
        <v>0</v>
      </c>
      <c r="AI180" s="302">
        <v>0</v>
      </c>
      <c r="AJ180" s="282">
        <f t="shared" si="187"/>
        <v>0</v>
      </c>
    </row>
    <row r="181" spans="1:37" ht="51">
      <c r="A181" s="363" t="s">
        <v>531</v>
      </c>
      <c r="B181" s="364" t="s">
        <v>993</v>
      </c>
      <c r="C181" s="292" t="s">
        <v>398</v>
      </c>
      <c r="D181" s="365"/>
      <c r="E181" s="365"/>
      <c r="F181" s="365"/>
      <c r="G181" s="321">
        <f>G182+G190</f>
        <v>396123367.43264002</v>
      </c>
      <c r="H181" s="321">
        <f t="shared" ref="H181:Q181" si="218">H182+H190</f>
        <v>33785455</v>
      </c>
      <c r="I181" s="321">
        <f t="shared" si="218"/>
        <v>429908822.61656004</v>
      </c>
      <c r="J181" s="321">
        <f t="shared" si="218"/>
        <v>145135899.13999999</v>
      </c>
      <c r="K181" s="321">
        <f t="shared" si="218"/>
        <v>62434752.519999996</v>
      </c>
      <c r="L181" s="321">
        <f t="shared" si="218"/>
        <v>65199898.600000001</v>
      </c>
      <c r="M181" s="321">
        <f t="shared" si="218"/>
        <v>16134615</v>
      </c>
      <c r="N181" s="321">
        <f t="shared" si="218"/>
        <v>6210685</v>
      </c>
      <c r="O181" s="321">
        <f t="shared" si="218"/>
        <v>30734288.399999999</v>
      </c>
      <c r="P181" s="321">
        <f t="shared" si="218"/>
        <v>70267726</v>
      </c>
      <c r="Q181" s="321">
        <f t="shared" si="218"/>
        <v>28480050</v>
      </c>
      <c r="R181" s="297">
        <f t="shared" si="158"/>
        <v>424597914.65999997</v>
      </c>
      <c r="S181" s="295"/>
      <c r="T181" s="276">
        <f t="shared" si="160"/>
        <v>5310907.9565600753</v>
      </c>
      <c r="U181" s="368">
        <f>U182+U190</f>
        <v>85879894</v>
      </c>
      <c r="V181" s="277">
        <f t="shared" si="174"/>
        <v>23445141.480000004</v>
      </c>
      <c r="W181" s="278">
        <f t="shared" si="175"/>
        <v>0.72700081022456775</v>
      </c>
      <c r="Y181" s="321">
        <f t="shared" ref="Y181:AA181" si="219">Y182+Y190</f>
        <v>77035468</v>
      </c>
      <c r="Z181" s="321">
        <f t="shared" si="219"/>
        <v>49248174</v>
      </c>
      <c r="AA181" s="321">
        <f t="shared" si="219"/>
        <v>46813505.149999991</v>
      </c>
      <c r="AB181" s="296">
        <f t="shared" si="184"/>
        <v>0.60768768419762165</v>
      </c>
      <c r="AC181" s="296">
        <f t="shared" si="185"/>
        <v>0.81046762148572904</v>
      </c>
      <c r="AD181" s="293">
        <f t="shared" si="177"/>
        <v>1.2339293720770675E-8</v>
      </c>
      <c r="AF181" s="276">
        <f t="shared" si="159"/>
        <v>14600715.480000004</v>
      </c>
      <c r="AI181" s="321">
        <f t="shared" ref="AI181" si="220">AI182+AI190</f>
        <v>73130346</v>
      </c>
      <c r="AJ181" s="282">
        <f t="shared" si="187"/>
        <v>10695593.480000004</v>
      </c>
    </row>
    <row r="182" spans="1:37" ht="63.75">
      <c r="A182" s="363" t="s">
        <v>534</v>
      </c>
      <c r="B182" s="364" t="s">
        <v>994</v>
      </c>
      <c r="C182" s="292" t="s">
        <v>398</v>
      </c>
      <c r="D182" s="369" t="s">
        <v>995</v>
      </c>
      <c r="E182" s="369"/>
      <c r="F182" s="369"/>
      <c r="G182" s="321">
        <f>G183+G184+G185+G188+G189</f>
        <v>268239835.86681199</v>
      </c>
      <c r="H182" s="321">
        <f t="shared" ref="H182:Q182" si="221">H183+H184+H185+H188+H189</f>
        <v>21978843</v>
      </c>
      <c r="I182" s="321">
        <f t="shared" si="221"/>
        <v>290218678.86681205</v>
      </c>
      <c r="J182" s="321">
        <f t="shared" si="221"/>
        <v>100407601.08</v>
      </c>
      <c r="K182" s="321">
        <f t="shared" si="221"/>
        <v>47007846.519999996</v>
      </c>
      <c r="L182" s="321">
        <f t="shared" si="221"/>
        <v>48304900</v>
      </c>
      <c r="M182" s="321">
        <f t="shared" si="221"/>
        <v>6576624</v>
      </c>
      <c r="N182" s="321">
        <f t="shared" si="221"/>
        <v>1401799</v>
      </c>
      <c r="O182" s="321">
        <f t="shared" si="221"/>
        <v>16025342</v>
      </c>
      <c r="P182" s="321">
        <f t="shared" si="221"/>
        <v>44933250</v>
      </c>
      <c r="Q182" s="321">
        <f t="shared" si="221"/>
        <v>21909506</v>
      </c>
      <c r="R182" s="297">
        <f t="shared" si="158"/>
        <v>286566868.60000002</v>
      </c>
      <c r="S182" s="295"/>
      <c r="T182" s="276">
        <f t="shared" si="160"/>
        <v>3651810.2668120265</v>
      </c>
      <c r="U182" s="368">
        <f>U183+U184+U185+U188+U189</f>
        <v>57516722</v>
      </c>
      <c r="V182" s="277">
        <f t="shared" si="174"/>
        <v>10508875.480000004</v>
      </c>
      <c r="W182" s="278">
        <f t="shared" si="175"/>
        <v>0.81729008339522535</v>
      </c>
      <c r="Y182" s="321">
        <f t="shared" ref="Y182:AA182" si="222">Y183+Y184+Y185+Y188+Y189</f>
        <v>49729714</v>
      </c>
      <c r="Z182" s="321">
        <f t="shared" si="222"/>
        <v>33917108</v>
      </c>
      <c r="AA182" s="321">
        <f t="shared" si="222"/>
        <v>33907206.239999995</v>
      </c>
      <c r="AB182" s="296">
        <f t="shared" si="184"/>
        <v>0.68182990636141594</v>
      </c>
      <c r="AC182" s="296">
        <f t="shared" si="185"/>
        <v>0.94526677792677427</v>
      </c>
      <c r="AD182" s="293">
        <f t="shared" si="177"/>
        <v>2.0102831478480296E-8</v>
      </c>
      <c r="AF182" s="276">
        <f t="shared" si="159"/>
        <v>2721867.4800000042</v>
      </c>
      <c r="AI182" s="321">
        <f t="shared" ref="AI182" si="223">AI183+AI184+AI185+AI188+AI189</f>
        <v>49729714</v>
      </c>
      <c r="AJ182" s="282">
        <f t="shared" si="187"/>
        <v>2721867.4800000042</v>
      </c>
    </row>
    <row r="183" spans="1:37" ht="51">
      <c r="A183" s="370" t="s">
        <v>90</v>
      </c>
      <c r="B183" s="312" t="s">
        <v>996</v>
      </c>
      <c r="C183" s="313" t="s">
        <v>398</v>
      </c>
      <c r="D183" s="371" t="s">
        <v>995</v>
      </c>
      <c r="E183" s="371" t="s">
        <v>995</v>
      </c>
      <c r="F183" s="371" t="s">
        <v>744</v>
      </c>
      <c r="G183" s="314">
        <v>163711991.217812</v>
      </c>
      <c r="H183" s="314">
        <v>0</v>
      </c>
      <c r="I183" s="314">
        <v>163711991.217812</v>
      </c>
      <c r="J183" s="297">
        <v>55638341.449999996</v>
      </c>
      <c r="K183" s="297">
        <v>28644981</v>
      </c>
      <c r="L183" s="298">
        <v>32561511</v>
      </c>
      <c r="M183" s="298">
        <v>0</v>
      </c>
      <c r="N183" s="298">
        <v>0</v>
      </c>
      <c r="O183" s="297">
        <v>0</v>
      </c>
      <c r="P183" s="297">
        <v>30000000</v>
      </c>
      <c r="Q183" s="297">
        <v>16867158</v>
      </c>
      <c r="R183" s="297">
        <f t="shared" si="158"/>
        <v>163711991.44999999</v>
      </c>
      <c r="S183" s="295"/>
      <c r="T183" s="276">
        <f t="shared" si="160"/>
        <v>-0.23218798637390137</v>
      </c>
      <c r="U183" s="372">
        <v>31005829</v>
      </c>
      <c r="V183" s="316">
        <f t="shared" si="174"/>
        <v>2360848</v>
      </c>
      <c r="W183" s="349">
        <f t="shared" si="175"/>
        <v>0.92385793006856876</v>
      </c>
      <c r="Y183" s="302">
        <v>28856787</v>
      </c>
      <c r="Z183" s="302">
        <v>22486081</v>
      </c>
      <c r="AA183" s="302">
        <v>22486079.77</v>
      </c>
      <c r="AB183" s="317">
        <f t="shared" si="184"/>
        <v>0.77923019530899262</v>
      </c>
      <c r="AC183" s="317">
        <f t="shared" si="185"/>
        <v>0.99266009760546103</v>
      </c>
      <c r="AD183" s="318">
        <f t="shared" si="177"/>
        <v>3.4653890791774369E-8</v>
      </c>
      <c r="AF183" s="276">
        <f t="shared" si="159"/>
        <v>211806</v>
      </c>
      <c r="AI183" s="302">
        <v>28856787</v>
      </c>
      <c r="AJ183" s="282">
        <f t="shared" si="187"/>
        <v>211806</v>
      </c>
    </row>
    <row r="184" spans="1:37" ht="38.25">
      <c r="A184" s="370" t="s">
        <v>91</v>
      </c>
      <c r="B184" s="312" t="s">
        <v>997</v>
      </c>
      <c r="C184" s="313" t="s">
        <v>398</v>
      </c>
      <c r="D184" s="371" t="s">
        <v>995</v>
      </c>
      <c r="E184" s="371" t="s">
        <v>995</v>
      </c>
      <c r="F184" s="371" t="s">
        <v>859</v>
      </c>
      <c r="G184" s="314">
        <v>65417117.899999999</v>
      </c>
      <c r="H184" s="314">
        <v>21978843</v>
      </c>
      <c r="I184" s="314">
        <f>G184+H184</f>
        <v>87395960.900000006</v>
      </c>
      <c r="J184" s="297">
        <v>31182738.370000001</v>
      </c>
      <c r="K184" s="297">
        <v>12273948</v>
      </c>
      <c r="L184" s="298">
        <v>9120375</v>
      </c>
      <c r="M184" s="298">
        <v>3548218</v>
      </c>
      <c r="N184" s="298">
        <v>1069570</v>
      </c>
      <c r="O184" s="297">
        <v>12403207</v>
      </c>
      <c r="P184" s="297">
        <v>13530762</v>
      </c>
      <c r="Q184" s="333">
        <v>4267143</v>
      </c>
      <c r="R184" s="297">
        <f>J184+K184+L184+M184+N184+O184+P184+Q184</f>
        <v>87395961.370000005</v>
      </c>
      <c r="S184" s="295"/>
      <c r="T184" s="276">
        <f t="shared" si="160"/>
        <v>-0.4699999988079071</v>
      </c>
      <c r="U184" s="353">
        <v>12466195</v>
      </c>
      <c r="V184" s="316">
        <f t="shared" si="174"/>
        <v>192247</v>
      </c>
      <c r="W184" s="349">
        <f t="shared" si="175"/>
        <v>0.98457853418785768</v>
      </c>
      <c r="Y184" s="302">
        <v>10578809</v>
      </c>
      <c r="Z184" s="302">
        <v>7288592</v>
      </c>
      <c r="AA184" s="302">
        <v>7288574.1100000003</v>
      </c>
      <c r="AB184" s="317">
        <f t="shared" si="184"/>
        <v>0.68897870355727198</v>
      </c>
      <c r="AC184" s="317">
        <f t="shared" si="185"/>
        <v>1.160239115764355</v>
      </c>
      <c r="AD184" s="318">
        <f t="shared" si="177"/>
        <v>9.4528367558133586E-8</v>
      </c>
      <c r="AF184" s="276">
        <f t="shared" si="159"/>
        <v>-1695139</v>
      </c>
      <c r="AG184" s="256">
        <v>-1695139</v>
      </c>
      <c r="AI184" s="302">
        <v>10578809</v>
      </c>
      <c r="AJ184" s="282">
        <f t="shared" si="187"/>
        <v>-1695139</v>
      </c>
      <c r="AK184" s="256">
        <v>-1695139</v>
      </c>
    </row>
    <row r="185" spans="1:37" ht="51">
      <c r="A185" s="370" t="s">
        <v>539</v>
      </c>
      <c r="B185" s="373" t="s">
        <v>998</v>
      </c>
      <c r="C185" s="313" t="s">
        <v>398</v>
      </c>
      <c r="D185" s="371" t="s">
        <v>995</v>
      </c>
      <c r="E185" s="371" t="s">
        <v>995</v>
      </c>
      <c r="F185" s="371"/>
      <c r="G185" s="314">
        <f>G186+G187</f>
        <v>21581068.199999999</v>
      </c>
      <c r="H185" s="314">
        <f t="shared" ref="H185:Q185" si="224">H186+H187</f>
        <v>0</v>
      </c>
      <c r="I185" s="314">
        <f t="shared" si="224"/>
        <v>21581068.199999999</v>
      </c>
      <c r="J185" s="314">
        <f t="shared" si="224"/>
        <v>6645120.5800000001</v>
      </c>
      <c r="K185" s="314">
        <f t="shared" si="224"/>
        <v>4364648.5199999996</v>
      </c>
      <c r="L185" s="314">
        <f t="shared" si="224"/>
        <v>2019679</v>
      </c>
      <c r="M185" s="314">
        <f t="shared" si="224"/>
        <v>2325602</v>
      </c>
      <c r="N185" s="314">
        <f t="shared" si="224"/>
        <v>332229</v>
      </c>
      <c r="O185" s="314">
        <f t="shared" si="224"/>
        <v>1156195</v>
      </c>
      <c r="P185" s="314">
        <f t="shared" si="224"/>
        <v>402488</v>
      </c>
      <c r="Q185" s="314">
        <f t="shared" si="224"/>
        <v>775205</v>
      </c>
      <c r="R185" s="297">
        <f t="shared" si="158"/>
        <v>18021167.100000001</v>
      </c>
      <c r="S185" s="295"/>
      <c r="T185" s="276">
        <f t="shared" si="160"/>
        <v>3559901.0999999978</v>
      </c>
      <c r="U185" s="347">
        <f>U186+U187</f>
        <v>4820836</v>
      </c>
      <c r="V185" s="316">
        <f t="shared" si="174"/>
        <v>456187.48000000045</v>
      </c>
      <c r="W185" s="349">
        <f t="shared" si="175"/>
        <v>0.90537170731383509</v>
      </c>
      <c r="Y185" s="314">
        <f t="shared" ref="Y185:AA185" si="225">Y186+Y187</f>
        <v>4820836</v>
      </c>
      <c r="Z185" s="314">
        <f t="shared" si="225"/>
        <v>4066460</v>
      </c>
      <c r="AA185" s="314">
        <f t="shared" si="225"/>
        <v>4056580.28</v>
      </c>
      <c r="AB185" s="317">
        <f t="shared" si="184"/>
        <v>0.84146821837540209</v>
      </c>
      <c r="AC185" s="317">
        <f t="shared" si="185"/>
        <v>0.90537170731383509</v>
      </c>
      <c r="AD185" s="318">
        <f t="shared" si="177"/>
        <v>2.0692893041500522E-7</v>
      </c>
      <c r="AF185" s="276">
        <f t="shared" si="159"/>
        <v>456187.48000000045</v>
      </c>
      <c r="AI185" s="314">
        <f t="shared" ref="AI185" si="226">AI186+AI187</f>
        <v>4820836</v>
      </c>
      <c r="AJ185" s="282">
        <f t="shared" si="187"/>
        <v>456187.48000000045</v>
      </c>
    </row>
    <row r="186" spans="1:37" ht="76.5">
      <c r="A186" s="311" t="s">
        <v>92</v>
      </c>
      <c r="B186" s="323" t="s">
        <v>999</v>
      </c>
      <c r="C186" s="313" t="s">
        <v>398</v>
      </c>
      <c r="D186" s="371" t="s">
        <v>995</v>
      </c>
      <c r="E186" s="371" t="s">
        <v>960</v>
      </c>
      <c r="F186" s="371" t="s">
        <v>859</v>
      </c>
      <c r="G186" s="314">
        <v>11902027.199999999</v>
      </c>
      <c r="H186" s="314">
        <v>0</v>
      </c>
      <c r="I186" s="314">
        <v>11902027.199999999</v>
      </c>
      <c r="J186" s="297">
        <v>6645120.5800000001</v>
      </c>
      <c r="K186" s="374">
        <v>2311702.14</v>
      </c>
      <c r="L186" s="298">
        <v>160662</v>
      </c>
      <c r="M186" s="298">
        <v>0</v>
      </c>
      <c r="N186" s="298">
        <v>0</v>
      </c>
      <c r="O186" s="374">
        <v>458719</v>
      </c>
      <c r="P186" s="374">
        <v>0</v>
      </c>
      <c r="Q186" s="374">
        <v>0</v>
      </c>
      <c r="R186" s="297">
        <f t="shared" si="158"/>
        <v>9576203.7200000007</v>
      </c>
      <c r="S186" s="295" t="s">
        <v>1000</v>
      </c>
      <c r="T186" s="276">
        <f t="shared" si="160"/>
        <v>2325823.4799999986</v>
      </c>
      <c r="U186" s="353">
        <v>1689733</v>
      </c>
      <c r="V186" s="316">
        <f t="shared" si="174"/>
        <v>-621969.14000000013</v>
      </c>
      <c r="W186" s="349">
        <f t="shared" si="175"/>
        <v>1.3680872303494103</v>
      </c>
      <c r="Y186" s="302">
        <v>2623603</v>
      </c>
      <c r="Z186" s="302">
        <v>2013510</v>
      </c>
      <c r="AA186" s="302">
        <v>2003633.9</v>
      </c>
      <c r="AB186" s="317">
        <f t="shared" si="184"/>
        <v>0.76369553625300779</v>
      </c>
      <c r="AC186" s="317">
        <f t="shared" si="185"/>
        <v>0.8811173565512771</v>
      </c>
      <c r="AD186" s="318">
        <f t="shared" si="177"/>
        <v>3.7928569326847535E-7</v>
      </c>
      <c r="AF186" s="276">
        <f t="shared" si="159"/>
        <v>311900.85999999987</v>
      </c>
      <c r="AG186" s="256">
        <v>311900.85999999987</v>
      </c>
      <c r="AI186" s="302">
        <v>2623603</v>
      </c>
      <c r="AJ186" s="282">
        <f t="shared" si="187"/>
        <v>311900.85999999987</v>
      </c>
      <c r="AK186" s="256">
        <v>311900.85999999987</v>
      </c>
    </row>
    <row r="187" spans="1:37" ht="153">
      <c r="A187" s="311" t="s">
        <v>93</v>
      </c>
      <c r="B187" s="323" t="s">
        <v>1001</v>
      </c>
      <c r="C187" s="313" t="s">
        <v>398</v>
      </c>
      <c r="D187" s="371" t="s">
        <v>995</v>
      </c>
      <c r="E187" s="371"/>
      <c r="F187" s="371" t="s">
        <v>859</v>
      </c>
      <c r="G187" s="314">
        <v>9679041</v>
      </c>
      <c r="H187" s="314">
        <v>0</v>
      </c>
      <c r="I187" s="314">
        <v>9679041</v>
      </c>
      <c r="J187" s="297">
        <v>0</v>
      </c>
      <c r="K187" s="374">
        <v>2052946.38</v>
      </c>
      <c r="L187" s="298">
        <v>1859017</v>
      </c>
      <c r="M187" s="298">
        <v>2325602</v>
      </c>
      <c r="N187" s="298">
        <v>332229</v>
      </c>
      <c r="O187" s="374">
        <v>697476</v>
      </c>
      <c r="P187" s="374">
        <v>402488</v>
      </c>
      <c r="Q187" s="374">
        <v>775205</v>
      </c>
      <c r="R187" s="297">
        <f t="shared" si="158"/>
        <v>8444963.379999999</v>
      </c>
      <c r="S187" s="295" t="s">
        <v>1002</v>
      </c>
      <c r="T187" s="276">
        <f t="shared" si="160"/>
        <v>1234077.620000001</v>
      </c>
      <c r="U187" s="315">
        <v>3131103</v>
      </c>
      <c r="V187" s="316">
        <f t="shared" si="174"/>
        <v>1078156.6200000001</v>
      </c>
      <c r="W187" s="349">
        <f t="shared" si="175"/>
        <v>0.65566235923890082</v>
      </c>
      <c r="Y187" s="302">
        <v>2197233</v>
      </c>
      <c r="Z187" s="302">
        <v>2052950</v>
      </c>
      <c r="AA187" s="302">
        <v>2052946.38</v>
      </c>
      <c r="AB187" s="317">
        <f t="shared" si="184"/>
        <v>0.93433258102349637</v>
      </c>
      <c r="AC187" s="317">
        <f t="shared" si="185"/>
        <v>0.93433258102349637</v>
      </c>
      <c r="AD187" s="318">
        <f t="shared" si="177"/>
        <v>4.5511706618451322E-7</v>
      </c>
      <c r="AF187" s="276">
        <f t="shared" si="159"/>
        <v>144286.62000000011</v>
      </c>
      <c r="AG187" s="256">
        <v>144286.62000000011</v>
      </c>
      <c r="AI187" s="302">
        <v>2197233</v>
      </c>
      <c r="AJ187" s="282">
        <f t="shared" si="187"/>
        <v>144286.62000000011</v>
      </c>
      <c r="AK187" s="256">
        <v>144286.62000000011</v>
      </c>
    </row>
    <row r="188" spans="1:37" ht="38.25">
      <c r="A188" s="311" t="s">
        <v>94</v>
      </c>
      <c r="B188" s="312" t="s">
        <v>1003</v>
      </c>
      <c r="C188" s="313" t="s">
        <v>398</v>
      </c>
      <c r="D188" s="371" t="s">
        <v>995</v>
      </c>
      <c r="E188" s="371"/>
      <c r="F188" s="371" t="s">
        <v>1004</v>
      </c>
      <c r="G188" s="314">
        <v>3473578.5490000001</v>
      </c>
      <c r="H188" s="314">
        <v>0</v>
      </c>
      <c r="I188" s="314">
        <v>3473578.5490000001</v>
      </c>
      <c r="J188" s="297">
        <v>3381668.29</v>
      </c>
      <c r="K188" s="297">
        <v>0</v>
      </c>
      <c r="L188" s="298">
        <v>0</v>
      </c>
      <c r="M188" s="298">
        <v>0</v>
      </c>
      <c r="N188" s="298">
        <v>0</v>
      </c>
      <c r="O188" s="297">
        <v>0</v>
      </c>
      <c r="P188" s="297">
        <v>0</v>
      </c>
      <c r="Q188" s="297">
        <v>0</v>
      </c>
      <c r="R188" s="297">
        <f t="shared" si="158"/>
        <v>3381668.29</v>
      </c>
      <c r="S188" s="295"/>
      <c r="T188" s="276">
        <f t="shared" si="160"/>
        <v>91910.259000000078</v>
      </c>
      <c r="U188" s="353">
        <v>0</v>
      </c>
      <c r="V188" s="316">
        <f t="shared" si="174"/>
        <v>0</v>
      </c>
      <c r="W188" s="349" t="e">
        <f t="shared" si="175"/>
        <v>#DIV/0!</v>
      </c>
      <c r="Y188" s="302">
        <v>0</v>
      </c>
      <c r="Z188" s="302">
        <v>0</v>
      </c>
      <c r="AA188" s="302">
        <v>0</v>
      </c>
      <c r="AB188" s="317" t="e">
        <f t="shared" si="184"/>
        <v>#DIV/0!</v>
      </c>
      <c r="AC188" s="317" t="e">
        <f t="shared" si="185"/>
        <v>#DIV/0!</v>
      </c>
      <c r="AD188" s="318" t="e">
        <f t="shared" si="177"/>
        <v>#DIV/0!</v>
      </c>
      <c r="AF188" s="276">
        <f t="shared" si="159"/>
        <v>0</v>
      </c>
      <c r="AG188" s="256">
        <v>0</v>
      </c>
      <c r="AI188" s="302">
        <v>0</v>
      </c>
      <c r="AJ188" s="282">
        <f t="shared" si="187"/>
        <v>0</v>
      </c>
      <c r="AK188" s="256">
        <v>0</v>
      </c>
    </row>
    <row r="189" spans="1:37" ht="51">
      <c r="A189" s="311" t="s">
        <v>95</v>
      </c>
      <c r="B189" s="312" t="s">
        <v>1005</v>
      </c>
      <c r="C189" s="313" t="s">
        <v>398</v>
      </c>
      <c r="D189" s="371" t="s">
        <v>995</v>
      </c>
      <c r="E189" s="371" t="s">
        <v>960</v>
      </c>
      <c r="F189" s="371" t="s">
        <v>1006</v>
      </c>
      <c r="G189" s="314">
        <v>14056080</v>
      </c>
      <c r="H189" s="314">
        <v>0</v>
      </c>
      <c r="I189" s="314">
        <v>14056080</v>
      </c>
      <c r="J189" s="297">
        <v>3559732.39</v>
      </c>
      <c r="K189" s="374">
        <v>1724269</v>
      </c>
      <c r="L189" s="298">
        <v>4603335</v>
      </c>
      <c r="M189" s="298">
        <v>702804</v>
      </c>
      <c r="N189" s="298">
        <v>0</v>
      </c>
      <c r="O189" s="374">
        <v>2465940</v>
      </c>
      <c r="P189" s="374">
        <v>1000000</v>
      </c>
      <c r="Q189" s="374">
        <v>0</v>
      </c>
      <c r="R189" s="297">
        <f t="shared" si="158"/>
        <v>14056080.390000001</v>
      </c>
      <c r="S189" s="295"/>
      <c r="T189" s="276">
        <f t="shared" si="160"/>
        <v>-0.39000000059604645</v>
      </c>
      <c r="U189" s="315">
        <v>9223862</v>
      </c>
      <c r="V189" s="316">
        <f t="shared" si="174"/>
        <v>7499593</v>
      </c>
      <c r="W189" s="349">
        <f t="shared" si="175"/>
        <v>0.18693568919396236</v>
      </c>
      <c r="Y189" s="302">
        <v>5473282</v>
      </c>
      <c r="Z189" s="302">
        <v>75975</v>
      </c>
      <c r="AA189" s="302">
        <v>75972.08</v>
      </c>
      <c r="AB189" s="317">
        <f t="shared" si="184"/>
        <v>1.3880534567741987E-2</v>
      </c>
      <c r="AC189" s="317">
        <f t="shared" si="185"/>
        <v>0.3150338316205889</v>
      </c>
      <c r="AD189" s="318">
        <f t="shared" si="177"/>
        <v>1.8269871099364249E-7</v>
      </c>
      <c r="AF189" s="276">
        <f t="shared" si="159"/>
        <v>3749013</v>
      </c>
      <c r="AI189" s="302">
        <v>5473282</v>
      </c>
      <c r="AJ189" s="282">
        <f t="shared" si="187"/>
        <v>3749013</v>
      </c>
    </row>
    <row r="190" spans="1:37" ht="51">
      <c r="A190" s="272" t="s">
        <v>546</v>
      </c>
      <c r="B190" s="310" t="s">
        <v>1007</v>
      </c>
      <c r="C190" s="292" t="s">
        <v>398</v>
      </c>
      <c r="D190" s="292"/>
      <c r="E190" s="292"/>
      <c r="F190" s="292"/>
      <c r="G190" s="321">
        <f>G191+G194+G195+G196</f>
        <v>127883531.56582801</v>
      </c>
      <c r="H190" s="321">
        <f t="shared" ref="H190:Q190" si="227">H191+H194+H195+H196</f>
        <v>11806612</v>
      </c>
      <c r="I190" s="321">
        <f t="shared" si="227"/>
        <v>139690143.74974799</v>
      </c>
      <c r="J190" s="321">
        <f t="shared" si="227"/>
        <v>44728298.060000002</v>
      </c>
      <c r="K190" s="321">
        <f t="shared" si="227"/>
        <v>15426906</v>
      </c>
      <c r="L190" s="321">
        <f t="shared" si="227"/>
        <v>16894998.600000001</v>
      </c>
      <c r="M190" s="321">
        <f t="shared" si="227"/>
        <v>9557991</v>
      </c>
      <c r="N190" s="321">
        <f t="shared" si="227"/>
        <v>4808886</v>
      </c>
      <c r="O190" s="321">
        <f t="shared" si="227"/>
        <v>14708946.4</v>
      </c>
      <c r="P190" s="321">
        <f t="shared" si="227"/>
        <v>25334476</v>
      </c>
      <c r="Q190" s="321">
        <f t="shared" si="227"/>
        <v>6570544</v>
      </c>
      <c r="R190" s="297">
        <f t="shared" si="158"/>
        <v>138031046.06</v>
      </c>
      <c r="S190" s="295"/>
      <c r="T190" s="276">
        <f t="shared" si="160"/>
        <v>1659097.6897479892</v>
      </c>
      <c r="U190" s="344">
        <f>U191+U194+U195+U196</f>
        <v>28363172</v>
      </c>
      <c r="V190" s="277">
        <f t="shared" si="174"/>
        <v>12936266</v>
      </c>
      <c r="W190" s="278">
        <f t="shared" si="175"/>
        <v>0.54390623164433094</v>
      </c>
      <c r="Y190" s="321">
        <f t="shared" ref="Y190:AA190" si="228">Y191+Y194+Y195+Y196</f>
        <v>27305754</v>
      </c>
      <c r="Z190" s="321">
        <f t="shared" si="228"/>
        <v>15331066</v>
      </c>
      <c r="AA190" s="321">
        <f t="shared" si="228"/>
        <v>12906298.91</v>
      </c>
      <c r="AB190" s="296">
        <f t="shared" si="184"/>
        <v>0.47265857994619009</v>
      </c>
      <c r="AC190" s="296">
        <f t="shared" si="185"/>
        <v>0.56496905377525919</v>
      </c>
      <c r="AD190" s="293">
        <f t="shared" si="177"/>
        <v>3.0830118397911147E-8</v>
      </c>
      <c r="AF190" s="276">
        <f t="shared" si="159"/>
        <v>11878848</v>
      </c>
      <c r="AI190" s="321">
        <f t="shared" ref="AI190" si="229">AI191+AI194+AI195+AI196</f>
        <v>23400632</v>
      </c>
      <c r="AJ190" s="282">
        <f t="shared" si="187"/>
        <v>7973726</v>
      </c>
    </row>
    <row r="191" spans="1:37" ht="76.5">
      <c r="A191" s="311" t="s">
        <v>548</v>
      </c>
      <c r="B191" s="312" t="s">
        <v>1008</v>
      </c>
      <c r="C191" s="313" t="s">
        <v>398</v>
      </c>
      <c r="D191" s="313"/>
      <c r="E191" s="313"/>
      <c r="F191" s="313"/>
      <c r="G191" s="314">
        <f>G192+G193</f>
        <v>109144798.45582801</v>
      </c>
      <c r="H191" s="314">
        <f t="shared" ref="H191:I191" si="230">H192+H193</f>
        <v>11806612</v>
      </c>
      <c r="I191" s="314">
        <f t="shared" si="230"/>
        <v>120951410.63974801</v>
      </c>
      <c r="J191" s="314">
        <f>J192+J193</f>
        <v>44728298.060000002</v>
      </c>
      <c r="K191" s="314">
        <f t="shared" ref="K191:Q191" si="231">K192+K193</f>
        <v>15426906</v>
      </c>
      <c r="L191" s="314">
        <f t="shared" si="231"/>
        <v>12189523.6</v>
      </c>
      <c r="M191" s="314">
        <f t="shared" si="231"/>
        <v>2238815</v>
      </c>
      <c r="N191" s="314">
        <f t="shared" si="231"/>
        <v>794622</v>
      </c>
      <c r="O191" s="314">
        <f t="shared" si="231"/>
        <v>14071446.4</v>
      </c>
      <c r="P191" s="314">
        <f t="shared" si="231"/>
        <v>23421976</v>
      </c>
      <c r="Q191" s="314">
        <f t="shared" si="231"/>
        <v>6420726</v>
      </c>
      <c r="R191" s="297">
        <f t="shared" si="158"/>
        <v>119292313.06</v>
      </c>
      <c r="S191" s="295"/>
      <c r="T191" s="276">
        <f t="shared" si="160"/>
        <v>1659097.5797480047</v>
      </c>
      <c r="U191" s="347">
        <f>U192+U193</f>
        <v>28363172</v>
      </c>
      <c r="V191" s="316">
        <f t="shared" si="174"/>
        <v>12936266</v>
      </c>
      <c r="W191" s="349">
        <f t="shared" si="175"/>
        <v>0.54390623164433094</v>
      </c>
      <c r="Y191" s="314">
        <f t="shared" ref="Y191:AA191" si="232">Y192+Y193</f>
        <v>27155934</v>
      </c>
      <c r="Z191" s="314">
        <f t="shared" si="232"/>
        <v>15331066</v>
      </c>
      <c r="AA191" s="314">
        <f t="shared" si="232"/>
        <v>12906298.91</v>
      </c>
      <c r="AB191" s="317">
        <f t="shared" si="184"/>
        <v>0.47526624972648707</v>
      </c>
      <c r="AC191" s="317">
        <f t="shared" si="185"/>
        <v>0.56808600286036925</v>
      </c>
      <c r="AD191" s="318">
        <f t="shared" si="177"/>
        <v>3.1000208969584182E-8</v>
      </c>
      <c r="AF191" s="276">
        <f t="shared" si="159"/>
        <v>11729028</v>
      </c>
      <c r="AI191" s="314">
        <f t="shared" ref="AI191" si="233">AI192+AI193</f>
        <v>23250812</v>
      </c>
      <c r="AJ191" s="282">
        <f t="shared" si="187"/>
        <v>7823906</v>
      </c>
    </row>
    <row r="192" spans="1:37" ht="140.25">
      <c r="A192" s="311" t="s">
        <v>105</v>
      </c>
      <c r="B192" s="323" t="s">
        <v>1009</v>
      </c>
      <c r="C192" s="313" t="s">
        <v>398</v>
      </c>
      <c r="D192" s="313" t="s">
        <v>830</v>
      </c>
      <c r="E192" s="313" t="s">
        <v>1010</v>
      </c>
      <c r="F192" s="313" t="s">
        <v>1011</v>
      </c>
      <c r="G192" s="314">
        <v>96944797.816080004</v>
      </c>
      <c r="H192" s="314">
        <v>11806612</v>
      </c>
      <c r="I192" s="314">
        <v>108751410</v>
      </c>
      <c r="J192" s="297">
        <v>35409740.060000002</v>
      </c>
      <c r="K192" s="297">
        <v>14262630</v>
      </c>
      <c r="L192" s="298">
        <v>11937090.6</v>
      </c>
      <c r="M192" s="298">
        <v>2238815</v>
      </c>
      <c r="N192" s="298">
        <v>794622</v>
      </c>
      <c r="O192" s="297">
        <v>13565809.4</v>
      </c>
      <c r="P192" s="297">
        <v>23421976</v>
      </c>
      <c r="Q192" s="297">
        <v>6420726</v>
      </c>
      <c r="R192" s="297">
        <f t="shared" si="158"/>
        <v>108051409.06</v>
      </c>
      <c r="S192" s="295" t="s">
        <v>1012</v>
      </c>
      <c r="T192" s="276">
        <f t="shared" si="160"/>
        <v>700000.93999999762</v>
      </c>
      <c r="U192" s="353">
        <v>27869608</v>
      </c>
      <c r="V192" s="316">
        <f t="shared" si="174"/>
        <v>13606978</v>
      </c>
      <c r="W192" s="349">
        <f t="shared" si="175"/>
        <v>0.51176284933752925</v>
      </c>
      <c r="Y192" s="302">
        <v>26222519</v>
      </c>
      <c r="Z192" s="302">
        <v>14434200</v>
      </c>
      <c r="AA192" s="302">
        <v>12151300.24</v>
      </c>
      <c r="AB192" s="317">
        <f t="shared" si="184"/>
        <v>0.46339179847672146</v>
      </c>
      <c r="AC192" s="317">
        <f t="shared" si="185"/>
        <v>0.54390770009547895</v>
      </c>
      <c r="AD192" s="318">
        <f t="shared" si="177"/>
        <v>3.2103739623721539E-8</v>
      </c>
      <c r="AF192" s="276">
        <f t="shared" si="159"/>
        <v>11959889</v>
      </c>
      <c r="AI192" s="302">
        <f>26222519-3878611-24424</f>
        <v>22319484</v>
      </c>
      <c r="AJ192" s="282">
        <f t="shared" si="187"/>
        <v>8056854</v>
      </c>
    </row>
    <row r="193" spans="1:37" ht="38.25">
      <c r="A193" s="311" t="s">
        <v>88</v>
      </c>
      <c r="B193" s="323" t="s">
        <v>1013</v>
      </c>
      <c r="C193" s="313" t="s">
        <v>398</v>
      </c>
      <c r="D193" s="313" t="s">
        <v>290</v>
      </c>
      <c r="E193" s="313" t="s">
        <v>1014</v>
      </c>
      <c r="F193" s="313" t="s">
        <v>1015</v>
      </c>
      <c r="G193" s="314">
        <v>12200000.639748</v>
      </c>
      <c r="H193" s="314">
        <v>0</v>
      </c>
      <c r="I193" s="314">
        <v>12200000.639748</v>
      </c>
      <c r="J193" s="319">
        <v>9318558</v>
      </c>
      <c r="K193" s="297">
        <v>1164276</v>
      </c>
      <c r="L193" s="298">
        <v>252433</v>
      </c>
      <c r="M193" s="298">
        <v>0</v>
      </c>
      <c r="N193" s="298">
        <v>0</v>
      </c>
      <c r="O193" s="297">
        <v>505637</v>
      </c>
      <c r="P193" s="297">
        <v>0</v>
      </c>
      <c r="Q193" s="297">
        <v>0</v>
      </c>
      <c r="R193" s="297">
        <f t="shared" si="158"/>
        <v>11240904</v>
      </c>
      <c r="S193" s="295" t="s">
        <v>1016</v>
      </c>
      <c r="T193" s="276">
        <f t="shared" si="160"/>
        <v>959096.63974799961</v>
      </c>
      <c r="U193" s="367">
        <v>493564</v>
      </c>
      <c r="V193" s="316">
        <f t="shared" si="174"/>
        <v>-670712</v>
      </c>
      <c r="W193" s="349">
        <f t="shared" si="175"/>
        <v>2.3589159663184511</v>
      </c>
      <c r="Y193" s="302">
        <v>933415</v>
      </c>
      <c r="Z193" s="302">
        <v>896866</v>
      </c>
      <c r="AA193" s="302">
        <v>754998.67</v>
      </c>
      <c r="AB193" s="317">
        <f t="shared" si="184"/>
        <v>0.8088563714960656</v>
      </c>
      <c r="AC193" s="317">
        <f t="shared" si="185"/>
        <v>1.2473294301034374</v>
      </c>
      <c r="AD193" s="318">
        <f t="shared" si="177"/>
        <v>9.0186981276585974E-7</v>
      </c>
      <c r="AF193" s="276">
        <f t="shared" si="159"/>
        <v>-230861</v>
      </c>
      <c r="AG193" s="256">
        <v>-230861</v>
      </c>
      <c r="AI193" s="302">
        <f>933415-2087</f>
        <v>931328</v>
      </c>
      <c r="AJ193" s="282">
        <f t="shared" si="187"/>
        <v>-232948</v>
      </c>
      <c r="AK193" s="256">
        <v>-232948</v>
      </c>
    </row>
    <row r="194" spans="1:37" ht="38.25">
      <c r="A194" s="311" t="s">
        <v>106</v>
      </c>
      <c r="B194" s="312" t="s">
        <v>1017</v>
      </c>
      <c r="C194" s="313" t="s">
        <v>398</v>
      </c>
      <c r="D194" s="313" t="s">
        <v>830</v>
      </c>
      <c r="E194" s="313" t="s">
        <v>974</v>
      </c>
      <c r="F194" s="313" t="s">
        <v>1018</v>
      </c>
      <c r="G194" s="327">
        <v>2550000</v>
      </c>
      <c r="H194" s="314">
        <v>0</v>
      </c>
      <c r="I194" s="327">
        <v>2550000</v>
      </c>
      <c r="J194" s="297">
        <v>0</v>
      </c>
      <c r="K194" s="297">
        <v>0</v>
      </c>
      <c r="L194" s="298">
        <v>0</v>
      </c>
      <c r="M194" s="298">
        <v>0</v>
      </c>
      <c r="N194" s="298">
        <v>0</v>
      </c>
      <c r="O194" s="297">
        <v>637500</v>
      </c>
      <c r="P194" s="297">
        <v>1912500</v>
      </c>
      <c r="Q194" s="297">
        <v>0</v>
      </c>
      <c r="R194" s="297">
        <f t="shared" si="158"/>
        <v>2550000</v>
      </c>
      <c r="S194" s="295"/>
      <c r="T194" s="276">
        <f t="shared" si="160"/>
        <v>0</v>
      </c>
      <c r="U194" s="315">
        <v>0</v>
      </c>
      <c r="V194" s="316">
        <f t="shared" si="174"/>
        <v>0</v>
      </c>
      <c r="W194" s="349" t="e">
        <f t="shared" si="175"/>
        <v>#DIV/0!</v>
      </c>
      <c r="Y194" s="302">
        <v>0</v>
      </c>
      <c r="Z194" s="302">
        <v>0</v>
      </c>
      <c r="AA194" s="302">
        <v>0</v>
      </c>
      <c r="AB194" s="317" t="e">
        <f t="shared" si="184"/>
        <v>#DIV/0!</v>
      </c>
      <c r="AC194" s="317" t="e">
        <f t="shared" si="185"/>
        <v>#DIV/0!</v>
      </c>
      <c r="AD194" s="318" t="e">
        <f t="shared" si="177"/>
        <v>#DIV/0!</v>
      </c>
      <c r="AF194" s="276">
        <f t="shared" si="159"/>
        <v>0</v>
      </c>
      <c r="AI194" s="302">
        <v>0</v>
      </c>
      <c r="AJ194" s="282">
        <f t="shared" si="187"/>
        <v>0</v>
      </c>
    </row>
    <row r="195" spans="1:37" ht="127.5">
      <c r="A195" s="311" t="s">
        <v>96</v>
      </c>
      <c r="B195" s="312" t="s">
        <v>1019</v>
      </c>
      <c r="C195" s="313" t="s">
        <v>398</v>
      </c>
      <c r="D195" s="313" t="s">
        <v>995</v>
      </c>
      <c r="E195" s="313" t="s">
        <v>995</v>
      </c>
      <c r="F195" s="313" t="s">
        <v>1020</v>
      </c>
      <c r="G195" s="314">
        <v>16188733.109999999</v>
      </c>
      <c r="H195" s="314">
        <v>0</v>
      </c>
      <c r="I195" s="314">
        <v>16188733.109999999</v>
      </c>
      <c r="J195" s="297">
        <v>0</v>
      </c>
      <c r="K195" s="297">
        <v>0</v>
      </c>
      <c r="L195" s="298">
        <v>4705475</v>
      </c>
      <c r="M195" s="298">
        <v>7319176</v>
      </c>
      <c r="N195" s="298">
        <v>4014264</v>
      </c>
      <c r="O195" s="297">
        <v>0</v>
      </c>
      <c r="P195" s="297">
        <v>0</v>
      </c>
      <c r="Q195" s="297">
        <v>149818</v>
      </c>
      <c r="R195" s="297">
        <f t="shared" si="158"/>
        <v>16188733</v>
      </c>
      <c r="S195" s="295"/>
      <c r="T195" s="276">
        <f t="shared" si="160"/>
        <v>0.10999999940395355</v>
      </c>
      <c r="U195" s="315">
        <v>0</v>
      </c>
      <c r="V195" s="316">
        <f t="shared" si="174"/>
        <v>0</v>
      </c>
      <c r="W195" s="349" t="e">
        <f t="shared" si="175"/>
        <v>#DIV/0!</v>
      </c>
      <c r="Y195" s="302">
        <v>149820</v>
      </c>
      <c r="Z195" s="302">
        <v>0</v>
      </c>
      <c r="AA195" s="302">
        <v>0</v>
      </c>
      <c r="AB195" s="317">
        <f t="shared" si="184"/>
        <v>0</v>
      </c>
      <c r="AC195" s="317">
        <f t="shared" si="185"/>
        <v>0</v>
      </c>
      <c r="AD195" s="318" t="e">
        <f t="shared" si="177"/>
        <v>#DIV/0!</v>
      </c>
      <c r="AF195" s="276">
        <f t="shared" si="159"/>
        <v>149820</v>
      </c>
      <c r="AI195" s="302">
        <v>149820</v>
      </c>
      <c r="AJ195" s="282">
        <f t="shared" si="187"/>
        <v>149820</v>
      </c>
    </row>
    <row r="196" spans="1:37" ht="127.5">
      <c r="A196" s="311" t="s">
        <v>554</v>
      </c>
      <c r="B196" s="312" t="s">
        <v>1021</v>
      </c>
      <c r="C196" s="313" t="s">
        <v>398</v>
      </c>
      <c r="D196" s="313" t="s">
        <v>995</v>
      </c>
      <c r="E196" s="313" t="s">
        <v>995</v>
      </c>
      <c r="F196" s="313"/>
      <c r="G196" s="314">
        <f>G197+G198</f>
        <v>0</v>
      </c>
      <c r="H196" s="314">
        <f t="shared" ref="H196:Q196" si="234">H197+H198</f>
        <v>0</v>
      </c>
      <c r="I196" s="314">
        <f t="shared" si="234"/>
        <v>0</v>
      </c>
      <c r="J196" s="314">
        <f t="shared" si="234"/>
        <v>0</v>
      </c>
      <c r="K196" s="314">
        <f t="shared" si="234"/>
        <v>0</v>
      </c>
      <c r="L196" s="314">
        <f t="shared" si="234"/>
        <v>0</v>
      </c>
      <c r="M196" s="314">
        <f t="shared" si="234"/>
        <v>0</v>
      </c>
      <c r="N196" s="314">
        <f t="shared" si="234"/>
        <v>0</v>
      </c>
      <c r="O196" s="314">
        <f t="shared" si="234"/>
        <v>0</v>
      </c>
      <c r="P196" s="314">
        <f t="shared" si="234"/>
        <v>0</v>
      </c>
      <c r="Q196" s="314">
        <f t="shared" si="234"/>
        <v>0</v>
      </c>
      <c r="R196" s="297">
        <f t="shared" si="158"/>
        <v>0</v>
      </c>
      <c r="S196" s="295"/>
      <c r="T196" s="276">
        <f t="shared" si="160"/>
        <v>0</v>
      </c>
      <c r="U196" s="315">
        <f>U197+U198</f>
        <v>0</v>
      </c>
      <c r="V196" s="316">
        <f t="shared" si="174"/>
        <v>0</v>
      </c>
      <c r="W196" s="349" t="e">
        <f t="shared" si="175"/>
        <v>#DIV/0!</v>
      </c>
      <c r="Y196" s="314">
        <f t="shared" ref="Y196:AA196" si="235">Y197+Y198</f>
        <v>0</v>
      </c>
      <c r="Z196" s="314">
        <f t="shared" si="235"/>
        <v>0</v>
      </c>
      <c r="AA196" s="314">
        <f t="shared" si="235"/>
        <v>0</v>
      </c>
      <c r="AB196" s="317" t="e">
        <f t="shared" si="184"/>
        <v>#DIV/0!</v>
      </c>
      <c r="AC196" s="317" t="e">
        <f t="shared" si="185"/>
        <v>#DIV/0!</v>
      </c>
      <c r="AD196" s="318" t="e">
        <f t="shared" si="177"/>
        <v>#DIV/0!</v>
      </c>
      <c r="AF196" s="276">
        <f t="shared" si="159"/>
        <v>0</v>
      </c>
      <c r="AI196" s="314">
        <f t="shared" ref="AI196" si="236">AI197+AI198</f>
        <v>0</v>
      </c>
      <c r="AJ196" s="282">
        <f t="shared" si="187"/>
        <v>0</v>
      </c>
    </row>
    <row r="197" spans="1:37" ht="89.25">
      <c r="A197" s="311" t="s">
        <v>97</v>
      </c>
      <c r="B197" s="323" t="s">
        <v>1022</v>
      </c>
      <c r="C197" s="313" t="s">
        <v>398</v>
      </c>
      <c r="D197" s="313" t="s">
        <v>995</v>
      </c>
      <c r="E197" s="313" t="s">
        <v>995</v>
      </c>
      <c r="F197" s="313" t="s">
        <v>786</v>
      </c>
      <c r="G197" s="314">
        <v>0</v>
      </c>
      <c r="H197" s="314">
        <v>0</v>
      </c>
      <c r="I197" s="314">
        <v>0</v>
      </c>
      <c r="J197" s="297">
        <v>0</v>
      </c>
      <c r="K197" s="297">
        <v>0</v>
      </c>
      <c r="L197" s="298">
        <v>0</v>
      </c>
      <c r="M197" s="298">
        <v>0</v>
      </c>
      <c r="N197" s="298">
        <v>0</v>
      </c>
      <c r="O197" s="297">
        <v>0</v>
      </c>
      <c r="P197" s="297">
        <v>0</v>
      </c>
      <c r="Q197" s="297">
        <v>0</v>
      </c>
      <c r="R197" s="297">
        <f t="shared" si="158"/>
        <v>0</v>
      </c>
      <c r="S197" s="295"/>
      <c r="T197" s="276">
        <f t="shared" si="160"/>
        <v>0</v>
      </c>
      <c r="U197" s="315">
        <v>0</v>
      </c>
      <c r="V197" s="316">
        <f t="shared" si="174"/>
        <v>0</v>
      </c>
      <c r="W197" s="349" t="e">
        <f t="shared" si="175"/>
        <v>#DIV/0!</v>
      </c>
      <c r="Y197" s="302">
        <v>0</v>
      </c>
      <c r="Z197" s="302">
        <v>0</v>
      </c>
      <c r="AA197" s="302">
        <v>0</v>
      </c>
      <c r="AB197" s="317" t="e">
        <f t="shared" si="184"/>
        <v>#DIV/0!</v>
      </c>
      <c r="AC197" s="317" t="e">
        <f t="shared" si="185"/>
        <v>#DIV/0!</v>
      </c>
      <c r="AD197" s="318" t="e">
        <f t="shared" si="177"/>
        <v>#DIV/0!</v>
      </c>
      <c r="AF197" s="276">
        <f t="shared" si="159"/>
        <v>0</v>
      </c>
      <c r="AI197" s="302">
        <v>0</v>
      </c>
      <c r="AJ197" s="282">
        <f t="shared" si="187"/>
        <v>0</v>
      </c>
    </row>
    <row r="198" spans="1:37" ht="51">
      <c r="A198" s="311" t="s">
        <v>98</v>
      </c>
      <c r="B198" s="323" t="s">
        <v>1023</v>
      </c>
      <c r="C198" s="313" t="s">
        <v>398</v>
      </c>
      <c r="D198" s="313" t="s">
        <v>995</v>
      </c>
      <c r="E198" s="313" t="s">
        <v>995</v>
      </c>
      <c r="F198" s="313" t="s">
        <v>786</v>
      </c>
      <c r="G198" s="314">
        <v>0</v>
      </c>
      <c r="H198" s="314">
        <v>0</v>
      </c>
      <c r="I198" s="314">
        <v>0</v>
      </c>
      <c r="J198" s="297">
        <v>0</v>
      </c>
      <c r="K198" s="297">
        <v>0</v>
      </c>
      <c r="L198" s="298">
        <v>0</v>
      </c>
      <c r="M198" s="298">
        <v>0</v>
      </c>
      <c r="N198" s="298">
        <v>0</v>
      </c>
      <c r="O198" s="297">
        <v>0</v>
      </c>
      <c r="P198" s="297">
        <v>0</v>
      </c>
      <c r="Q198" s="297">
        <v>0</v>
      </c>
      <c r="R198" s="297">
        <f t="shared" si="158"/>
        <v>0</v>
      </c>
      <c r="S198" s="295"/>
      <c r="T198" s="276">
        <f t="shared" si="160"/>
        <v>0</v>
      </c>
      <c r="U198" s="315">
        <v>0</v>
      </c>
      <c r="V198" s="316">
        <f t="shared" si="174"/>
        <v>0</v>
      </c>
      <c r="W198" s="349" t="e">
        <f t="shared" si="175"/>
        <v>#DIV/0!</v>
      </c>
      <c r="Y198" s="302">
        <v>0</v>
      </c>
      <c r="Z198" s="302">
        <v>0</v>
      </c>
      <c r="AA198" s="302">
        <v>0</v>
      </c>
      <c r="AB198" s="317" t="e">
        <f t="shared" si="184"/>
        <v>#DIV/0!</v>
      </c>
      <c r="AC198" s="317" t="e">
        <f t="shared" si="185"/>
        <v>#DIV/0!</v>
      </c>
      <c r="AD198" s="318" t="e">
        <f t="shared" si="177"/>
        <v>#DIV/0!</v>
      </c>
      <c r="AF198" s="276">
        <f t="shared" si="159"/>
        <v>0</v>
      </c>
      <c r="AI198" s="302">
        <v>0</v>
      </c>
      <c r="AJ198" s="282">
        <f t="shared" si="187"/>
        <v>0</v>
      </c>
    </row>
    <row r="199" spans="1:37" ht="102">
      <c r="A199" s="272" t="s">
        <v>558</v>
      </c>
      <c r="B199" s="310" t="s">
        <v>1024</v>
      </c>
      <c r="C199" s="292" t="s">
        <v>931</v>
      </c>
      <c r="D199" s="292" t="s">
        <v>995</v>
      </c>
      <c r="E199" s="292"/>
      <c r="F199" s="292"/>
      <c r="G199" s="321">
        <f>G200+G207</f>
        <v>651027786.54999995</v>
      </c>
      <c r="H199" s="321">
        <f t="shared" ref="H199:Q199" si="237">H200+H207</f>
        <v>35044118</v>
      </c>
      <c r="I199" s="321">
        <f t="shared" si="237"/>
        <v>686071904.54999995</v>
      </c>
      <c r="J199" s="321">
        <f t="shared" si="237"/>
        <v>233832749.59</v>
      </c>
      <c r="K199" s="321">
        <f t="shared" si="237"/>
        <v>60594264</v>
      </c>
      <c r="L199" s="321">
        <f t="shared" si="237"/>
        <v>116506251</v>
      </c>
      <c r="M199" s="321">
        <f t="shared" si="237"/>
        <v>73003412</v>
      </c>
      <c r="N199" s="321">
        <f t="shared" si="237"/>
        <v>28568614</v>
      </c>
      <c r="O199" s="321">
        <f t="shared" si="237"/>
        <v>3423957</v>
      </c>
      <c r="P199" s="321">
        <f t="shared" si="237"/>
        <v>81674464.450000003</v>
      </c>
      <c r="Q199" s="321">
        <f t="shared" si="237"/>
        <v>90779759.469999999</v>
      </c>
      <c r="R199" s="297">
        <f t="shared" ref="R199:R254" si="238">J199+K199+L199+M199+N199+O199+P199+Q199</f>
        <v>688383471.51000011</v>
      </c>
      <c r="S199" s="295"/>
      <c r="T199" s="276">
        <f t="shared" si="160"/>
        <v>-2311566.9600001574</v>
      </c>
      <c r="U199" s="277">
        <f>U200+U207</f>
        <v>130628518</v>
      </c>
      <c r="V199" s="277">
        <f t="shared" si="174"/>
        <v>70034254</v>
      </c>
      <c r="W199" s="278">
        <f t="shared" si="175"/>
        <v>0.46386704012059604</v>
      </c>
      <c r="Y199" s="321">
        <f t="shared" ref="Y199:AA199" si="239">Y200+Y207</f>
        <v>98462382</v>
      </c>
      <c r="Z199" s="321">
        <f t="shared" si="239"/>
        <v>65568291</v>
      </c>
      <c r="AA199" s="321">
        <f t="shared" si="239"/>
        <v>65568281.890000001</v>
      </c>
      <c r="AB199" s="296">
        <f t="shared" si="184"/>
        <v>0.66592215786532571</v>
      </c>
      <c r="AC199" s="296">
        <f t="shared" si="185"/>
        <v>0.6154052214580793</v>
      </c>
      <c r="AD199" s="293">
        <f t="shared" si="177"/>
        <v>1.0156161579159135E-8</v>
      </c>
      <c r="AF199" s="276">
        <f t="shared" ref="AF199:AF254" si="240">Y199-K199</f>
        <v>37868118</v>
      </c>
      <c r="AI199" s="321">
        <f t="shared" ref="AI199" si="241">AI200+AI207</f>
        <v>100773951</v>
      </c>
      <c r="AJ199" s="282">
        <f t="shared" si="187"/>
        <v>40179687</v>
      </c>
    </row>
    <row r="200" spans="1:37" ht="89.25">
      <c r="A200" s="272" t="s">
        <v>560</v>
      </c>
      <c r="B200" s="310" t="s">
        <v>1025</v>
      </c>
      <c r="C200" s="292" t="s">
        <v>931</v>
      </c>
      <c r="D200" s="292" t="s">
        <v>995</v>
      </c>
      <c r="E200" s="292"/>
      <c r="F200" s="292"/>
      <c r="G200" s="321">
        <f>G201+G202+G203+G204+G205+G206</f>
        <v>550948496.54999995</v>
      </c>
      <c r="H200" s="321">
        <f t="shared" ref="H200:Q200" si="242">H201+H202+H203+H204+H205+H206</f>
        <v>35044118</v>
      </c>
      <c r="I200" s="321">
        <f t="shared" si="242"/>
        <v>585992614.54999995</v>
      </c>
      <c r="J200" s="321">
        <f t="shared" si="242"/>
        <v>211557913.59</v>
      </c>
      <c r="K200" s="321">
        <f t="shared" si="242"/>
        <v>82869100</v>
      </c>
      <c r="L200" s="321">
        <f t="shared" si="242"/>
        <v>116506251</v>
      </c>
      <c r="M200" s="321">
        <f t="shared" si="242"/>
        <v>73003412</v>
      </c>
      <c r="N200" s="321">
        <f t="shared" si="242"/>
        <v>28568614</v>
      </c>
      <c r="O200" s="321">
        <f t="shared" si="242"/>
        <v>3423957</v>
      </c>
      <c r="P200" s="321">
        <f t="shared" si="242"/>
        <v>51650677.450000003</v>
      </c>
      <c r="Q200" s="321">
        <f t="shared" si="242"/>
        <v>20724256.469999999</v>
      </c>
      <c r="R200" s="297">
        <f t="shared" si="238"/>
        <v>588304181.51000011</v>
      </c>
      <c r="S200" s="295"/>
      <c r="T200" s="276">
        <f t="shared" ref="T200:T254" si="243">I200-R200</f>
        <v>-2311566.9600001574</v>
      </c>
      <c r="U200" s="375">
        <f>U201+U202+U203+U204+U205+U206</f>
        <v>128979855</v>
      </c>
      <c r="V200" s="339">
        <f t="shared" si="174"/>
        <v>46110755</v>
      </c>
      <c r="W200" s="278">
        <f t="shared" si="175"/>
        <v>0.64249645807091349</v>
      </c>
      <c r="Y200" s="321">
        <f t="shared" ref="Y200:AA200" si="244">Y201+Y202+Y203+Y204+Y205+Y206</f>
        <v>98462382</v>
      </c>
      <c r="Z200" s="321">
        <f t="shared" si="244"/>
        <v>65568291</v>
      </c>
      <c r="AA200" s="321">
        <f t="shared" si="244"/>
        <v>65568281.890000001</v>
      </c>
      <c r="AB200" s="322">
        <f t="shared" si="184"/>
        <v>0.66592215786532571</v>
      </c>
      <c r="AC200" s="296">
        <f t="shared" si="185"/>
        <v>0.84163208645510934</v>
      </c>
      <c r="AD200" s="273">
        <f t="shared" si="177"/>
        <v>1.0156161579159135E-8</v>
      </c>
      <c r="AF200" s="276">
        <f t="shared" si="240"/>
        <v>15593282</v>
      </c>
      <c r="AI200" s="321">
        <f t="shared" ref="AI200" si="245">AI201+AI202+AI203+AI204+AI205+AI206</f>
        <v>100773951</v>
      </c>
      <c r="AJ200" s="282">
        <f t="shared" si="187"/>
        <v>17904851</v>
      </c>
    </row>
    <row r="201" spans="1:37" ht="41.25">
      <c r="A201" s="311" t="s">
        <v>127</v>
      </c>
      <c r="B201" s="312" t="s">
        <v>1026</v>
      </c>
      <c r="C201" s="313" t="s">
        <v>931</v>
      </c>
      <c r="D201" s="313" t="s">
        <v>995</v>
      </c>
      <c r="E201" s="313" t="s">
        <v>995</v>
      </c>
      <c r="F201" s="313" t="s">
        <v>786</v>
      </c>
      <c r="G201" s="314">
        <v>254987851.5</v>
      </c>
      <c r="H201" s="314">
        <v>35044118</v>
      </c>
      <c r="I201" s="314">
        <f>G201+H201</f>
        <v>290031969.5</v>
      </c>
      <c r="J201" s="297">
        <v>114160908.06999999</v>
      </c>
      <c r="K201" s="374">
        <v>54926609</v>
      </c>
      <c r="L201" s="298">
        <v>55659048</v>
      </c>
      <c r="M201" s="298">
        <v>15249320</v>
      </c>
      <c r="N201" s="298">
        <v>1839429</v>
      </c>
      <c r="O201" s="374">
        <v>0</v>
      </c>
      <c r="P201" s="374">
        <v>41140923</v>
      </c>
      <c r="Q201" s="376">
        <v>7055732</v>
      </c>
      <c r="R201" s="297">
        <f t="shared" si="238"/>
        <v>290031969.06999999</v>
      </c>
      <c r="S201" s="295"/>
      <c r="T201" s="276">
        <f>I201-R201</f>
        <v>0.43000000715255737</v>
      </c>
      <c r="U201" s="377">
        <v>62026786</v>
      </c>
      <c r="V201" s="316">
        <f t="shared" si="174"/>
        <v>7100177</v>
      </c>
      <c r="W201" s="349">
        <f t="shared" si="175"/>
        <v>0.88553047065827339</v>
      </c>
      <c r="Y201" s="302">
        <v>48577508</v>
      </c>
      <c r="Z201" s="302">
        <v>48404348</v>
      </c>
      <c r="AA201" s="302">
        <v>48404342.93</v>
      </c>
      <c r="AB201" s="317">
        <f t="shared" si="184"/>
        <v>0.99643528297087613</v>
      </c>
      <c r="AC201" s="317">
        <f t="shared" si="185"/>
        <v>1.1307004262137119</v>
      </c>
      <c r="AD201" s="318">
        <f t="shared" si="177"/>
        <v>2.0585656540004964E-8</v>
      </c>
      <c r="AF201" s="276">
        <f t="shared" si="240"/>
        <v>-6349101</v>
      </c>
      <c r="AI201" s="302">
        <v>48577508</v>
      </c>
      <c r="AJ201" s="282">
        <f t="shared" si="187"/>
        <v>-6349101</v>
      </c>
    </row>
    <row r="202" spans="1:37" ht="114.75">
      <c r="A202" s="311" t="s">
        <v>128</v>
      </c>
      <c r="B202" s="312" t="s">
        <v>1027</v>
      </c>
      <c r="C202" s="313" t="s">
        <v>931</v>
      </c>
      <c r="D202" s="313" t="s">
        <v>995</v>
      </c>
      <c r="E202" s="313" t="s">
        <v>995</v>
      </c>
      <c r="F202" s="313" t="s">
        <v>796</v>
      </c>
      <c r="G202" s="314">
        <v>96531521.650000006</v>
      </c>
      <c r="H202" s="314">
        <v>0</v>
      </c>
      <c r="I202" s="314">
        <v>96531521.650000006</v>
      </c>
      <c r="J202" s="297">
        <v>35761039.530000001</v>
      </c>
      <c r="K202" s="374">
        <v>14896157</v>
      </c>
      <c r="L202" s="298">
        <v>19540584</v>
      </c>
      <c r="M202" s="298">
        <v>11422032</v>
      </c>
      <c r="N202" s="298">
        <v>11300935</v>
      </c>
      <c r="O202" s="374">
        <v>0</v>
      </c>
      <c r="P202" s="374">
        <v>3610774</v>
      </c>
      <c r="Q202" s="374">
        <v>0</v>
      </c>
      <c r="R202" s="297">
        <f t="shared" si="238"/>
        <v>96531521.530000001</v>
      </c>
      <c r="S202" s="295"/>
      <c r="T202" s="276">
        <f t="shared" si="243"/>
        <v>0.12000000476837158</v>
      </c>
      <c r="U202" s="367">
        <v>20883043</v>
      </c>
      <c r="V202" s="316">
        <f t="shared" si="174"/>
        <v>5986886</v>
      </c>
      <c r="W202" s="349">
        <f t="shared" si="175"/>
        <v>0.71331352427900474</v>
      </c>
      <c r="Y202" s="302">
        <v>17498803</v>
      </c>
      <c r="Z202" s="302">
        <v>11077535</v>
      </c>
      <c r="AA202" s="302">
        <v>11077533.789999999</v>
      </c>
      <c r="AB202" s="317">
        <f t="shared" si="184"/>
        <v>0.63304523115095357</v>
      </c>
      <c r="AC202" s="317">
        <f t="shared" si="185"/>
        <v>0.8512671981049218</v>
      </c>
      <c r="AD202" s="318">
        <f t="shared" si="177"/>
        <v>5.7146759739504644E-8</v>
      </c>
      <c r="AF202" s="276">
        <f t="shared" si="240"/>
        <v>2602646</v>
      </c>
      <c r="AI202" s="302">
        <v>17498803</v>
      </c>
      <c r="AJ202" s="282">
        <f t="shared" si="187"/>
        <v>2602646</v>
      </c>
    </row>
    <row r="203" spans="1:37" ht="63.75">
      <c r="A203" s="311" t="s">
        <v>129</v>
      </c>
      <c r="B203" s="312" t="s">
        <v>1028</v>
      </c>
      <c r="C203" s="313" t="s">
        <v>931</v>
      </c>
      <c r="D203" s="313" t="s">
        <v>995</v>
      </c>
      <c r="E203" s="313" t="s">
        <v>995</v>
      </c>
      <c r="F203" s="313" t="s">
        <v>1029</v>
      </c>
      <c r="G203" s="314">
        <v>118878926.92999999</v>
      </c>
      <c r="H203" s="314">
        <v>0</v>
      </c>
      <c r="I203" s="314">
        <v>118878926.92999999</v>
      </c>
      <c r="J203" s="297">
        <v>43075956.149999999</v>
      </c>
      <c r="K203" s="374">
        <v>7580435</v>
      </c>
      <c r="L203" s="298">
        <v>26828829</v>
      </c>
      <c r="M203" s="298">
        <v>20633308</v>
      </c>
      <c r="N203" s="298">
        <v>4926019</v>
      </c>
      <c r="O203" s="374">
        <v>0</v>
      </c>
      <c r="P203" s="374">
        <v>4750314</v>
      </c>
      <c r="Q203" s="374">
        <v>11084066</v>
      </c>
      <c r="R203" s="297">
        <f t="shared" si="238"/>
        <v>118878927.15000001</v>
      </c>
      <c r="S203" s="295"/>
      <c r="T203" s="276">
        <f t="shared" si="243"/>
        <v>-0.2200000137090683</v>
      </c>
      <c r="U203" s="367">
        <v>30614334</v>
      </c>
      <c r="V203" s="316">
        <f t="shared" si="174"/>
        <v>23033899</v>
      </c>
      <c r="W203" s="349">
        <f t="shared" si="175"/>
        <v>0.24761064539244917</v>
      </c>
      <c r="Y203" s="302">
        <v>29231740</v>
      </c>
      <c r="Z203" s="302">
        <v>4923045</v>
      </c>
      <c r="AA203" s="302">
        <v>4923043.87</v>
      </c>
      <c r="AB203" s="317">
        <f t="shared" si="184"/>
        <v>0.16841432873992448</v>
      </c>
      <c r="AC203" s="317">
        <f t="shared" si="185"/>
        <v>0.25932205883057252</v>
      </c>
      <c r="AD203" s="318">
        <f t="shared" si="177"/>
        <v>3.4209382351760847E-8</v>
      </c>
      <c r="AF203" s="276">
        <f t="shared" si="240"/>
        <v>21651305</v>
      </c>
      <c r="AG203" s="256">
        <v>21651305</v>
      </c>
      <c r="AI203" s="302">
        <v>29231740</v>
      </c>
      <c r="AJ203" s="282">
        <f t="shared" si="187"/>
        <v>21651305</v>
      </c>
      <c r="AK203" s="256">
        <v>21651305</v>
      </c>
    </row>
    <row r="204" spans="1:37" ht="38.25">
      <c r="A204" s="311" t="s">
        <v>130</v>
      </c>
      <c r="B204" s="312" t="s">
        <v>1030</v>
      </c>
      <c r="C204" s="313" t="s">
        <v>931</v>
      </c>
      <c r="D204" s="313" t="s">
        <v>995</v>
      </c>
      <c r="E204" s="313" t="s">
        <v>995</v>
      </c>
      <c r="F204" s="313" t="s">
        <v>1031</v>
      </c>
      <c r="G204" s="314">
        <v>45423588</v>
      </c>
      <c r="H204" s="314">
        <v>0</v>
      </c>
      <c r="I204" s="314">
        <v>45423588</v>
      </c>
      <c r="J204" s="297">
        <v>148141.29</v>
      </c>
      <c r="K204" s="374">
        <v>2241879</v>
      </c>
      <c r="L204" s="298">
        <v>9668676</v>
      </c>
      <c r="M204" s="298">
        <v>21271087</v>
      </c>
      <c r="N204" s="298">
        <v>7734941</v>
      </c>
      <c r="O204" s="374">
        <v>4358864</v>
      </c>
      <c r="P204" s="374">
        <v>0</v>
      </c>
      <c r="Q204" s="374">
        <v>0</v>
      </c>
      <c r="R204" s="297">
        <f t="shared" si="238"/>
        <v>45423588.289999999</v>
      </c>
      <c r="S204" s="295"/>
      <c r="T204" s="276">
        <f t="shared" si="243"/>
        <v>-0.28999999910593033</v>
      </c>
      <c r="U204" s="336">
        <v>12545402</v>
      </c>
      <c r="V204" s="316">
        <f t="shared" si="174"/>
        <v>10303523</v>
      </c>
      <c r="W204" s="349">
        <f t="shared" si="175"/>
        <v>0.17870124847334506</v>
      </c>
      <c r="Y204" s="302">
        <v>2241879</v>
      </c>
      <c r="Z204" s="302">
        <v>250911</v>
      </c>
      <c r="AA204" s="302">
        <v>250909.67</v>
      </c>
      <c r="AB204" s="317">
        <f t="shared" si="184"/>
        <v>0.11191936317704926</v>
      </c>
      <c r="AC204" s="317">
        <f t="shared" si="185"/>
        <v>1</v>
      </c>
      <c r="AD204" s="318">
        <f t="shared" si="177"/>
        <v>4.4605203907779753E-7</v>
      </c>
      <c r="AF204" s="276">
        <f t="shared" si="240"/>
        <v>0</v>
      </c>
      <c r="AI204" s="302">
        <v>2241879</v>
      </c>
      <c r="AJ204" s="282">
        <f t="shared" si="187"/>
        <v>0</v>
      </c>
    </row>
    <row r="205" spans="1:37" ht="51">
      <c r="A205" s="311" t="s">
        <v>131</v>
      </c>
      <c r="B205" s="312" t="s">
        <v>1032</v>
      </c>
      <c r="C205" s="313" t="s">
        <v>931</v>
      </c>
      <c r="D205" s="313" t="s">
        <v>995</v>
      </c>
      <c r="E205" s="313" t="s">
        <v>995</v>
      </c>
      <c r="F205" s="313" t="s">
        <v>1033</v>
      </c>
      <c r="G205" s="314">
        <v>24057445.469999999</v>
      </c>
      <c r="H205" s="314">
        <v>0</v>
      </c>
      <c r="I205" s="314">
        <v>24057445.469999999</v>
      </c>
      <c r="J205" s="297">
        <v>18411868.550000001</v>
      </c>
      <c r="K205" s="374">
        <v>912452</v>
      </c>
      <c r="L205" s="298">
        <v>934907</v>
      </c>
      <c r="M205" s="298">
        <v>0</v>
      </c>
      <c r="N205" s="298">
        <v>0</v>
      </c>
      <c r="O205" s="374">
        <v>-934907</v>
      </c>
      <c r="P205" s="374">
        <v>2148666.4499999993</v>
      </c>
      <c r="Q205" s="374">
        <v>2584458.4699999988</v>
      </c>
      <c r="R205" s="297">
        <f t="shared" si="238"/>
        <v>24057445.469999999</v>
      </c>
      <c r="S205" s="295"/>
      <c r="T205" s="276">
        <f t="shared" si="243"/>
        <v>0</v>
      </c>
      <c r="U205" s="353">
        <v>2910290</v>
      </c>
      <c r="V205" s="316">
        <f t="shared" si="174"/>
        <v>1997838</v>
      </c>
      <c r="W205" s="349">
        <f t="shared" si="175"/>
        <v>0.31352614344274971</v>
      </c>
      <c r="Y205" s="302">
        <v>912452</v>
      </c>
      <c r="Z205" s="302">
        <v>912452</v>
      </c>
      <c r="AA205" s="302">
        <v>912451.63</v>
      </c>
      <c r="AB205" s="317">
        <f t="shared" si="184"/>
        <v>0.99999959449921749</v>
      </c>
      <c r="AC205" s="317">
        <f t="shared" si="185"/>
        <v>1</v>
      </c>
      <c r="AD205" s="318">
        <f t="shared" si="177"/>
        <v>1.095947616421705E-6</v>
      </c>
      <c r="AF205" s="276">
        <f t="shared" si="240"/>
        <v>0</v>
      </c>
      <c r="AG205" s="256">
        <v>0</v>
      </c>
      <c r="AI205" s="302">
        <v>912452</v>
      </c>
      <c r="AJ205" s="282">
        <f t="shared" si="187"/>
        <v>0</v>
      </c>
      <c r="AK205" s="256">
        <v>0</v>
      </c>
    </row>
    <row r="206" spans="1:37" ht="127.5">
      <c r="A206" s="311" t="s">
        <v>139</v>
      </c>
      <c r="B206" s="312" t="s">
        <v>1034</v>
      </c>
      <c r="C206" s="313" t="s">
        <v>931</v>
      </c>
      <c r="D206" s="313" t="s">
        <v>830</v>
      </c>
      <c r="E206" s="313"/>
      <c r="F206" s="313"/>
      <c r="G206" s="314">
        <v>11069163</v>
      </c>
      <c r="H206" s="314">
        <v>0</v>
      </c>
      <c r="I206" s="314">
        <v>11069163</v>
      </c>
      <c r="J206" s="297">
        <v>0</v>
      </c>
      <c r="K206" s="374">
        <v>2311568</v>
      </c>
      <c r="L206" s="298">
        <v>3874207</v>
      </c>
      <c r="M206" s="298">
        <v>4427665</v>
      </c>
      <c r="N206" s="298">
        <v>2767290</v>
      </c>
      <c r="O206" s="374">
        <v>0</v>
      </c>
      <c r="P206" s="374">
        <v>0</v>
      </c>
      <c r="Q206" s="374">
        <v>0</v>
      </c>
      <c r="R206" s="297">
        <f t="shared" si="238"/>
        <v>13380730</v>
      </c>
      <c r="S206" s="295" t="s">
        <v>1035</v>
      </c>
      <c r="T206" s="276">
        <f t="shared" si="243"/>
        <v>-2311567</v>
      </c>
      <c r="U206" s="353">
        <v>0</v>
      </c>
      <c r="V206" s="316">
        <f t="shared" si="174"/>
        <v>-2311568</v>
      </c>
      <c r="W206" s="349" t="e">
        <f t="shared" si="175"/>
        <v>#DIV/0!</v>
      </c>
      <c r="Y206" s="302">
        <v>0</v>
      </c>
      <c r="Z206" s="302">
        <v>0</v>
      </c>
      <c r="AA206" s="302">
        <v>0</v>
      </c>
      <c r="AB206" s="317" t="e">
        <f t="shared" si="184"/>
        <v>#DIV/0!</v>
      </c>
      <c r="AC206" s="317" t="e">
        <f t="shared" si="185"/>
        <v>#DIV/0!</v>
      </c>
      <c r="AD206" s="318" t="e">
        <f t="shared" si="177"/>
        <v>#DIV/0!</v>
      </c>
      <c r="AF206" s="276">
        <f t="shared" si="240"/>
        <v>-2311568</v>
      </c>
      <c r="AI206" s="302">
        <f>0+2213833+97736</f>
        <v>2311569</v>
      </c>
      <c r="AJ206" s="282">
        <f t="shared" si="187"/>
        <v>1</v>
      </c>
    </row>
    <row r="207" spans="1:37" ht="63.75">
      <c r="A207" s="272" t="s">
        <v>568</v>
      </c>
      <c r="B207" s="310" t="s">
        <v>1036</v>
      </c>
      <c r="C207" s="292" t="s">
        <v>931</v>
      </c>
      <c r="D207" s="292" t="s">
        <v>995</v>
      </c>
      <c r="E207" s="292"/>
      <c r="F207" s="292"/>
      <c r="G207" s="321">
        <f>G208</f>
        <v>100079290</v>
      </c>
      <c r="H207" s="321">
        <f t="shared" ref="H207:Q207" si="246">H208</f>
        <v>0</v>
      </c>
      <c r="I207" s="321">
        <f t="shared" si="246"/>
        <v>100079290</v>
      </c>
      <c r="J207" s="321">
        <f t="shared" si="246"/>
        <v>22274836</v>
      </c>
      <c r="K207" s="321">
        <f t="shared" si="246"/>
        <v>-22274836</v>
      </c>
      <c r="L207" s="321">
        <f t="shared" si="246"/>
        <v>0</v>
      </c>
      <c r="M207" s="321">
        <f t="shared" si="246"/>
        <v>0</v>
      </c>
      <c r="N207" s="321">
        <f t="shared" si="246"/>
        <v>0</v>
      </c>
      <c r="O207" s="321">
        <f t="shared" si="246"/>
        <v>0</v>
      </c>
      <c r="P207" s="321">
        <f t="shared" si="246"/>
        <v>30023787</v>
      </c>
      <c r="Q207" s="321">
        <f t="shared" si="246"/>
        <v>70055503</v>
      </c>
      <c r="R207" s="297">
        <f t="shared" si="238"/>
        <v>100079290</v>
      </c>
      <c r="S207" s="295"/>
      <c r="T207" s="276">
        <f t="shared" si="243"/>
        <v>0</v>
      </c>
      <c r="U207" s="277">
        <f>U208</f>
        <v>1648663</v>
      </c>
      <c r="V207" s="339">
        <f t="shared" si="174"/>
        <v>23923499</v>
      </c>
      <c r="W207" s="350">
        <f t="shared" si="175"/>
        <v>-13.510848487532018</v>
      </c>
      <c r="Y207" s="321">
        <f t="shared" ref="Y207:AA207" si="247">Y208</f>
        <v>0</v>
      </c>
      <c r="Z207" s="321">
        <f t="shared" si="247"/>
        <v>0</v>
      </c>
      <c r="AA207" s="321">
        <f t="shared" si="247"/>
        <v>0</v>
      </c>
      <c r="AB207" s="322" t="e">
        <f t="shared" si="184"/>
        <v>#DIV/0!</v>
      </c>
      <c r="AC207" s="322" t="e">
        <f t="shared" si="185"/>
        <v>#DIV/0!</v>
      </c>
      <c r="AD207" s="273" t="e">
        <f t="shared" si="177"/>
        <v>#DIV/0!</v>
      </c>
      <c r="AF207" s="276">
        <f t="shared" si="240"/>
        <v>22274836</v>
      </c>
      <c r="AI207" s="321">
        <f t="shared" ref="AI207" si="248">AI208</f>
        <v>0</v>
      </c>
      <c r="AJ207" s="282">
        <f t="shared" si="187"/>
        <v>22274836</v>
      </c>
    </row>
    <row r="208" spans="1:37" ht="51">
      <c r="A208" s="311" t="s">
        <v>132</v>
      </c>
      <c r="B208" s="312" t="s">
        <v>1037</v>
      </c>
      <c r="C208" s="313" t="s">
        <v>1038</v>
      </c>
      <c r="D208" s="313" t="s">
        <v>995</v>
      </c>
      <c r="E208" s="313" t="s">
        <v>995</v>
      </c>
      <c r="F208" s="313" t="s">
        <v>796</v>
      </c>
      <c r="G208" s="314">
        <v>100079290</v>
      </c>
      <c r="H208" s="314">
        <v>0</v>
      </c>
      <c r="I208" s="314">
        <v>100079290</v>
      </c>
      <c r="J208" s="297">
        <v>22274836</v>
      </c>
      <c r="K208" s="374">
        <v>-22274836</v>
      </c>
      <c r="L208" s="298">
        <v>0</v>
      </c>
      <c r="M208" s="298">
        <v>0</v>
      </c>
      <c r="N208" s="298">
        <v>0</v>
      </c>
      <c r="O208" s="374">
        <v>0</v>
      </c>
      <c r="P208" s="334">
        <v>30023787</v>
      </c>
      <c r="Q208" s="334">
        <v>70055503</v>
      </c>
      <c r="R208" s="297">
        <f t="shared" si="238"/>
        <v>100079290</v>
      </c>
      <c r="S208" s="295" t="s">
        <v>1039</v>
      </c>
      <c r="T208" s="276">
        <f t="shared" si="243"/>
        <v>0</v>
      </c>
      <c r="U208" s="315">
        <v>1648663</v>
      </c>
      <c r="V208" s="316">
        <f t="shared" si="174"/>
        <v>23923499</v>
      </c>
      <c r="W208" s="349">
        <f t="shared" si="175"/>
        <v>-13.510848487532018</v>
      </c>
      <c r="Y208" s="302">
        <v>0</v>
      </c>
      <c r="Z208" s="302">
        <v>0</v>
      </c>
      <c r="AA208" s="302">
        <v>0</v>
      </c>
      <c r="AB208" s="317" t="e">
        <f t="shared" si="184"/>
        <v>#DIV/0!</v>
      </c>
      <c r="AC208" s="317" t="e">
        <f t="shared" si="185"/>
        <v>#DIV/0!</v>
      </c>
      <c r="AD208" s="318" t="e">
        <f t="shared" si="177"/>
        <v>#DIV/0!</v>
      </c>
      <c r="AF208" s="276">
        <f t="shared" si="240"/>
        <v>22274836</v>
      </c>
      <c r="AI208" s="302">
        <v>0</v>
      </c>
      <c r="AJ208" s="282">
        <f t="shared" si="187"/>
        <v>22274836</v>
      </c>
    </row>
    <row r="209" spans="1:37" ht="63.75">
      <c r="A209" s="272" t="s">
        <v>572</v>
      </c>
      <c r="B209" s="310" t="s">
        <v>1040</v>
      </c>
      <c r="C209" s="292" t="s">
        <v>398</v>
      </c>
      <c r="D209" s="292"/>
      <c r="E209" s="292"/>
      <c r="F209" s="292"/>
      <c r="G209" s="321">
        <f>G210+G219+G225+G229</f>
        <v>246581121.53999999</v>
      </c>
      <c r="H209" s="321">
        <f t="shared" ref="H209:Q209" si="249">H210+H219+H225+H229</f>
        <v>27000000</v>
      </c>
      <c r="I209" s="321">
        <f t="shared" si="249"/>
        <v>273581121.53999996</v>
      </c>
      <c r="J209" s="321">
        <f t="shared" si="249"/>
        <v>62614395.289999999</v>
      </c>
      <c r="K209" s="321">
        <f t="shared" si="249"/>
        <v>37529333</v>
      </c>
      <c r="L209" s="321">
        <f t="shared" si="249"/>
        <v>30652245</v>
      </c>
      <c r="M209" s="321">
        <f t="shared" si="249"/>
        <v>9498188</v>
      </c>
      <c r="N209" s="321">
        <f t="shared" si="249"/>
        <v>2182566</v>
      </c>
      <c r="O209" s="321">
        <f t="shared" si="249"/>
        <v>14757248</v>
      </c>
      <c r="P209" s="321">
        <f t="shared" si="249"/>
        <v>47025029</v>
      </c>
      <c r="Q209" s="321">
        <f t="shared" si="249"/>
        <v>51113176</v>
      </c>
      <c r="R209" s="297">
        <f t="shared" si="238"/>
        <v>255372180.28999999</v>
      </c>
      <c r="S209" s="295"/>
      <c r="T209" s="276">
        <f t="shared" si="243"/>
        <v>18208941.24999997</v>
      </c>
      <c r="U209" s="344">
        <f>U210+U219+U225+U229</f>
        <v>40651982</v>
      </c>
      <c r="V209" s="277">
        <f t="shared" si="174"/>
        <v>3122649</v>
      </c>
      <c r="W209" s="278">
        <f t="shared" si="175"/>
        <v>0.92318581170285863</v>
      </c>
      <c r="Y209" s="321">
        <f t="shared" ref="Y209:AA209" si="250">Y210+Y219+Y225+Y229</f>
        <v>43450515</v>
      </c>
      <c r="Z209" s="321">
        <f t="shared" si="250"/>
        <v>28355498</v>
      </c>
      <c r="AA209" s="321">
        <f t="shared" si="250"/>
        <v>27171560.699999999</v>
      </c>
      <c r="AB209" s="296">
        <f t="shared" si="184"/>
        <v>0.62534496311493659</v>
      </c>
      <c r="AC209" s="296">
        <f t="shared" si="185"/>
        <v>0.86372584996978752</v>
      </c>
      <c r="AD209" s="293">
        <f t="shared" si="177"/>
        <v>2.2053746441516796E-8</v>
      </c>
      <c r="AF209" s="276">
        <f t="shared" si="240"/>
        <v>5921182</v>
      </c>
      <c r="AI209" s="321">
        <f t="shared" ref="AI209" si="251">AI210+AI219+AI225+AI229</f>
        <v>40399981</v>
      </c>
      <c r="AJ209" s="282">
        <f t="shared" si="187"/>
        <v>2870648</v>
      </c>
    </row>
    <row r="210" spans="1:37" ht="25.5">
      <c r="A210" s="272" t="s">
        <v>574</v>
      </c>
      <c r="B210" s="310" t="s">
        <v>1041</v>
      </c>
      <c r="C210" s="292" t="s">
        <v>398</v>
      </c>
      <c r="D210" s="292" t="s">
        <v>830</v>
      </c>
      <c r="E210" s="292"/>
      <c r="F210" s="292"/>
      <c r="G210" s="321">
        <f>G211+G212+G213+G214+G215+G218</f>
        <v>149005250</v>
      </c>
      <c r="H210" s="321">
        <f t="shared" ref="H210:Q210" si="252">H211+H212+H213+H214+H215+H218</f>
        <v>0</v>
      </c>
      <c r="I210" s="321">
        <f t="shared" si="252"/>
        <v>149005250</v>
      </c>
      <c r="J210" s="321">
        <f t="shared" si="252"/>
        <v>47469998.209999993</v>
      </c>
      <c r="K210" s="321">
        <f t="shared" si="252"/>
        <v>22935793</v>
      </c>
      <c r="L210" s="321">
        <f t="shared" si="252"/>
        <v>14006451</v>
      </c>
      <c r="M210" s="321">
        <f t="shared" si="252"/>
        <v>5379898</v>
      </c>
      <c r="N210" s="321">
        <f t="shared" si="252"/>
        <v>877244</v>
      </c>
      <c r="O210" s="321">
        <f t="shared" si="252"/>
        <v>7851057</v>
      </c>
      <c r="P210" s="321">
        <f t="shared" si="252"/>
        <v>20263210</v>
      </c>
      <c r="Q210" s="321">
        <f t="shared" si="252"/>
        <v>30332780</v>
      </c>
      <c r="R210" s="297">
        <f t="shared" si="238"/>
        <v>149116431.20999998</v>
      </c>
      <c r="S210" s="295"/>
      <c r="T210" s="276">
        <f t="shared" si="243"/>
        <v>-111181.20999997854</v>
      </c>
      <c r="U210" s="344">
        <f>U211+U212+U213+U214+U215+U218</f>
        <v>18209058</v>
      </c>
      <c r="V210" s="277">
        <f t="shared" si="174"/>
        <v>-4726735</v>
      </c>
      <c r="W210" s="278">
        <f t="shared" si="175"/>
        <v>1.2595815225587177</v>
      </c>
      <c r="Y210" s="321">
        <f t="shared" ref="Y210:AA210" si="253">Y211+Y212+Y213+Y214+Y215+Y218</f>
        <v>26270245</v>
      </c>
      <c r="Z210" s="321">
        <f t="shared" si="253"/>
        <v>17573796</v>
      </c>
      <c r="AA210" s="321">
        <f t="shared" si="253"/>
        <v>17297826.52</v>
      </c>
      <c r="AB210" s="296">
        <f t="shared" si="184"/>
        <v>0.65845699269268332</v>
      </c>
      <c r="AC210" s="296">
        <f t="shared" si="185"/>
        <v>0.87307114950774156</v>
      </c>
      <c r="AD210" s="293">
        <f t="shared" si="177"/>
        <v>3.746811404278753E-8</v>
      </c>
      <c r="AF210" s="276">
        <f t="shared" si="240"/>
        <v>3334452</v>
      </c>
      <c r="AI210" s="321">
        <f t="shared" ref="AI210" si="254">AI211+AI212+AI213+AI214+AI215+AI218</f>
        <v>23219711</v>
      </c>
      <c r="AJ210" s="282">
        <f t="shared" si="187"/>
        <v>283918</v>
      </c>
    </row>
    <row r="211" spans="1:37" ht="76.5">
      <c r="A211" s="311" t="s">
        <v>99</v>
      </c>
      <c r="B211" s="312" t="s">
        <v>1042</v>
      </c>
      <c r="C211" s="313" t="s">
        <v>398</v>
      </c>
      <c r="D211" s="313" t="s">
        <v>830</v>
      </c>
      <c r="E211" s="313" t="s">
        <v>960</v>
      </c>
      <c r="F211" s="313" t="s">
        <v>1043</v>
      </c>
      <c r="G211" s="327">
        <v>102955000</v>
      </c>
      <c r="H211" s="314">
        <v>0</v>
      </c>
      <c r="I211" s="327">
        <v>102955000</v>
      </c>
      <c r="J211" s="297">
        <v>37095226.579999998</v>
      </c>
      <c r="K211" s="374">
        <v>16235549</v>
      </c>
      <c r="L211" s="298">
        <v>8253291</v>
      </c>
      <c r="M211" s="298">
        <v>247237</v>
      </c>
      <c r="N211" s="298">
        <v>0</v>
      </c>
      <c r="O211" s="374">
        <v>6387493</v>
      </c>
      <c r="P211" s="374">
        <v>16258127</v>
      </c>
      <c r="Q211" s="374">
        <v>18478076</v>
      </c>
      <c r="R211" s="297">
        <f t="shared" si="238"/>
        <v>102954999.58</v>
      </c>
      <c r="S211" s="295" t="s">
        <v>1044</v>
      </c>
      <c r="T211" s="276">
        <f t="shared" si="243"/>
        <v>0.42000000178813934</v>
      </c>
      <c r="U211" s="367">
        <v>8202547</v>
      </c>
      <c r="V211" s="316">
        <f t="shared" ref="V211:V254" si="255">U211-K211</f>
        <v>-8033002</v>
      </c>
      <c r="W211" s="349">
        <f t="shared" ref="W211:W254" si="256">K211/U211</f>
        <v>1.9793302007291149</v>
      </c>
      <c r="Y211" s="302">
        <v>16200552</v>
      </c>
      <c r="Z211" s="302">
        <v>13472369</v>
      </c>
      <c r="AA211" s="302">
        <v>13196402.130000001</v>
      </c>
      <c r="AB211" s="317">
        <f t="shared" si="184"/>
        <v>0.81456496852699845</v>
      </c>
      <c r="AC211" s="317">
        <f t="shared" si="185"/>
        <v>1.0021602350339667</v>
      </c>
      <c r="AD211" s="318">
        <f t="shared" ref="AD211:AD254" si="257">AB211/Z211</f>
        <v>6.046189564188737E-8</v>
      </c>
      <c r="AF211" s="276">
        <f t="shared" si="240"/>
        <v>-34997</v>
      </c>
      <c r="AG211" s="256">
        <v>-34997</v>
      </c>
      <c r="AI211" s="302">
        <f>16200552+427730</f>
        <v>16628282</v>
      </c>
      <c r="AJ211" s="282">
        <f t="shared" si="187"/>
        <v>392733</v>
      </c>
      <c r="AK211" s="256">
        <v>392733</v>
      </c>
    </row>
    <row r="212" spans="1:37" ht="51">
      <c r="A212" s="311" t="s">
        <v>1045</v>
      </c>
      <c r="B212" s="312" t="s">
        <v>1046</v>
      </c>
      <c r="C212" s="313" t="s">
        <v>398</v>
      </c>
      <c r="D212" s="313" t="s">
        <v>830</v>
      </c>
      <c r="E212" s="313" t="s">
        <v>830</v>
      </c>
      <c r="F212" s="313" t="s">
        <v>940</v>
      </c>
      <c r="G212" s="314">
        <v>0</v>
      </c>
      <c r="H212" s="314">
        <v>0</v>
      </c>
      <c r="I212" s="314">
        <v>0</v>
      </c>
      <c r="J212" s="297">
        <v>0</v>
      </c>
      <c r="K212" s="297">
        <v>0</v>
      </c>
      <c r="L212" s="298">
        <v>0</v>
      </c>
      <c r="M212" s="298">
        <v>0</v>
      </c>
      <c r="N212" s="298">
        <v>0</v>
      </c>
      <c r="O212" s="297">
        <v>0</v>
      </c>
      <c r="P212" s="297">
        <v>0</v>
      </c>
      <c r="Q212" s="297">
        <v>0</v>
      </c>
      <c r="R212" s="297">
        <f t="shared" si="238"/>
        <v>0</v>
      </c>
      <c r="S212" s="295"/>
      <c r="T212" s="276">
        <f t="shared" si="243"/>
        <v>0</v>
      </c>
      <c r="U212" s="315">
        <v>0</v>
      </c>
      <c r="V212" s="316">
        <f t="shared" si="255"/>
        <v>0</v>
      </c>
      <c r="W212" s="349" t="e">
        <f t="shared" si="256"/>
        <v>#DIV/0!</v>
      </c>
      <c r="Y212" s="302">
        <v>0</v>
      </c>
      <c r="Z212" s="302">
        <v>0</v>
      </c>
      <c r="AA212" s="302">
        <v>0</v>
      </c>
      <c r="AB212" s="317" t="e">
        <f t="shared" si="184"/>
        <v>#DIV/0!</v>
      </c>
      <c r="AC212" s="317" t="e">
        <f t="shared" si="185"/>
        <v>#DIV/0!</v>
      </c>
      <c r="AD212" s="318" t="e">
        <f t="shared" si="257"/>
        <v>#DIV/0!</v>
      </c>
      <c r="AF212" s="276">
        <f t="shared" si="240"/>
        <v>0</v>
      </c>
      <c r="AI212" s="302">
        <v>0</v>
      </c>
      <c r="AJ212" s="282">
        <f t="shared" si="187"/>
        <v>0</v>
      </c>
    </row>
    <row r="213" spans="1:37" ht="89.25">
      <c r="A213" s="311" t="s">
        <v>100</v>
      </c>
      <c r="B213" s="312" t="s">
        <v>1047</v>
      </c>
      <c r="C213" s="313" t="s">
        <v>398</v>
      </c>
      <c r="D213" s="313" t="s">
        <v>830</v>
      </c>
      <c r="E213" s="313" t="s">
        <v>830</v>
      </c>
      <c r="F213" s="313" t="s">
        <v>1048</v>
      </c>
      <c r="G213" s="314">
        <v>2125000</v>
      </c>
      <c r="H213" s="314">
        <v>0</v>
      </c>
      <c r="I213" s="314">
        <v>2125000</v>
      </c>
      <c r="J213" s="297">
        <v>0</v>
      </c>
      <c r="K213" s="297">
        <v>0</v>
      </c>
      <c r="L213" s="298">
        <v>1008340</v>
      </c>
      <c r="M213" s="298">
        <v>939576</v>
      </c>
      <c r="N213" s="298">
        <v>0</v>
      </c>
      <c r="O213" s="297">
        <v>0</v>
      </c>
      <c r="P213" s="297">
        <v>177083</v>
      </c>
      <c r="Q213" s="297"/>
      <c r="R213" s="297">
        <f t="shared" si="238"/>
        <v>2124999</v>
      </c>
      <c r="S213" s="295"/>
      <c r="T213" s="276">
        <f t="shared" si="243"/>
        <v>1</v>
      </c>
      <c r="U213" s="315">
        <v>0</v>
      </c>
      <c r="V213" s="316">
        <f t="shared" si="255"/>
        <v>0</v>
      </c>
      <c r="W213" s="349" t="e">
        <f t="shared" si="256"/>
        <v>#DIV/0!</v>
      </c>
      <c r="Y213" s="302">
        <v>0</v>
      </c>
      <c r="Z213" s="302">
        <v>0</v>
      </c>
      <c r="AA213" s="302">
        <v>0</v>
      </c>
      <c r="AB213" s="317" t="e">
        <f t="shared" ref="AB213:AB254" si="258">AA213/Y213</f>
        <v>#DIV/0!</v>
      </c>
      <c r="AC213" s="317" t="e">
        <f t="shared" ref="AC213:AC254" si="259">K213/Y213</f>
        <v>#DIV/0!</v>
      </c>
      <c r="AD213" s="318" t="e">
        <f t="shared" si="257"/>
        <v>#DIV/0!</v>
      </c>
      <c r="AF213" s="276">
        <f t="shared" si="240"/>
        <v>0</v>
      </c>
      <c r="AI213" s="302">
        <f>0-177083</f>
        <v>-177083</v>
      </c>
      <c r="AJ213" s="282">
        <f t="shared" ref="AJ213:AJ254" si="260">AI213-K213</f>
        <v>-177083</v>
      </c>
    </row>
    <row r="214" spans="1:37" ht="102">
      <c r="A214" s="311" t="s">
        <v>101</v>
      </c>
      <c r="B214" s="312" t="s">
        <v>1049</v>
      </c>
      <c r="C214" s="313" t="s">
        <v>398</v>
      </c>
      <c r="D214" s="313" t="s">
        <v>830</v>
      </c>
      <c r="E214" s="313" t="s">
        <v>830</v>
      </c>
      <c r="F214" s="313" t="s">
        <v>1050</v>
      </c>
      <c r="G214" s="314">
        <v>33383190</v>
      </c>
      <c r="H214" s="314">
        <v>0</v>
      </c>
      <c r="I214" s="314">
        <v>33383190</v>
      </c>
      <c r="J214" s="297">
        <v>7744638.4100000001</v>
      </c>
      <c r="K214" s="297">
        <v>4755199</v>
      </c>
      <c r="L214" s="298">
        <v>3144608</v>
      </c>
      <c r="M214" s="298">
        <v>2916621</v>
      </c>
      <c r="N214" s="298">
        <v>877244</v>
      </c>
      <c r="O214" s="297">
        <v>1198930</v>
      </c>
      <c r="P214" s="297">
        <v>3194418</v>
      </c>
      <c r="Q214" s="297">
        <v>9551532</v>
      </c>
      <c r="R214" s="297">
        <f t="shared" si="238"/>
        <v>33383190.41</v>
      </c>
      <c r="S214" s="295"/>
      <c r="T214" s="276">
        <f t="shared" si="243"/>
        <v>-0.41000000014901161</v>
      </c>
      <c r="U214" s="315">
        <v>8695791</v>
      </c>
      <c r="V214" s="316">
        <f t="shared" si="255"/>
        <v>3940592</v>
      </c>
      <c r="W214" s="349">
        <f t="shared" si="256"/>
        <v>0.54683915471289501</v>
      </c>
      <c r="Y214" s="302">
        <v>8550803</v>
      </c>
      <c r="Z214" s="302">
        <v>3454687</v>
      </c>
      <c r="AA214" s="302">
        <v>3454685.73</v>
      </c>
      <c r="AB214" s="317">
        <f t="shared" si="258"/>
        <v>0.40401886583049568</v>
      </c>
      <c r="AC214" s="317">
        <f t="shared" si="259"/>
        <v>0.55611139678928401</v>
      </c>
      <c r="AD214" s="318">
        <f t="shared" si="257"/>
        <v>1.1694803779054244E-7</v>
      </c>
      <c r="AF214" s="276">
        <f t="shared" si="240"/>
        <v>3795604</v>
      </c>
      <c r="AI214" s="302">
        <f>8550803-3618520</f>
        <v>4932283</v>
      </c>
      <c r="AJ214" s="282">
        <f t="shared" si="260"/>
        <v>177084</v>
      </c>
    </row>
    <row r="215" spans="1:37" ht="38.25">
      <c r="A215" s="311" t="s">
        <v>579</v>
      </c>
      <c r="B215" s="312" t="s">
        <v>1051</v>
      </c>
      <c r="C215" s="313" t="s">
        <v>398</v>
      </c>
      <c r="D215" s="313" t="s">
        <v>830</v>
      </c>
      <c r="E215" s="313" t="s">
        <v>830</v>
      </c>
      <c r="F215" s="313"/>
      <c r="G215" s="314">
        <f>G216+G217</f>
        <v>10542060</v>
      </c>
      <c r="H215" s="314">
        <f t="shared" ref="H215:Q215" si="261">H216+H217</f>
        <v>0</v>
      </c>
      <c r="I215" s="314">
        <f t="shared" si="261"/>
        <v>10542060</v>
      </c>
      <c r="J215" s="314">
        <f t="shared" si="261"/>
        <v>2518951.62</v>
      </c>
      <c r="K215" s="314">
        <f t="shared" si="261"/>
        <v>1945045</v>
      </c>
      <c r="L215" s="314">
        <f t="shared" si="261"/>
        <v>1600212</v>
      </c>
      <c r="M215" s="314">
        <f t="shared" si="261"/>
        <v>1276464</v>
      </c>
      <c r="N215" s="314">
        <f t="shared" si="261"/>
        <v>0</v>
      </c>
      <c r="O215" s="314">
        <f t="shared" si="261"/>
        <v>264634</v>
      </c>
      <c r="P215" s="314">
        <f t="shared" si="261"/>
        <v>633582</v>
      </c>
      <c r="Q215" s="314">
        <f t="shared" si="261"/>
        <v>2303172</v>
      </c>
      <c r="R215" s="297">
        <f t="shared" si="238"/>
        <v>10542060.620000001</v>
      </c>
      <c r="S215" s="295"/>
      <c r="T215" s="276">
        <f t="shared" si="243"/>
        <v>-0.62000000104308128</v>
      </c>
      <c r="U215" s="347">
        <f>U216+U217</f>
        <v>1310720</v>
      </c>
      <c r="V215" s="316">
        <f t="shared" si="255"/>
        <v>-634325</v>
      </c>
      <c r="W215" s="349">
        <f t="shared" si="256"/>
        <v>1.4839515686035156</v>
      </c>
      <c r="Y215" s="314">
        <f t="shared" ref="Y215:AA215" si="262">Y216+Y217</f>
        <v>1518890</v>
      </c>
      <c r="Z215" s="314">
        <f t="shared" si="262"/>
        <v>646740</v>
      </c>
      <c r="AA215" s="314">
        <f t="shared" si="262"/>
        <v>646738.65999999992</v>
      </c>
      <c r="AB215" s="317">
        <f t="shared" si="258"/>
        <v>0.42579690431828499</v>
      </c>
      <c r="AC215" s="317">
        <f t="shared" si="259"/>
        <v>1.2805700215288796</v>
      </c>
      <c r="AD215" s="318">
        <f t="shared" si="257"/>
        <v>6.5837416012351952E-7</v>
      </c>
      <c r="AF215" s="276">
        <f t="shared" si="240"/>
        <v>-426155</v>
      </c>
      <c r="AI215" s="314">
        <f t="shared" ref="AI215" si="263">AI216+AI217</f>
        <v>1836229</v>
      </c>
      <c r="AJ215" s="282">
        <f t="shared" si="260"/>
        <v>-108816</v>
      </c>
    </row>
    <row r="216" spans="1:37" ht="76.5">
      <c r="A216" s="311" t="s">
        <v>102</v>
      </c>
      <c r="B216" s="323" t="s">
        <v>1052</v>
      </c>
      <c r="C216" s="313" t="s">
        <v>398</v>
      </c>
      <c r="D216" s="313" t="s">
        <v>830</v>
      </c>
      <c r="E216" s="313" t="s">
        <v>830</v>
      </c>
      <c r="F216" s="313" t="s">
        <v>1053</v>
      </c>
      <c r="G216" s="327">
        <v>7028040</v>
      </c>
      <c r="H216" s="314">
        <v>0</v>
      </c>
      <c r="I216" s="327">
        <v>7028040</v>
      </c>
      <c r="J216" s="297">
        <v>1196798.5</v>
      </c>
      <c r="K216" s="297">
        <v>1335010</v>
      </c>
      <c r="L216" s="298">
        <v>1426339</v>
      </c>
      <c r="M216" s="298">
        <v>1276464</v>
      </c>
      <c r="N216" s="298">
        <v>0</v>
      </c>
      <c r="O216" s="297">
        <v>264634</v>
      </c>
      <c r="P216" s="297">
        <v>0</v>
      </c>
      <c r="Q216" s="297">
        <v>1528795</v>
      </c>
      <c r="R216" s="297">
        <f t="shared" si="238"/>
        <v>7028040.5</v>
      </c>
      <c r="S216" s="295"/>
      <c r="T216" s="276">
        <f t="shared" si="243"/>
        <v>-0.5</v>
      </c>
      <c r="U216" s="315">
        <v>895861</v>
      </c>
      <c r="V216" s="316">
        <f t="shared" si="255"/>
        <v>-439149</v>
      </c>
      <c r="W216" s="349">
        <f t="shared" si="256"/>
        <v>1.4901976980803942</v>
      </c>
      <c r="Y216" s="302">
        <v>1040849</v>
      </c>
      <c r="Z216" s="302">
        <v>438469</v>
      </c>
      <c r="AA216" s="302">
        <v>438468.55</v>
      </c>
      <c r="AB216" s="317">
        <f t="shared" si="258"/>
        <v>0.42126048062687288</v>
      </c>
      <c r="AC216" s="317">
        <f t="shared" si="259"/>
        <v>1.2826164025713624</v>
      </c>
      <c r="AD216" s="318">
        <f t="shared" si="257"/>
        <v>9.6075316756001649E-7</v>
      </c>
      <c r="AF216" s="276">
        <f t="shared" si="240"/>
        <v>-294161</v>
      </c>
      <c r="AG216" s="256">
        <v>-294161</v>
      </c>
      <c r="AI216" s="302">
        <f>1040849+326466-9127</f>
        <v>1358188</v>
      </c>
      <c r="AJ216" s="282">
        <f t="shared" si="260"/>
        <v>23178</v>
      </c>
      <c r="AK216" s="256">
        <v>23178</v>
      </c>
    </row>
    <row r="217" spans="1:37" ht="89.25">
      <c r="A217" s="311" t="s">
        <v>103</v>
      </c>
      <c r="B217" s="323" t="s">
        <v>1054</v>
      </c>
      <c r="C217" s="313" t="s">
        <v>398</v>
      </c>
      <c r="D217" s="313" t="s">
        <v>830</v>
      </c>
      <c r="E217" s="313" t="s">
        <v>1055</v>
      </c>
      <c r="F217" s="313" t="s">
        <v>1053</v>
      </c>
      <c r="G217" s="314">
        <v>3514020</v>
      </c>
      <c r="H217" s="314">
        <v>0</v>
      </c>
      <c r="I217" s="314">
        <v>3514020</v>
      </c>
      <c r="J217" s="297">
        <v>1322153.1200000001</v>
      </c>
      <c r="K217" s="297">
        <v>610035</v>
      </c>
      <c r="L217" s="298">
        <v>173873</v>
      </c>
      <c r="M217" s="298">
        <v>0</v>
      </c>
      <c r="N217" s="298">
        <v>0</v>
      </c>
      <c r="O217" s="297">
        <v>0</v>
      </c>
      <c r="P217" s="297">
        <v>633582</v>
      </c>
      <c r="Q217" s="297">
        <v>774377</v>
      </c>
      <c r="R217" s="297">
        <f t="shared" si="238"/>
        <v>3514020.12</v>
      </c>
      <c r="S217" s="295" t="s">
        <v>1044</v>
      </c>
      <c r="T217" s="276">
        <f t="shared" si="243"/>
        <v>-0.12000000011175871</v>
      </c>
      <c r="U217" s="315">
        <v>414859</v>
      </c>
      <c r="V217" s="316">
        <f t="shared" si="255"/>
        <v>-195176</v>
      </c>
      <c r="W217" s="349">
        <f t="shared" si="256"/>
        <v>1.4704634586690899</v>
      </c>
      <c r="Y217" s="302">
        <v>478041</v>
      </c>
      <c r="Z217" s="302">
        <v>208271</v>
      </c>
      <c r="AA217" s="302">
        <v>208270.11</v>
      </c>
      <c r="AB217" s="317">
        <f t="shared" si="258"/>
        <v>0.43567415765593326</v>
      </c>
      <c r="AC217" s="317">
        <f t="shared" si="259"/>
        <v>1.2761143918617859</v>
      </c>
      <c r="AD217" s="318">
        <f t="shared" si="257"/>
        <v>2.0918618418115497E-6</v>
      </c>
      <c r="AF217" s="276">
        <f t="shared" si="240"/>
        <v>-131994</v>
      </c>
      <c r="AG217" s="256">
        <v>-131994</v>
      </c>
      <c r="AI217" s="302">
        <v>478041</v>
      </c>
      <c r="AJ217" s="282">
        <f t="shared" si="260"/>
        <v>-131994</v>
      </c>
      <c r="AK217" s="256">
        <v>-131994</v>
      </c>
    </row>
    <row r="218" spans="1:37" ht="51">
      <c r="A218" s="311" t="s">
        <v>1056</v>
      </c>
      <c r="B218" s="312" t="s">
        <v>1057</v>
      </c>
      <c r="C218" s="313" t="s">
        <v>398</v>
      </c>
      <c r="D218" s="313" t="s">
        <v>830</v>
      </c>
      <c r="E218" s="313" t="s">
        <v>830</v>
      </c>
      <c r="F218" s="313" t="s">
        <v>744</v>
      </c>
      <c r="G218" s="314">
        <v>0</v>
      </c>
      <c r="H218" s="314">
        <v>0</v>
      </c>
      <c r="I218" s="314">
        <v>0</v>
      </c>
      <c r="J218" s="297">
        <v>111181.6</v>
      </c>
      <c r="K218" s="297">
        <v>0</v>
      </c>
      <c r="L218" s="298">
        <v>0</v>
      </c>
      <c r="M218" s="298">
        <v>0</v>
      </c>
      <c r="N218" s="298">
        <v>0</v>
      </c>
      <c r="O218" s="297">
        <v>0</v>
      </c>
      <c r="P218" s="297">
        <v>0</v>
      </c>
      <c r="Q218" s="297">
        <v>0</v>
      </c>
      <c r="R218" s="297">
        <f t="shared" si="238"/>
        <v>111181.6</v>
      </c>
      <c r="S218" s="295"/>
      <c r="T218" s="276">
        <f t="shared" si="243"/>
        <v>-111181.6</v>
      </c>
      <c r="U218" s="353">
        <v>0</v>
      </c>
      <c r="V218" s="316">
        <f t="shared" si="255"/>
        <v>0</v>
      </c>
      <c r="W218" s="349" t="e">
        <f t="shared" si="256"/>
        <v>#DIV/0!</v>
      </c>
      <c r="Y218" s="302">
        <v>0</v>
      </c>
      <c r="Z218" s="302">
        <v>0</v>
      </c>
      <c r="AA218" s="302">
        <v>0</v>
      </c>
      <c r="AB218" s="317" t="e">
        <f t="shared" si="258"/>
        <v>#DIV/0!</v>
      </c>
      <c r="AC218" s="317" t="e">
        <f t="shared" si="259"/>
        <v>#DIV/0!</v>
      </c>
      <c r="AD218" s="318" t="e">
        <f t="shared" si="257"/>
        <v>#DIV/0!</v>
      </c>
      <c r="AF218" s="276">
        <f t="shared" si="240"/>
        <v>0</v>
      </c>
      <c r="AI218" s="302">
        <v>0</v>
      </c>
      <c r="AJ218" s="282">
        <f t="shared" si="260"/>
        <v>0</v>
      </c>
    </row>
    <row r="219" spans="1:37" ht="25.5">
      <c r="A219" s="272" t="s">
        <v>584</v>
      </c>
      <c r="B219" s="310" t="s">
        <v>1058</v>
      </c>
      <c r="C219" s="292" t="s">
        <v>398</v>
      </c>
      <c r="D219" s="292" t="s">
        <v>782</v>
      </c>
      <c r="E219" s="292"/>
      <c r="F219" s="292"/>
      <c r="G219" s="321">
        <f>G220+G224</f>
        <v>14246733.16</v>
      </c>
      <c r="H219" s="321">
        <f t="shared" ref="H219:Q219" si="264">H220+H224</f>
        <v>0</v>
      </c>
      <c r="I219" s="321">
        <f t="shared" si="264"/>
        <v>14246733.16</v>
      </c>
      <c r="J219" s="321">
        <f t="shared" si="264"/>
        <v>4628362</v>
      </c>
      <c r="K219" s="321">
        <f t="shared" si="264"/>
        <v>3385866</v>
      </c>
      <c r="L219" s="321">
        <f t="shared" si="264"/>
        <v>1731698</v>
      </c>
      <c r="M219" s="321">
        <f t="shared" si="264"/>
        <v>0</v>
      </c>
      <c r="N219" s="321">
        <f t="shared" si="264"/>
        <v>0</v>
      </c>
      <c r="O219" s="321">
        <f t="shared" si="264"/>
        <v>1660258</v>
      </c>
      <c r="P219" s="321">
        <f t="shared" si="264"/>
        <v>1420275</v>
      </c>
      <c r="Q219" s="321">
        <f t="shared" si="264"/>
        <v>1420275</v>
      </c>
      <c r="R219" s="297">
        <f t="shared" si="238"/>
        <v>14246734</v>
      </c>
      <c r="S219" s="295"/>
      <c r="T219" s="276">
        <f t="shared" si="243"/>
        <v>-0.83999999985098839</v>
      </c>
      <c r="U219" s="344">
        <f>U220+U224</f>
        <v>5129297</v>
      </c>
      <c r="V219" s="277">
        <f t="shared" si="255"/>
        <v>1743431</v>
      </c>
      <c r="W219" s="278">
        <f t="shared" si="256"/>
        <v>0.66010332410074912</v>
      </c>
      <c r="Y219" s="321">
        <f t="shared" ref="Y219:AA219" si="265">Y220+Y224</f>
        <v>5122005</v>
      </c>
      <c r="Z219" s="321">
        <f t="shared" si="265"/>
        <v>2953352</v>
      </c>
      <c r="AA219" s="321">
        <f t="shared" si="265"/>
        <v>2529539.19</v>
      </c>
      <c r="AB219" s="296">
        <f t="shared" si="258"/>
        <v>0.49385722778482255</v>
      </c>
      <c r="AC219" s="296">
        <f t="shared" si="259"/>
        <v>0.66104308761900854</v>
      </c>
      <c r="AD219" s="293">
        <f t="shared" si="257"/>
        <v>1.6721922337223011E-7</v>
      </c>
      <c r="AF219" s="276">
        <f t="shared" si="240"/>
        <v>1736139</v>
      </c>
      <c r="AI219" s="321">
        <f t="shared" ref="AI219" si="266">AI220+AI224</f>
        <v>5122005</v>
      </c>
      <c r="AJ219" s="282">
        <f t="shared" si="260"/>
        <v>1736139</v>
      </c>
    </row>
    <row r="220" spans="1:37" ht="51">
      <c r="A220" s="311" t="s">
        <v>586</v>
      </c>
      <c r="B220" s="312" t="s">
        <v>1059</v>
      </c>
      <c r="C220" s="313" t="s">
        <v>398</v>
      </c>
      <c r="D220" s="313" t="s">
        <v>782</v>
      </c>
      <c r="E220" s="313"/>
      <c r="F220" s="313"/>
      <c r="G220" s="314">
        <f>G221+G222+G223</f>
        <v>14246733.16</v>
      </c>
      <c r="H220" s="314">
        <f t="shared" ref="H220:Q220" si="267">H221+H222+H223</f>
        <v>0</v>
      </c>
      <c r="I220" s="314">
        <f t="shared" si="267"/>
        <v>14246733.16</v>
      </c>
      <c r="J220" s="314">
        <f t="shared" si="267"/>
        <v>4628362</v>
      </c>
      <c r="K220" s="314">
        <f t="shared" si="267"/>
        <v>3385866</v>
      </c>
      <c r="L220" s="314">
        <f t="shared" si="267"/>
        <v>1731698</v>
      </c>
      <c r="M220" s="314">
        <f t="shared" si="267"/>
        <v>0</v>
      </c>
      <c r="N220" s="314">
        <f t="shared" si="267"/>
        <v>0</v>
      </c>
      <c r="O220" s="314">
        <f t="shared" si="267"/>
        <v>1660258</v>
      </c>
      <c r="P220" s="314">
        <f t="shared" si="267"/>
        <v>1420275</v>
      </c>
      <c r="Q220" s="314">
        <f t="shared" si="267"/>
        <v>1420275</v>
      </c>
      <c r="R220" s="297">
        <f t="shared" si="238"/>
        <v>14246734</v>
      </c>
      <c r="S220" s="295"/>
      <c r="T220" s="276">
        <f t="shared" si="243"/>
        <v>-0.83999999985098839</v>
      </c>
      <c r="U220" s="347">
        <f>U221+U222+U223</f>
        <v>5129297</v>
      </c>
      <c r="V220" s="316">
        <f t="shared" si="255"/>
        <v>1743431</v>
      </c>
      <c r="W220" s="349">
        <f t="shared" si="256"/>
        <v>0.66010332410074912</v>
      </c>
      <c r="Y220" s="314">
        <f t="shared" ref="Y220:AA220" si="268">Y221+Y222+Y223</f>
        <v>5122005</v>
      </c>
      <c r="Z220" s="314">
        <f t="shared" si="268"/>
        <v>2953352</v>
      </c>
      <c r="AA220" s="314">
        <f t="shared" si="268"/>
        <v>2529539.19</v>
      </c>
      <c r="AB220" s="317">
        <f t="shared" si="258"/>
        <v>0.49385722778482255</v>
      </c>
      <c r="AC220" s="317">
        <f t="shared" si="259"/>
        <v>0.66104308761900854</v>
      </c>
      <c r="AD220" s="318">
        <f t="shared" si="257"/>
        <v>1.6721922337223011E-7</v>
      </c>
      <c r="AF220" s="276">
        <f t="shared" si="240"/>
        <v>1736139</v>
      </c>
      <c r="AI220" s="314">
        <f t="shared" ref="AI220" si="269">AI221+AI222+AI223</f>
        <v>5122005</v>
      </c>
      <c r="AJ220" s="282">
        <f t="shared" si="260"/>
        <v>1736139</v>
      </c>
    </row>
    <row r="221" spans="1:37" ht="127.5">
      <c r="A221" s="311" t="s">
        <v>74</v>
      </c>
      <c r="B221" s="323" t="s">
        <v>1060</v>
      </c>
      <c r="C221" s="313" t="s">
        <v>398</v>
      </c>
      <c r="D221" s="313" t="s">
        <v>782</v>
      </c>
      <c r="E221" s="313" t="s">
        <v>782</v>
      </c>
      <c r="F221" s="313" t="s">
        <v>1033</v>
      </c>
      <c r="G221" s="314">
        <v>9136369.0700000003</v>
      </c>
      <c r="H221" s="314">
        <v>0</v>
      </c>
      <c r="I221" s="314">
        <v>9136369.0700000003</v>
      </c>
      <c r="J221" s="297">
        <v>3229224.13</v>
      </c>
      <c r="K221" s="297">
        <v>2229887</v>
      </c>
      <c r="L221" s="298">
        <v>836709</v>
      </c>
      <c r="M221" s="298">
        <v>0</v>
      </c>
      <c r="N221" s="298">
        <v>0</v>
      </c>
      <c r="O221" s="297">
        <v>0</v>
      </c>
      <c r="P221" s="297">
        <v>1420275</v>
      </c>
      <c r="Q221" s="297">
        <v>1420275</v>
      </c>
      <c r="R221" s="297">
        <f t="shared" si="238"/>
        <v>9136370.129999999</v>
      </c>
      <c r="S221" s="295"/>
      <c r="T221" s="276">
        <f t="shared" si="243"/>
        <v>-1.0599999986588955</v>
      </c>
      <c r="U221" s="315">
        <v>3133662</v>
      </c>
      <c r="V221" s="316">
        <f t="shared" si="255"/>
        <v>903775</v>
      </c>
      <c r="W221" s="349">
        <f t="shared" si="256"/>
        <v>0.71159142243164708</v>
      </c>
      <c r="Y221" s="302">
        <v>3126370</v>
      </c>
      <c r="Z221" s="302">
        <v>1926954</v>
      </c>
      <c r="AA221" s="302">
        <v>1798812.2</v>
      </c>
      <c r="AB221" s="317">
        <f t="shared" si="258"/>
        <v>0.57536766281662122</v>
      </c>
      <c r="AC221" s="317">
        <f t="shared" si="259"/>
        <v>0.71325115069553513</v>
      </c>
      <c r="AD221" s="318">
        <f t="shared" si="257"/>
        <v>2.9858920494034691E-7</v>
      </c>
      <c r="AF221" s="276">
        <f t="shared" si="240"/>
        <v>896483</v>
      </c>
      <c r="AG221" s="256">
        <v>896483</v>
      </c>
      <c r="AI221" s="302">
        <v>3126370</v>
      </c>
      <c r="AJ221" s="282">
        <f t="shared" si="260"/>
        <v>896483</v>
      </c>
      <c r="AK221" s="256">
        <v>896483</v>
      </c>
    </row>
    <row r="222" spans="1:37" ht="51">
      <c r="A222" s="311" t="s">
        <v>75</v>
      </c>
      <c r="B222" s="323" t="s">
        <v>1061</v>
      </c>
      <c r="C222" s="313" t="s">
        <v>398</v>
      </c>
      <c r="D222" s="313" t="s">
        <v>782</v>
      </c>
      <c r="E222" s="313" t="s">
        <v>782</v>
      </c>
      <c r="F222" s="313" t="s">
        <v>1033</v>
      </c>
      <c r="G222" s="314">
        <v>5110364.0900000008</v>
      </c>
      <c r="H222" s="314">
        <v>0</v>
      </c>
      <c r="I222" s="314">
        <v>5110364.0900000008</v>
      </c>
      <c r="J222" s="297">
        <v>1399137.8699999999</v>
      </c>
      <c r="K222" s="297">
        <v>1155979</v>
      </c>
      <c r="L222" s="298">
        <v>894989</v>
      </c>
      <c r="M222" s="298">
        <v>0</v>
      </c>
      <c r="N222" s="298">
        <v>0</v>
      </c>
      <c r="O222" s="297">
        <v>1660258</v>
      </c>
      <c r="P222" s="297">
        <v>0</v>
      </c>
      <c r="Q222" s="297">
        <v>0</v>
      </c>
      <c r="R222" s="297">
        <f t="shared" si="238"/>
        <v>5110363.87</v>
      </c>
      <c r="S222" s="295"/>
      <c r="T222" s="276">
        <f t="shared" si="243"/>
        <v>0.22000000067055225</v>
      </c>
      <c r="U222" s="315">
        <v>1995635</v>
      </c>
      <c r="V222" s="316">
        <f t="shared" si="255"/>
        <v>839656</v>
      </c>
      <c r="W222" s="349">
        <f t="shared" si="256"/>
        <v>0.57925372124662078</v>
      </c>
      <c r="Y222" s="302">
        <v>1995635</v>
      </c>
      <c r="Z222" s="302">
        <v>1026398</v>
      </c>
      <c r="AA222" s="302">
        <v>730726.99</v>
      </c>
      <c r="AB222" s="317">
        <f t="shared" si="258"/>
        <v>0.36616264497265283</v>
      </c>
      <c r="AC222" s="317">
        <f t="shared" si="259"/>
        <v>0.57925372124662078</v>
      </c>
      <c r="AD222" s="318">
        <f t="shared" si="257"/>
        <v>3.5674528299222408E-7</v>
      </c>
      <c r="AF222" s="276">
        <f t="shared" si="240"/>
        <v>839656</v>
      </c>
      <c r="AG222" s="256">
        <v>839656</v>
      </c>
      <c r="AI222" s="302">
        <v>1995635</v>
      </c>
      <c r="AJ222" s="282">
        <f t="shared" si="260"/>
        <v>839656</v>
      </c>
      <c r="AK222" s="256">
        <v>839656</v>
      </c>
    </row>
    <row r="223" spans="1:37" ht="76.5">
      <c r="A223" s="311" t="s">
        <v>76</v>
      </c>
      <c r="B223" s="323" t="s">
        <v>1062</v>
      </c>
      <c r="C223" s="313" t="s">
        <v>398</v>
      </c>
      <c r="D223" s="313" t="s">
        <v>782</v>
      </c>
      <c r="E223" s="313" t="s">
        <v>782</v>
      </c>
      <c r="F223" s="313" t="s">
        <v>1063</v>
      </c>
      <c r="G223" s="314">
        <v>0</v>
      </c>
      <c r="H223" s="314">
        <v>0</v>
      </c>
      <c r="I223" s="314">
        <v>0</v>
      </c>
      <c r="J223" s="297">
        <v>0</v>
      </c>
      <c r="K223" s="297">
        <v>0</v>
      </c>
      <c r="L223" s="298">
        <v>0</v>
      </c>
      <c r="M223" s="298">
        <v>0</v>
      </c>
      <c r="N223" s="298">
        <v>0</v>
      </c>
      <c r="O223" s="297">
        <v>0</v>
      </c>
      <c r="P223" s="297">
        <v>0</v>
      </c>
      <c r="Q223" s="297">
        <v>0</v>
      </c>
      <c r="R223" s="297">
        <f t="shared" si="238"/>
        <v>0</v>
      </c>
      <c r="S223" s="295"/>
      <c r="T223" s="276">
        <f t="shared" si="243"/>
        <v>0</v>
      </c>
      <c r="U223" s="315">
        <v>0</v>
      </c>
      <c r="V223" s="316">
        <f t="shared" si="255"/>
        <v>0</v>
      </c>
      <c r="W223" s="349" t="e">
        <f t="shared" si="256"/>
        <v>#DIV/0!</v>
      </c>
      <c r="Y223" s="302">
        <v>0</v>
      </c>
      <c r="Z223" s="302">
        <v>0</v>
      </c>
      <c r="AA223" s="302">
        <v>0</v>
      </c>
      <c r="AB223" s="317" t="e">
        <f t="shared" si="258"/>
        <v>#DIV/0!</v>
      </c>
      <c r="AC223" s="317" t="e">
        <f t="shared" si="259"/>
        <v>#DIV/0!</v>
      </c>
      <c r="AD223" s="318" t="e">
        <f t="shared" si="257"/>
        <v>#DIV/0!</v>
      </c>
      <c r="AF223" s="276">
        <f t="shared" si="240"/>
        <v>0</v>
      </c>
      <c r="AI223" s="302">
        <v>0</v>
      </c>
      <c r="AJ223" s="282">
        <f t="shared" si="260"/>
        <v>0</v>
      </c>
    </row>
    <row r="224" spans="1:37" ht="38.25">
      <c r="A224" s="311" t="s">
        <v>77</v>
      </c>
      <c r="B224" s="312" t="s">
        <v>1064</v>
      </c>
      <c r="C224" s="313" t="s">
        <v>398</v>
      </c>
      <c r="D224" s="313" t="s">
        <v>782</v>
      </c>
      <c r="E224" s="313" t="s">
        <v>782</v>
      </c>
      <c r="F224" s="313" t="s">
        <v>744</v>
      </c>
      <c r="G224" s="314">
        <v>0</v>
      </c>
      <c r="H224" s="314">
        <v>0</v>
      </c>
      <c r="I224" s="314">
        <v>0</v>
      </c>
      <c r="J224" s="297">
        <v>0</v>
      </c>
      <c r="K224" s="297">
        <v>0</v>
      </c>
      <c r="L224" s="298">
        <v>0</v>
      </c>
      <c r="M224" s="298">
        <v>0</v>
      </c>
      <c r="N224" s="298">
        <v>0</v>
      </c>
      <c r="O224" s="297">
        <v>0</v>
      </c>
      <c r="P224" s="297">
        <v>0</v>
      </c>
      <c r="Q224" s="297">
        <v>0</v>
      </c>
      <c r="R224" s="297">
        <f t="shared" si="238"/>
        <v>0</v>
      </c>
      <c r="S224" s="295"/>
      <c r="T224" s="276">
        <f t="shared" si="243"/>
        <v>0</v>
      </c>
      <c r="U224" s="315">
        <v>0</v>
      </c>
      <c r="V224" s="316">
        <f t="shared" si="255"/>
        <v>0</v>
      </c>
      <c r="W224" s="349" t="e">
        <f t="shared" si="256"/>
        <v>#DIV/0!</v>
      </c>
      <c r="Y224" s="302">
        <v>0</v>
      </c>
      <c r="Z224" s="302">
        <v>0</v>
      </c>
      <c r="AA224" s="302">
        <v>0</v>
      </c>
      <c r="AB224" s="317" t="e">
        <f t="shared" si="258"/>
        <v>#DIV/0!</v>
      </c>
      <c r="AC224" s="317" t="e">
        <f t="shared" si="259"/>
        <v>#DIV/0!</v>
      </c>
      <c r="AD224" s="318" t="e">
        <f t="shared" si="257"/>
        <v>#DIV/0!</v>
      </c>
      <c r="AF224" s="276">
        <f t="shared" si="240"/>
        <v>0</v>
      </c>
      <c r="AI224" s="302">
        <v>0</v>
      </c>
      <c r="AJ224" s="282">
        <f t="shared" si="260"/>
        <v>0</v>
      </c>
    </row>
    <row r="225" spans="1:37" ht="51">
      <c r="A225" s="272" t="s">
        <v>592</v>
      </c>
      <c r="B225" s="310" t="s">
        <v>1065</v>
      </c>
      <c r="C225" s="292" t="s">
        <v>398</v>
      </c>
      <c r="D225" s="292" t="s">
        <v>856</v>
      </c>
      <c r="E225" s="292"/>
      <c r="F225" s="292"/>
      <c r="G225" s="321">
        <f>G226+G227+G228</f>
        <v>29100252.529999997</v>
      </c>
      <c r="H225" s="321">
        <f>H226+H227+H228</f>
        <v>12000000</v>
      </c>
      <c r="I225" s="321">
        <f>I226+I227+I228</f>
        <v>41100252.530000001</v>
      </c>
      <c r="J225" s="321">
        <f>J226+J227+J228</f>
        <v>6380917.8800000008</v>
      </c>
      <c r="K225" s="321">
        <f>K226+K227+K228</f>
        <v>5752836</v>
      </c>
      <c r="L225" s="321">
        <f t="shared" ref="L225:Q225" si="270">L226+L227+L228</f>
        <v>5594196</v>
      </c>
      <c r="M225" s="321">
        <f t="shared" si="270"/>
        <v>2514347</v>
      </c>
      <c r="N225" s="321">
        <f t="shared" si="270"/>
        <v>1305322</v>
      </c>
      <c r="O225" s="321">
        <f t="shared" si="270"/>
        <v>2064470</v>
      </c>
      <c r="P225" s="321">
        <f t="shared" si="270"/>
        <v>10341544</v>
      </c>
      <c r="Q225" s="321">
        <f t="shared" si="270"/>
        <v>3826497</v>
      </c>
      <c r="R225" s="297">
        <f t="shared" si="238"/>
        <v>37780129.880000003</v>
      </c>
      <c r="S225" s="295"/>
      <c r="T225" s="276">
        <f t="shared" si="243"/>
        <v>3320122.6499999985</v>
      </c>
      <c r="U225" s="344">
        <f>U226+U227+U228</f>
        <v>5956443</v>
      </c>
      <c r="V225" s="277">
        <f t="shared" si="255"/>
        <v>203607</v>
      </c>
      <c r="W225" s="278">
        <f t="shared" si="256"/>
        <v>0.9658173510600202</v>
      </c>
      <c r="Y225" s="321">
        <f>Y226+Y227+Y228</f>
        <v>5158603</v>
      </c>
      <c r="Z225" s="321">
        <f t="shared" ref="Z225:AA225" si="271">Z226+Z227+Z228</f>
        <v>3258454</v>
      </c>
      <c r="AA225" s="321">
        <f t="shared" si="271"/>
        <v>3155408.9699999997</v>
      </c>
      <c r="AB225" s="296">
        <f t="shared" si="258"/>
        <v>0.61167897006224359</v>
      </c>
      <c r="AC225" s="296">
        <f t="shared" si="259"/>
        <v>1.1151926209479581</v>
      </c>
      <c r="AD225" s="293">
        <f t="shared" si="257"/>
        <v>1.8772060924053052E-7</v>
      </c>
      <c r="AF225" s="276">
        <f t="shared" si="240"/>
        <v>-594233</v>
      </c>
      <c r="AI225" s="321">
        <f>AI226+AI227+AI228</f>
        <v>5158603</v>
      </c>
      <c r="AJ225" s="282">
        <f t="shared" si="260"/>
        <v>-594233</v>
      </c>
    </row>
    <row r="226" spans="1:37" ht="76.5">
      <c r="A226" s="311" t="s">
        <v>114</v>
      </c>
      <c r="B226" s="312" t="s">
        <v>1066</v>
      </c>
      <c r="C226" s="313" t="s">
        <v>398</v>
      </c>
      <c r="D226" s="313" t="s">
        <v>856</v>
      </c>
      <c r="E226" s="313" t="s">
        <v>960</v>
      </c>
      <c r="F226" s="313" t="s">
        <v>1067</v>
      </c>
      <c r="G226" s="314">
        <v>17517814.899999999</v>
      </c>
      <c r="H226" s="314">
        <v>0</v>
      </c>
      <c r="I226" s="314">
        <v>17517814.899999999</v>
      </c>
      <c r="J226" s="297">
        <v>3641299.04</v>
      </c>
      <c r="K226" s="297">
        <v>3504558</v>
      </c>
      <c r="L226" s="298">
        <v>3353884</v>
      </c>
      <c r="M226" s="298">
        <v>2377033</v>
      </c>
      <c r="N226" s="298">
        <v>1305322</v>
      </c>
      <c r="O226" s="297">
        <v>0</v>
      </c>
      <c r="P226" s="297">
        <v>1202983</v>
      </c>
      <c r="Q226" s="297">
        <v>1262182</v>
      </c>
      <c r="R226" s="297">
        <f t="shared" si="238"/>
        <v>16647261.039999999</v>
      </c>
      <c r="S226" s="295" t="s">
        <v>1068</v>
      </c>
      <c r="T226" s="276">
        <f t="shared" si="243"/>
        <v>870553.8599999994</v>
      </c>
      <c r="U226" s="353">
        <v>2483210</v>
      </c>
      <c r="V226" s="316">
        <f t="shared" si="255"/>
        <v>-1021348</v>
      </c>
      <c r="W226" s="349">
        <f t="shared" si="256"/>
        <v>1.4113015008799095</v>
      </c>
      <c r="Y226" s="302">
        <v>2483210</v>
      </c>
      <c r="Z226" s="302">
        <v>1487063</v>
      </c>
      <c r="AA226" s="302">
        <v>1487057.04</v>
      </c>
      <c r="AB226" s="317">
        <f t="shared" si="258"/>
        <v>0.59884465671449461</v>
      </c>
      <c r="AC226" s="317">
        <f t="shared" si="259"/>
        <v>1.4113015008799095</v>
      </c>
      <c r="AD226" s="318">
        <f t="shared" si="257"/>
        <v>4.027029498511459E-7</v>
      </c>
      <c r="AF226" s="276">
        <f t="shared" si="240"/>
        <v>-1021348</v>
      </c>
      <c r="AG226" s="256">
        <v>-1021348</v>
      </c>
      <c r="AI226" s="302">
        <v>2483210</v>
      </c>
      <c r="AJ226" s="282">
        <f t="shared" si="260"/>
        <v>-1021348</v>
      </c>
      <c r="AK226" s="256">
        <v>-1021348</v>
      </c>
    </row>
    <row r="227" spans="1:37" ht="63.75">
      <c r="A227" s="311" t="s">
        <v>115</v>
      </c>
      <c r="B227" s="312" t="s">
        <v>1069</v>
      </c>
      <c r="C227" s="313" t="s">
        <v>398</v>
      </c>
      <c r="D227" s="313" t="s">
        <v>856</v>
      </c>
      <c r="E227" s="313"/>
      <c r="F227" s="313" t="s">
        <v>1067</v>
      </c>
      <c r="G227" s="314">
        <v>7582438.5</v>
      </c>
      <c r="H227" s="327">
        <v>8000000</v>
      </c>
      <c r="I227" s="327">
        <v>15582438.5</v>
      </c>
      <c r="J227" s="297">
        <v>2183587.77</v>
      </c>
      <c r="K227" s="297">
        <v>1042332</v>
      </c>
      <c r="L227" s="298">
        <v>1933408</v>
      </c>
      <c r="M227" s="298">
        <v>87937</v>
      </c>
      <c r="N227" s="298">
        <v>0</v>
      </c>
      <c r="O227" s="297">
        <v>750000</v>
      </c>
      <c r="P227" s="297">
        <v>6526951</v>
      </c>
      <c r="Q227" s="297">
        <v>1882275</v>
      </c>
      <c r="R227" s="297">
        <f t="shared" si="238"/>
        <v>14406490.77</v>
      </c>
      <c r="S227" s="295" t="s">
        <v>1070</v>
      </c>
      <c r="T227" s="276">
        <f t="shared" si="243"/>
        <v>1175947.7300000004</v>
      </c>
      <c r="U227" s="315">
        <v>2252649</v>
      </c>
      <c r="V227" s="316">
        <f t="shared" si="255"/>
        <v>1210317</v>
      </c>
      <c r="W227" s="349">
        <f t="shared" si="256"/>
        <v>0.46271389817055386</v>
      </c>
      <c r="Y227" s="302">
        <v>1439424</v>
      </c>
      <c r="Z227" s="302">
        <v>868623</v>
      </c>
      <c r="AA227" s="302">
        <v>765589.09</v>
      </c>
      <c r="AB227" s="317">
        <f t="shared" si="258"/>
        <v>0.53187183901338309</v>
      </c>
      <c r="AC227" s="317">
        <f t="shared" si="259"/>
        <v>0.72413131919434437</v>
      </c>
      <c r="AD227" s="318">
        <f t="shared" si="257"/>
        <v>6.1231608996467181E-7</v>
      </c>
      <c r="AF227" s="276">
        <f t="shared" si="240"/>
        <v>397092</v>
      </c>
      <c r="AG227" s="256">
        <v>397092</v>
      </c>
      <c r="AI227" s="302">
        <v>1439424</v>
      </c>
      <c r="AJ227" s="282">
        <f t="shared" si="260"/>
        <v>397092</v>
      </c>
      <c r="AK227" s="256">
        <v>397092</v>
      </c>
    </row>
    <row r="228" spans="1:37" ht="127.5">
      <c r="A228" s="311" t="s">
        <v>116</v>
      </c>
      <c r="B228" s="312" t="s">
        <v>1071</v>
      </c>
      <c r="C228" s="313" t="s">
        <v>398</v>
      </c>
      <c r="D228" s="313" t="s">
        <v>856</v>
      </c>
      <c r="E228" s="313"/>
      <c r="F228" s="313" t="s">
        <v>1072</v>
      </c>
      <c r="G228" s="314">
        <v>3999999.13</v>
      </c>
      <c r="H228" s="327">
        <v>4000000</v>
      </c>
      <c r="I228" s="327">
        <v>7999999.1299999999</v>
      </c>
      <c r="J228" s="297">
        <v>556031.06999999995</v>
      </c>
      <c r="K228" s="297">
        <v>1205946</v>
      </c>
      <c r="L228" s="298">
        <v>306904</v>
      </c>
      <c r="M228" s="298">
        <v>49377</v>
      </c>
      <c r="N228" s="298">
        <v>0</v>
      </c>
      <c r="O228" s="297">
        <v>1314470</v>
      </c>
      <c r="P228" s="297">
        <v>2611610</v>
      </c>
      <c r="Q228" s="297">
        <v>682040</v>
      </c>
      <c r="R228" s="297">
        <f t="shared" si="238"/>
        <v>6726378.0700000003</v>
      </c>
      <c r="S228" s="295" t="s">
        <v>1073</v>
      </c>
      <c r="T228" s="276">
        <f t="shared" si="243"/>
        <v>1273621.0599999996</v>
      </c>
      <c r="U228" s="315">
        <v>1220584</v>
      </c>
      <c r="V228" s="316">
        <f t="shared" si="255"/>
        <v>14638</v>
      </c>
      <c r="W228" s="349">
        <f t="shared" si="256"/>
        <v>0.98800738007380073</v>
      </c>
      <c r="Y228" s="302">
        <v>1235969</v>
      </c>
      <c r="Z228" s="302">
        <v>902768</v>
      </c>
      <c r="AA228" s="302">
        <v>902762.84</v>
      </c>
      <c r="AB228" s="317">
        <f t="shared" si="258"/>
        <v>0.73040896656793164</v>
      </c>
      <c r="AC228" s="317">
        <f t="shared" si="259"/>
        <v>0.97570893768371214</v>
      </c>
      <c r="AD228" s="318">
        <f t="shared" si="257"/>
        <v>8.0907715666475955E-7</v>
      </c>
      <c r="AF228" s="276">
        <f t="shared" si="240"/>
        <v>30023</v>
      </c>
      <c r="AI228" s="302">
        <v>1235969</v>
      </c>
      <c r="AJ228" s="282">
        <f t="shared" si="260"/>
        <v>30023</v>
      </c>
    </row>
    <row r="229" spans="1:37" ht="38.25">
      <c r="A229" s="272" t="s">
        <v>598</v>
      </c>
      <c r="B229" s="310" t="s">
        <v>1074</v>
      </c>
      <c r="C229" s="292"/>
      <c r="D229" s="292"/>
      <c r="E229" s="292"/>
      <c r="F229" s="292"/>
      <c r="G229" s="321">
        <f>G230+G231</f>
        <v>54228885.850000001</v>
      </c>
      <c r="H229" s="321">
        <f t="shared" ref="H229:Q229" si="272">H230+H231</f>
        <v>15000000</v>
      </c>
      <c r="I229" s="321">
        <f t="shared" si="272"/>
        <v>69228885.849999994</v>
      </c>
      <c r="J229" s="321">
        <f t="shared" si="272"/>
        <v>4135117.1999999997</v>
      </c>
      <c r="K229" s="321">
        <f t="shared" si="272"/>
        <v>5454838</v>
      </c>
      <c r="L229" s="321">
        <f t="shared" si="272"/>
        <v>9319900</v>
      </c>
      <c r="M229" s="321">
        <f t="shared" si="272"/>
        <v>1603943</v>
      </c>
      <c r="N229" s="321">
        <f t="shared" si="272"/>
        <v>0</v>
      </c>
      <c r="O229" s="321">
        <f t="shared" si="272"/>
        <v>3181463</v>
      </c>
      <c r="P229" s="321">
        <f t="shared" si="272"/>
        <v>15000000</v>
      </c>
      <c r="Q229" s="321">
        <f t="shared" si="272"/>
        <v>15533624</v>
      </c>
      <c r="R229" s="297">
        <f t="shared" si="238"/>
        <v>54228885.200000003</v>
      </c>
      <c r="S229" s="295"/>
      <c r="T229" s="276">
        <f t="shared" si="243"/>
        <v>15000000.649999991</v>
      </c>
      <c r="U229" s="344">
        <f>U230+U231</f>
        <v>11357184</v>
      </c>
      <c r="V229" s="277">
        <f t="shared" si="255"/>
        <v>5902346</v>
      </c>
      <c r="W229" s="278">
        <f t="shared" si="256"/>
        <v>0.48029846130871878</v>
      </c>
      <c r="Y229" s="321">
        <f t="shared" ref="Y229:AA229" si="273">Y230+Y231</f>
        <v>6899662</v>
      </c>
      <c r="Z229" s="321">
        <f t="shared" si="273"/>
        <v>4569896</v>
      </c>
      <c r="AA229" s="321">
        <f t="shared" si="273"/>
        <v>4188786.02</v>
      </c>
      <c r="AB229" s="296">
        <f t="shared" si="258"/>
        <v>0.60710017679126893</v>
      </c>
      <c r="AC229" s="296">
        <f t="shared" si="259"/>
        <v>0.79059495957917936</v>
      </c>
      <c r="AD229" s="293">
        <f t="shared" si="257"/>
        <v>1.3284770086480499E-7</v>
      </c>
      <c r="AF229" s="276">
        <f t="shared" si="240"/>
        <v>1444824</v>
      </c>
      <c r="AI229" s="321">
        <f t="shared" ref="AI229" si="274">AI230+AI231</f>
        <v>6899662</v>
      </c>
      <c r="AJ229" s="282">
        <f t="shared" si="260"/>
        <v>1444824</v>
      </c>
    </row>
    <row r="230" spans="1:37" ht="63.75">
      <c r="A230" s="311" t="s">
        <v>78</v>
      </c>
      <c r="B230" s="312" t="s">
        <v>1075</v>
      </c>
      <c r="C230" s="313" t="s">
        <v>398</v>
      </c>
      <c r="D230" s="313" t="s">
        <v>782</v>
      </c>
      <c r="E230" s="313" t="s">
        <v>782</v>
      </c>
      <c r="F230" s="313" t="s">
        <v>1076</v>
      </c>
      <c r="G230" s="314">
        <v>47759948.920000002</v>
      </c>
      <c r="H230" s="314">
        <v>15000000</v>
      </c>
      <c r="I230" s="314">
        <v>62759948.920000002</v>
      </c>
      <c r="J230" s="297">
        <v>2875725.63</v>
      </c>
      <c r="K230" s="297">
        <v>4515977</v>
      </c>
      <c r="L230" s="298">
        <v>8230679</v>
      </c>
      <c r="M230" s="298">
        <v>1603943</v>
      </c>
      <c r="N230" s="298">
        <v>0</v>
      </c>
      <c r="O230" s="297">
        <v>0</v>
      </c>
      <c r="P230" s="297">
        <v>15000000</v>
      </c>
      <c r="Q230" s="297">
        <v>15533624</v>
      </c>
      <c r="R230" s="297">
        <f t="shared" si="238"/>
        <v>47759948.629999995</v>
      </c>
      <c r="S230" s="295" t="s">
        <v>1077</v>
      </c>
      <c r="T230" s="276">
        <f t="shared" si="243"/>
        <v>15000000.290000007</v>
      </c>
      <c r="U230" s="315">
        <v>9710296</v>
      </c>
      <c r="V230" s="316">
        <f t="shared" si="255"/>
        <v>5194319</v>
      </c>
      <c r="W230" s="349">
        <f t="shared" si="256"/>
        <v>0.46507099268652574</v>
      </c>
      <c r="Y230" s="302">
        <v>5252774</v>
      </c>
      <c r="Z230" s="302">
        <v>3638015</v>
      </c>
      <c r="AA230" s="302">
        <v>3462230.77</v>
      </c>
      <c r="AB230" s="317">
        <f t="shared" si="258"/>
        <v>0.65912425891538451</v>
      </c>
      <c r="AC230" s="317">
        <f t="shared" si="259"/>
        <v>0.85973182931532943</v>
      </c>
      <c r="AD230" s="318">
        <f t="shared" si="257"/>
        <v>1.811768942446319E-7</v>
      </c>
      <c r="AF230" s="276">
        <f t="shared" si="240"/>
        <v>736797</v>
      </c>
      <c r="AG230" s="256">
        <v>736797</v>
      </c>
      <c r="AI230" s="302">
        <v>5252774</v>
      </c>
      <c r="AJ230" s="282">
        <f t="shared" si="260"/>
        <v>736797</v>
      </c>
      <c r="AK230" s="256">
        <v>736797</v>
      </c>
    </row>
    <row r="231" spans="1:37" ht="63.75">
      <c r="A231" s="311" t="s">
        <v>79</v>
      </c>
      <c r="B231" s="312" t="s">
        <v>1078</v>
      </c>
      <c r="C231" s="313" t="s">
        <v>398</v>
      </c>
      <c r="D231" s="313" t="s">
        <v>782</v>
      </c>
      <c r="E231" s="313" t="s">
        <v>782</v>
      </c>
      <c r="F231" s="313" t="s">
        <v>1033</v>
      </c>
      <c r="G231" s="314">
        <v>6468936.9299999997</v>
      </c>
      <c r="H231" s="314">
        <v>0</v>
      </c>
      <c r="I231" s="314">
        <v>6468936.9299999997</v>
      </c>
      <c r="J231" s="297">
        <v>1259391.5699999998</v>
      </c>
      <c r="K231" s="297">
        <v>938861</v>
      </c>
      <c r="L231" s="298">
        <v>1089221</v>
      </c>
      <c r="M231" s="298">
        <v>0</v>
      </c>
      <c r="N231" s="298">
        <v>0</v>
      </c>
      <c r="O231" s="297">
        <v>3181463</v>
      </c>
      <c r="P231" s="297">
        <v>0</v>
      </c>
      <c r="Q231" s="297">
        <v>0</v>
      </c>
      <c r="R231" s="297">
        <f t="shared" si="238"/>
        <v>6468936.5700000003</v>
      </c>
      <c r="S231" s="295"/>
      <c r="T231" s="276">
        <f t="shared" si="243"/>
        <v>0.35999999940395355</v>
      </c>
      <c r="U231" s="315">
        <v>1646888</v>
      </c>
      <c r="V231" s="316">
        <f t="shared" si="255"/>
        <v>708027</v>
      </c>
      <c r="W231" s="349">
        <f t="shared" si="256"/>
        <v>0.57008187563453006</v>
      </c>
      <c r="Y231" s="302">
        <v>1646888</v>
      </c>
      <c r="Z231" s="302">
        <v>931881</v>
      </c>
      <c r="AA231" s="302">
        <v>726555.25</v>
      </c>
      <c r="AB231" s="317">
        <f t="shared" si="258"/>
        <v>0.44116858584190305</v>
      </c>
      <c r="AC231" s="317">
        <f t="shared" si="259"/>
        <v>0.57008187563453006</v>
      </c>
      <c r="AD231" s="318">
        <f t="shared" si="257"/>
        <v>4.7341729882023892E-7</v>
      </c>
      <c r="AF231" s="276">
        <f t="shared" si="240"/>
        <v>708027</v>
      </c>
      <c r="AG231" s="256">
        <v>708027</v>
      </c>
      <c r="AI231" s="302">
        <v>1646888</v>
      </c>
      <c r="AJ231" s="282">
        <f t="shared" si="260"/>
        <v>708027</v>
      </c>
      <c r="AK231" s="256">
        <v>708027</v>
      </c>
    </row>
    <row r="232" spans="1:37" ht="89.25">
      <c r="A232" s="272" t="s">
        <v>603</v>
      </c>
      <c r="B232" s="310" t="s">
        <v>1079</v>
      </c>
      <c r="C232" s="292" t="s">
        <v>931</v>
      </c>
      <c r="D232" s="292"/>
      <c r="E232" s="292"/>
      <c r="F232" s="292"/>
      <c r="G232" s="321">
        <f>G233+G241</f>
        <v>485857472.94</v>
      </c>
      <c r="H232" s="321">
        <f t="shared" ref="H232:Q232" si="275">H233+H241</f>
        <v>11912839</v>
      </c>
      <c r="I232" s="321">
        <f t="shared" si="275"/>
        <v>497770311.94</v>
      </c>
      <c r="J232" s="321">
        <f t="shared" si="275"/>
        <v>254973513.23000002</v>
      </c>
      <c r="K232" s="321">
        <f t="shared" si="275"/>
        <v>49356950</v>
      </c>
      <c r="L232" s="321">
        <f t="shared" si="275"/>
        <v>63072637</v>
      </c>
      <c r="M232" s="321">
        <f t="shared" si="275"/>
        <v>40086042</v>
      </c>
      <c r="N232" s="321">
        <f t="shared" si="275"/>
        <v>6427858</v>
      </c>
      <c r="O232" s="321">
        <f t="shared" si="275"/>
        <v>9340274</v>
      </c>
      <c r="P232" s="321">
        <f t="shared" si="275"/>
        <v>36432581</v>
      </c>
      <c r="Q232" s="321">
        <f t="shared" si="275"/>
        <v>35768886</v>
      </c>
      <c r="R232" s="297">
        <f t="shared" si="238"/>
        <v>495458741.23000002</v>
      </c>
      <c r="S232" s="295"/>
      <c r="T232" s="276">
        <f t="shared" si="243"/>
        <v>2311570.7099999785</v>
      </c>
      <c r="U232" s="344">
        <f>U233+U241</f>
        <v>45180122</v>
      </c>
      <c r="V232" s="339">
        <f t="shared" si="255"/>
        <v>-4176828</v>
      </c>
      <c r="W232" s="278">
        <f t="shared" si="256"/>
        <v>1.092448355938481</v>
      </c>
      <c r="Y232" s="321">
        <f t="shared" ref="Y232:AA232" si="276">Y233+Y241</f>
        <v>43988516</v>
      </c>
      <c r="Z232" s="321">
        <f t="shared" si="276"/>
        <v>32679311</v>
      </c>
      <c r="AA232" s="321">
        <f t="shared" si="276"/>
        <v>31078097.670000002</v>
      </c>
      <c r="AB232" s="322">
        <f t="shared" si="258"/>
        <v>0.70650479934353783</v>
      </c>
      <c r="AC232" s="296">
        <f t="shared" si="259"/>
        <v>1.1220417165243766</v>
      </c>
      <c r="AD232" s="273">
        <f t="shared" si="257"/>
        <v>2.1619329714250642E-8</v>
      </c>
      <c r="AF232" s="276">
        <f t="shared" si="240"/>
        <v>-5368434</v>
      </c>
      <c r="AI232" s="321">
        <f t="shared" ref="AI232" si="277">AI233+AI241</f>
        <v>52566988</v>
      </c>
      <c r="AJ232" s="282">
        <f t="shared" si="260"/>
        <v>3210038</v>
      </c>
    </row>
    <row r="233" spans="1:37" ht="51">
      <c r="A233" s="378" t="s">
        <v>605</v>
      </c>
      <c r="B233" s="310" t="s">
        <v>1080</v>
      </c>
      <c r="C233" s="292" t="s">
        <v>931</v>
      </c>
      <c r="D233" s="292" t="s">
        <v>830</v>
      </c>
      <c r="E233" s="292"/>
      <c r="F233" s="292"/>
      <c r="G233" s="321">
        <f>G234+G235+G239+G240</f>
        <v>409161373.42000002</v>
      </c>
      <c r="H233" s="321">
        <f t="shared" ref="H233:Q233" si="278">H234+H235+H239+H240</f>
        <v>11912839</v>
      </c>
      <c r="I233" s="321">
        <f t="shared" si="278"/>
        <v>421074212.42000002</v>
      </c>
      <c r="J233" s="321">
        <f t="shared" si="278"/>
        <v>241423810.40000001</v>
      </c>
      <c r="K233" s="321">
        <f t="shared" si="278"/>
        <v>40637789</v>
      </c>
      <c r="L233" s="321">
        <f t="shared" si="278"/>
        <v>43556025</v>
      </c>
      <c r="M233" s="321">
        <f t="shared" si="278"/>
        <v>40086042</v>
      </c>
      <c r="N233" s="321">
        <f t="shared" si="278"/>
        <v>6427858</v>
      </c>
      <c r="O233" s="321">
        <f t="shared" si="278"/>
        <v>5884297</v>
      </c>
      <c r="P233" s="321">
        <f t="shared" si="278"/>
        <v>20539493</v>
      </c>
      <c r="Q233" s="321">
        <f t="shared" si="278"/>
        <v>20207328</v>
      </c>
      <c r="R233" s="297">
        <f t="shared" si="238"/>
        <v>418762642.39999998</v>
      </c>
      <c r="S233" s="295"/>
      <c r="T233" s="276">
        <f t="shared" si="243"/>
        <v>2311570.0200000405</v>
      </c>
      <c r="U233" s="344">
        <f>U234+U235+U239+U240</f>
        <v>33531448</v>
      </c>
      <c r="V233" s="277">
        <f t="shared" si="255"/>
        <v>-7106341</v>
      </c>
      <c r="W233" s="278">
        <f t="shared" si="256"/>
        <v>1.2119306329986108</v>
      </c>
      <c r="Y233" s="321">
        <f t="shared" ref="Y233:AA233" si="279">Y234+Y235+Y239+Y240</f>
        <v>33839842</v>
      </c>
      <c r="Z233" s="321">
        <f t="shared" si="279"/>
        <v>24532567</v>
      </c>
      <c r="AA233" s="321">
        <f t="shared" si="279"/>
        <v>24481380.710000001</v>
      </c>
      <c r="AB233" s="296">
        <f t="shared" si="258"/>
        <v>0.72344843424505356</v>
      </c>
      <c r="AC233" s="296">
        <f t="shared" si="259"/>
        <v>1.2008858965712665</v>
      </c>
      <c r="AD233" s="293">
        <f t="shared" si="257"/>
        <v>2.9489308405641103E-8</v>
      </c>
      <c r="AF233" s="276">
        <f t="shared" si="240"/>
        <v>-6797947</v>
      </c>
      <c r="AI233" s="321">
        <f t="shared" ref="AI233" si="280">AI234+AI235+AI239+AI240</f>
        <v>42418314</v>
      </c>
      <c r="AJ233" s="282">
        <f t="shared" si="260"/>
        <v>1780525</v>
      </c>
    </row>
    <row r="234" spans="1:37" ht="102">
      <c r="A234" s="311" t="s">
        <v>123</v>
      </c>
      <c r="B234" s="312" t="s">
        <v>1081</v>
      </c>
      <c r="C234" s="313" t="s">
        <v>931</v>
      </c>
      <c r="D234" s="313" t="s">
        <v>830</v>
      </c>
      <c r="E234" s="313" t="s">
        <v>830</v>
      </c>
      <c r="F234" s="313" t="s">
        <v>1033</v>
      </c>
      <c r="G234" s="327">
        <v>315612565</v>
      </c>
      <c r="H234" s="314">
        <v>11000000</v>
      </c>
      <c r="I234" s="327">
        <v>326612565</v>
      </c>
      <c r="J234" s="297">
        <v>216184847.56</v>
      </c>
      <c r="K234" s="297">
        <v>33292282</v>
      </c>
      <c r="L234" s="298">
        <v>35464375</v>
      </c>
      <c r="M234" s="298">
        <v>35620760</v>
      </c>
      <c r="N234" s="298">
        <v>5210954</v>
      </c>
      <c r="O234" s="297">
        <v>0</v>
      </c>
      <c r="P234" s="297">
        <v>0</v>
      </c>
      <c r="Q234" s="297">
        <v>839346</v>
      </c>
      <c r="R234" s="297">
        <f t="shared" si="238"/>
        <v>326612564.56</v>
      </c>
      <c r="S234" s="295"/>
      <c r="T234" s="276">
        <f t="shared" si="243"/>
        <v>0.43999999761581421</v>
      </c>
      <c r="U234" s="353">
        <v>22353899</v>
      </c>
      <c r="V234" s="316">
        <f t="shared" si="255"/>
        <v>-10938383</v>
      </c>
      <c r="W234" s="349">
        <f t="shared" si="256"/>
        <v>1.4893277454640017</v>
      </c>
      <c r="Y234" s="302">
        <v>23520534</v>
      </c>
      <c r="Z234" s="302">
        <v>19779454</v>
      </c>
      <c r="AA234" s="302">
        <v>19779452.469999999</v>
      </c>
      <c r="AB234" s="317">
        <f t="shared" si="258"/>
        <v>0.84094402235935628</v>
      </c>
      <c r="AC234" s="317">
        <f t="shared" si="259"/>
        <v>1.4154560436425465</v>
      </c>
      <c r="AD234" s="318">
        <f t="shared" si="257"/>
        <v>4.2516038226300701E-8</v>
      </c>
      <c r="AF234" s="276">
        <f t="shared" si="240"/>
        <v>-9771748</v>
      </c>
      <c r="AG234" s="256">
        <v>-9771748</v>
      </c>
      <c r="AI234" s="302">
        <f>23520534+6848375+3950595</f>
        <v>34319504</v>
      </c>
      <c r="AJ234" s="282">
        <f t="shared" si="260"/>
        <v>1027222</v>
      </c>
      <c r="AK234" s="256">
        <v>1027222</v>
      </c>
    </row>
    <row r="235" spans="1:37" ht="51">
      <c r="A235" s="311" t="s">
        <v>609</v>
      </c>
      <c r="B235" s="312" t="s">
        <v>1082</v>
      </c>
      <c r="C235" s="313" t="s">
        <v>931</v>
      </c>
      <c r="D235" s="313" t="s">
        <v>830</v>
      </c>
      <c r="E235" s="313" t="s">
        <v>830</v>
      </c>
      <c r="F235" s="313"/>
      <c r="G235" s="314">
        <f>G236+G237+G238</f>
        <v>81013117.670000002</v>
      </c>
      <c r="H235" s="314">
        <f t="shared" ref="H235:Q235" si="281">H236+H237+H238</f>
        <v>782839</v>
      </c>
      <c r="I235" s="314">
        <f t="shared" si="281"/>
        <v>81795956.670000002</v>
      </c>
      <c r="J235" s="314">
        <f t="shared" si="281"/>
        <v>22662295.98</v>
      </c>
      <c r="K235" s="314">
        <f t="shared" si="281"/>
        <v>5776253</v>
      </c>
      <c r="L235" s="314">
        <f t="shared" si="281"/>
        <v>5416095</v>
      </c>
      <c r="M235" s="314">
        <f t="shared" si="281"/>
        <v>1832052</v>
      </c>
      <c r="N235" s="314">
        <f t="shared" si="281"/>
        <v>189638</v>
      </c>
      <c r="O235" s="314">
        <f t="shared" si="281"/>
        <v>3860733</v>
      </c>
      <c r="P235" s="314">
        <f t="shared" si="281"/>
        <v>20539493</v>
      </c>
      <c r="Q235" s="314">
        <f t="shared" si="281"/>
        <v>19207829</v>
      </c>
      <c r="R235" s="297">
        <f t="shared" si="238"/>
        <v>79484388.980000004</v>
      </c>
      <c r="S235" s="295"/>
      <c r="T235" s="276">
        <f t="shared" si="243"/>
        <v>2311567.6899999976</v>
      </c>
      <c r="U235" s="347">
        <f>U236+U237+U238</f>
        <v>7579185</v>
      </c>
      <c r="V235" s="316">
        <f t="shared" si="255"/>
        <v>1802932</v>
      </c>
      <c r="W235" s="349">
        <f t="shared" si="256"/>
        <v>0.76212059739932458</v>
      </c>
      <c r="Y235" s="314">
        <f t="shared" ref="Y235:AA235" si="282">Y236+Y237+Y238</f>
        <v>7104493</v>
      </c>
      <c r="Z235" s="314">
        <f t="shared" si="282"/>
        <v>3956540</v>
      </c>
      <c r="AA235" s="314">
        <f t="shared" si="282"/>
        <v>3905358.39</v>
      </c>
      <c r="AB235" s="317">
        <f t="shared" si="258"/>
        <v>0.54970261635840867</v>
      </c>
      <c r="AC235" s="317">
        <f t="shared" si="259"/>
        <v>0.81304225368368999</v>
      </c>
      <c r="AD235" s="318">
        <f t="shared" si="257"/>
        <v>1.3893518487325002E-7</v>
      </c>
      <c r="AF235" s="276">
        <f t="shared" si="240"/>
        <v>1328240</v>
      </c>
      <c r="AI235" s="314">
        <f t="shared" ref="AI235" si="283">AI236+AI237+AI238</f>
        <v>6595381</v>
      </c>
      <c r="AJ235" s="282">
        <f t="shared" si="260"/>
        <v>819128</v>
      </c>
    </row>
    <row r="236" spans="1:37" ht="63.75">
      <c r="A236" s="311" t="s">
        <v>124</v>
      </c>
      <c r="B236" s="323" t="s">
        <v>1083</v>
      </c>
      <c r="C236" s="313" t="s">
        <v>931</v>
      </c>
      <c r="D236" s="313" t="s">
        <v>830</v>
      </c>
      <c r="E236" s="313" t="s">
        <v>830</v>
      </c>
      <c r="F236" s="313" t="s">
        <v>1033</v>
      </c>
      <c r="G236" s="327">
        <v>13774958</v>
      </c>
      <c r="H236" s="314">
        <v>782839</v>
      </c>
      <c r="I236" s="327">
        <v>14557797</v>
      </c>
      <c r="J236" s="297">
        <v>3583419.75</v>
      </c>
      <c r="K236" s="297">
        <v>1366142</v>
      </c>
      <c r="L236" s="298">
        <v>687882</v>
      </c>
      <c r="M236" s="298">
        <v>0</v>
      </c>
      <c r="N236" s="298">
        <v>0</v>
      </c>
      <c r="O236" s="297">
        <v>1532411</v>
      </c>
      <c r="P236" s="297">
        <v>3072691</v>
      </c>
      <c r="Q236" s="297">
        <v>2003684</v>
      </c>
      <c r="R236" s="297">
        <f t="shared" si="238"/>
        <v>12246229.75</v>
      </c>
      <c r="S236" s="295" t="s">
        <v>1084</v>
      </c>
      <c r="T236" s="276">
        <f t="shared" si="243"/>
        <v>2311567.25</v>
      </c>
      <c r="U236" s="353">
        <v>1780873</v>
      </c>
      <c r="V236" s="316">
        <f t="shared" si="255"/>
        <v>414731</v>
      </c>
      <c r="W236" s="349">
        <f t="shared" si="256"/>
        <v>0.76711927240179401</v>
      </c>
      <c r="Y236" s="302">
        <v>997787</v>
      </c>
      <c r="Z236" s="302">
        <v>752931</v>
      </c>
      <c r="AA236" s="302">
        <v>752929.11</v>
      </c>
      <c r="AB236" s="317">
        <f t="shared" si="258"/>
        <v>0.75459903767036451</v>
      </c>
      <c r="AC236" s="317">
        <f t="shared" si="259"/>
        <v>1.3691719775863986</v>
      </c>
      <c r="AD236" s="318">
        <f t="shared" si="257"/>
        <v>1.0022153924733667E-6</v>
      </c>
      <c r="AF236" s="276">
        <f t="shared" si="240"/>
        <v>-368355</v>
      </c>
      <c r="AG236" s="256">
        <v>-368355</v>
      </c>
      <c r="AI236" s="302">
        <f>997787+499104+125640</f>
        <v>1622531</v>
      </c>
      <c r="AJ236" s="282">
        <f t="shared" si="260"/>
        <v>256389</v>
      </c>
      <c r="AK236" s="256">
        <v>256389</v>
      </c>
    </row>
    <row r="237" spans="1:37" ht="63.75">
      <c r="A237" s="311" t="s">
        <v>125</v>
      </c>
      <c r="B237" s="323" t="s">
        <v>1085</v>
      </c>
      <c r="C237" s="313" t="s">
        <v>931</v>
      </c>
      <c r="D237" s="313" t="s">
        <v>830</v>
      </c>
      <c r="E237" s="313" t="s">
        <v>830</v>
      </c>
      <c r="F237" s="313" t="s">
        <v>1086</v>
      </c>
      <c r="G237" s="314">
        <v>28182440.399999999</v>
      </c>
      <c r="H237" s="314">
        <v>0</v>
      </c>
      <c r="I237" s="314">
        <v>28182440.399999999</v>
      </c>
      <c r="J237" s="297">
        <v>17084335.82</v>
      </c>
      <c r="K237" s="297">
        <v>3601441</v>
      </c>
      <c r="L237" s="298">
        <v>3649712</v>
      </c>
      <c r="M237" s="298">
        <v>1832052</v>
      </c>
      <c r="N237" s="298">
        <v>189638</v>
      </c>
      <c r="O237" s="297">
        <v>0</v>
      </c>
      <c r="P237" s="297">
        <v>179599</v>
      </c>
      <c r="Q237" s="297">
        <v>1645662</v>
      </c>
      <c r="R237" s="297">
        <f t="shared" si="238"/>
        <v>28182439.82</v>
      </c>
      <c r="S237" s="295"/>
      <c r="T237" s="276">
        <f t="shared" si="243"/>
        <v>0.57999999821186066</v>
      </c>
      <c r="U237" s="353">
        <v>4543513</v>
      </c>
      <c r="V237" s="316">
        <f t="shared" si="255"/>
        <v>942072</v>
      </c>
      <c r="W237" s="349">
        <f t="shared" si="256"/>
        <v>0.79265559491081017</v>
      </c>
      <c r="Y237" s="302">
        <v>4543513</v>
      </c>
      <c r="Z237" s="302">
        <v>2565518</v>
      </c>
      <c r="AA237" s="302">
        <v>2565511.12</v>
      </c>
      <c r="AB237" s="317">
        <f t="shared" si="258"/>
        <v>0.56465363255260859</v>
      </c>
      <c r="AC237" s="317">
        <f t="shared" si="259"/>
        <v>0.79265559491081017</v>
      </c>
      <c r="AD237" s="318">
        <f t="shared" si="257"/>
        <v>2.2009342072540852E-7</v>
      </c>
      <c r="AF237" s="276">
        <f t="shared" si="240"/>
        <v>942072</v>
      </c>
      <c r="AI237" s="302">
        <f>4543513-574994-131132</f>
        <v>3837387</v>
      </c>
      <c r="AJ237" s="282">
        <f t="shared" si="260"/>
        <v>235946</v>
      </c>
    </row>
    <row r="238" spans="1:37" ht="63.75">
      <c r="A238" s="311" t="s">
        <v>126</v>
      </c>
      <c r="B238" s="323" t="s">
        <v>1087</v>
      </c>
      <c r="C238" s="313" t="s">
        <v>931</v>
      </c>
      <c r="D238" s="313" t="s">
        <v>1088</v>
      </c>
      <c r="E238" s="313" t="s">
        <v>960</v>
      </c>
      <c r="F238" s="313" t="s">
        <v>1086</v>
      </c>
      <c r="G238" s="314">
        <v>39055719.270000003</v>
      </c>
      <c r="H238" s="314">
        <v>0</v>
      </c>
      <c r="I238" s="314">
        <v>39055719.270000003</v>
      </c>
      <c r="J238" s="297">
        <v>1994540.4100000001</v>
      </c>
      <c r="K238" s="297">
        <v>808670</v>
      </c>
      <c r="L238" s="298">
        <v>1078501</v>
      </c>
      <c r="M238" s="298">
        <v>0</v>
      </c>
      <c r="N238" s="298">
        <v>0</v>
      </c>
      <c r="O238" s="297">
        <v>2328322</v>
      </c>
      <c r="P238" s="297">
        <v>17287203</v>
      </c>
      <c r="Q238" s="297">
        <v>15558483</v>
      </c>
      <c r="R238" s="297">
        <f t="shared" si="238"/>
        <v>39055719.409999996</v>
      </c>
      <c r="S238" s="295" t="s">
        <v>1044</v>
      </c>
      <c r="T238" s="276">
        <f t="shared" si="243"/>
        <v>-0.13999999314546585</v>
      </c>
      <c r="U238" s="315">
        <v>1254799</v>
      </c>
      <c r="V238" s="316">
        <f t="shared" si="255"/>
        <v>446129</v>
      </c>
      <c r="W238" s="349">
        <f t="shared" si="256"/>
        <v>0.64446178232529672</v>
      </c>
      <c r="Y238" s="302">
        <v>1563193</v>
      </c>
      <c r="Z238" s="302">
        <v>638091</v>
      </c>
      <c r="AA238" s="302">
        <v>586918.16</v>
      </c>
      <c r="AB238" s="317">
        <f t="shared" si="258"/>
        <v>0.37546109789386212</v>
      </c>
      <c r="AC238" s="317">
        <f t="shared" si="259"/>
        <v>0.51731935851811006</v>
      </c>
      <c r="AD238" s="318">
        <f t="shared" si="257"/>
        <v>5.8841309138330136E-7</v>
      </c>
      <c r="AF238" s="276">
        <f t="shared" si="240"/>
        <v>754523</v>
      </c>
      <c r="AI238" s="302">
        <f>1563193-427730</f>
        <v>1135463</v>
      </c>
      <c r="AJ238" s="282">
        <f t="shared" si="260"/>
        <v>326793</v>
      </c>
    </row>
    <row r="239" spans="1:37" ht="51">
      <c r="A239" s="311" t="s">
        <v>140</v>
      </c>
      <c r="B239" s="312" t="s">
        <v>1046</v>
      </c>
      <c r="C239" s="313" t="s">
        <v>931</v>
      </c>
      <c r="D239" s="313" t="s">
        <v>830</v>
      </c>
      <c r="E239" s="313" t="s">
        <v>830</v>
      </c>
      <c r="F239" s="313" t="s">
        <v>940</v>
      </c>
      <c r="G239" s="314">
        <v>4568226</v>
      </c>
      <c r="H239" s="314">
        <v>0</v>
      </c>
      <c r="I239" s="314">
        <v>4568226</v>
      </c>
      <c r="J239" s="297">
        <v>321947.70999999996</v>
      </c>
      <c r="K239" s="297">
        <v>393890</v>
      </c>
      <c r="L239" s="298">
        <v>860583</v>
      </c>
      <c r="M239" s="298">
        <v>1128611</v>
      </c>
      <c r="N239" s="298">
        <v>564306</v>
      </c>
      <c r="O239" s="297">
        <v>1138735</v>
      </c>
      <c r="P239" s="297">
        <v>0</v>
      </c>
      <c r="Q239" s="297">
        <v>160153</v>
      </c>
      <c r="R239" s="297">
        <f t="shared" si="238"/>
        <v>4568225.71</v>
      </c>
      <c r="S239" s="295"/>
      <c r="T239" s="276">
        <f t="shared" si="243"/>
        <v>0.2900000000372529</v>
      </c>
      <c r="U239" s="336">
        <v>1796480</v>
      </c>
      <c r="V239" s="316">
        <f t="shared" si="255"/>
        <v>1402590</v>
      </c>
      <c r="W239" s="349">
        <f t="shared" si="256"/>
        <v>0.21925654613466333</v>
      </c>
      <c r="Y239" s="302">
        <v>1569124</v>
      </c>
      <c r="Z239" s="302">
        <v>70784</v>
      </c>
      <c r="AA239" s="302">
        <v>70782.759999999995</v>
      </c>
      <c r="AB239" s="317">
        <f t="shared" si="258"/>
        <v>4.510973001496376E-2</v>
      </c>
      <c r="AC239" s="317">
        <f t="shared" si="259"/>
        <v>0.25102541290554475</v>
      </c>
      <c r="AD239" s="318">
        <f t="shared" si="257"/>
        <v>6.3728709899078547E-7</v>
      </c>
      <c r="AF239" s="276">
        <f t="shared" si="240"/>
        <v>1175234</v>
      </c>
      <c r="AI239" s="302">
        <f>1569124-801216-349397</f>
        <v>418511</v>
      </c>
      <c r="AJ239" s="282">
        <f t="shared" si="260"/>
        <v>24621</v>
      </c>
    </row>
    <row r="240" spans="1:37" ht="51">
      <c r="A240" s="311" t="s">
        <v>141</v>
      </c>
      <c r="B240" s="312" t="s">
        <v>1089</v>
      </c>
      <c r="C240" s="313" t="s">
        <v>931</v>
      </c>
      <c r="D240" s="313" t="s">
        <v>830</v>
      </c>
      <c r="E240" s="313" t="s">
        <v>830</v>
      </c>
      <c r="F240" s="313" t="s">
        <v>1090</v>
      </c>
      <c r="G240" s="314">
        <v>7967464.75</v>
      </c>
      <c r="H240" s="314">
        <v>130000</v>
      </c>
      <c r="I240" s="314">
        <v>8097464.75</v>
      </c>
      <c r="J240" s="297">
        <v>2254719.15</v>
      </c>
      <c r="K240" s="297">
        <v>1175364</v>
      </c>
      <c r="L240" s="298">
        <v>1814972</v>
      </c>
      <c r="M240" s="298">
        <v>1504619</v>
      </c>
      <c r="N240" s="298">
        <v>462960</v>
      </c>
      <c r="O240" s="297">
        <v>884829</v>
      </c>
      <c r="P240" s="297">
        <v>0</v>
      </c>
      <c r="Q240" s="297">
        <v>0</v>
      </c>
      <c r="R240" s="297">
        <f t="shared" si="238"/>
        <v>8097463.1500000004</v>
      </c>
      <c r="S240" s="295"/>
      <c r="T240" s="276">
        <f t="shared" si="243"/>
        <v>1.599999999627471</v>
      </c>
      <c r="U240" s="315">
        <v>1801884</v>
      </c>
      <c r="V240" s="316">
        <f t="shared" si="255"/>
        <v>626520</v>
      </c>
      <c r="W240" s="349">
        <f t="shared" si="256"/>
        <v>0.6522972621988985</v>
      </c>
      <c r="Y240" s="302">
        <v>1645691</v>
      </c>
      <c r="Z240" s="302">
        <v>725789</v>
      </c>
      <c r="AA240" s="302">
        <v>725787.09</v>
      </c>
      <c r="AB240" s="317">
        <f t="shared" si="258"/>
        <v>0.44102270110245484</v>
      </c>
      <c r="AC240" s="317">
        <f t="shared" si="259"/>
        <v>0.71420698053279752</v>
      </c>
      <c r="AD240" s="318">
        <f t="shared" si="257"/>
        <v>6.0764588758227917E-7</v>
      </c>
      <c r="AF240" s="276">
        <f t="shared" si="240"/>
        <v>470327</v>
      </c>
      <c r="AI240" s="302">
        <f>1645691-462826-97947</f>
        <v>1084918</v>
      </c>
      <c r="AJ240" s="282">
        <f t="shared" si="260"/>
        <v>-90446</v>
      </c>
    </row>
    <row r="241" spans="1:37" ht="38.25">
      <c r="A241" s="272" t="s">
        <v>616</v>
      </c>
      <c r="B241" s="310" t="s">
        <v>1091</v>
      </c>
      <c r="C241" s="292" t="s">
        <v>931</v>
      </c>
      <c r="D241" s="292" t="s">
        <v>782</v>
      </c>
      <c r="E241" s="292"/>
      <c r="F241" s="292"/>
      <c r="G241" s="321">
        <f>G242+G245+G246+G247</f>
        <v>76696099.519999996</v>
      </c>
      <c r="H241" s="321">
        <f t="shared" ref="H241:Q241" si="284">H242+H245+H246+H247</f>
        <v>0</v>
      </c>
      <c r="I241" s="321">
        <f t="shared" si="284"/>
        <v>76696099.519999996</v>
      </c>
      <c r="J241" s="321">
        <f t="shared" si="284"/>
        <v>13549702.83</v>
      </c>
      <c r="K241" s="321">
        <f t="shared" si="284"/>
        <v>8719161</v>
      </c>
      <c r="L241" s="321">
        <f t="shared" si="284"/>
        <v>19516612</v>
      </c>
      <c r="M241" s="321">
        <f t="shared" si="284"/>
        <v>0</v>
      </c>
      <c r="N241" s="321">
        <f t="shared" si="284"/>
        <v>0</v>
      </c>
      <c r="O241" s="321">
        <f t="shared" si="284"/>
        <v>3455977</v>
      </c>
      <c r="P241" s="321">
        <f t="shared" si="284"/>
        <v>15893088</v>
      </c>
      <c r="Q241" s="321">
        <f t="shared" si="284"/>
        <v>15561558</v>
      </c>
      <c r="R241" s="297">
        <f t="shared" si="238"/>
        <v>76696098.829999998</v>
      </c>
      <c r="S241" s="295"/>
      <c r="T241" s="276">
        <f t="shared" si="243"/>
        <v>0.68999999761581421</v>
      </c>
      <c r="U241" s="344">
        <f>U242+U245+U246+U247</f>
        <v>11648674</v>
      </c>
      <c r="V241" s="277">
        <f t="shared" si="255"/>
        <v>2929513</v>
      </c>
      <c r="W241" s="278">
        <f t="shared" si="256"/>
        <v>0.74851103224281146</v>
      </c>
      <c r="Y241" s="321">
        <f t="shared" ref="Y241:AA241" si="285">Y242+Y245+Y246+Y247</f>
        <v>10148674</v>
      </c>
      <c r="Z241" s="321">
        <f t="shared" si="285"/>
        <v>8146744</v>
      </c>
      <c r="AA241" s="321">
        <f t="shared" si="285"/>
        <v>6596716.96</v>
      </c>
      <c r="AB241" s="296">
        <f t="shared" si="258"/>
        <v>0.65000777047326574</v>
      </c>
      <c r="AC241" s="296">
        <f t="shared" si="259"/>
        <v>0.85914287915840037</v>
      </c>
      <c r="AD241" s="293">
        <f t="shared" si="257"/>
        <v>7.9787430472010139E-8</v>
      </c>
      <c r="AF241" s="276">
        <f t="shared" si="240"/>
        <v>1429513</v>
      </c>
      <c r="AI241" s="321">
        <f t="shared" ref="AI241" si="286">AI242+AI245+AI246+AI247</f>
        <v>10148674</v>
      </c>
      <c r="AJ241" s="282">
        <f t="shared" si="260"/>
        <v>1429513</v>
      </c>
    </row>
    <row r="242" spans="1:37" ht="63.75">
      <c r="A242" s="311" t="s">
        <v>618</v>
      </c>
      <c r="B242" s="312" t="s">
        <v>1092</v>
      </c>
      <c r="C242" s="313" t="s">
        <v>931</v>
      </c>
      <c r="D242" s="313" t="s">
        <v>782</v>
      </c>
      <c r="E242" s="313" t="s">
        <v>782</v>
      </c>
      <c r="F242" s="313" t="s">
        <v>1093</v>
      </c>
      <c r="G242" s="314">
        <f>G243+G244</f>
        <v>55330599.289999999</v>
      </c>
      <c r="H242" s="314">
        <f t="shared" ref="H242:Q242" si="287">H243+H244</f>
        <v>0</v>
      </c>
      <c r="I242" s="314">
        <f t="shared" si="287"/>
        <v>55330599.289999999</v>
      </c>
      <c r="J242" s="314">
        <f t="shared" si="287"/>
        <v>8303693.8499999996</v>
      </c>
      <c r="K242" s="314">
        <f t="shared" si="287"/>
        <v>3974341</v>
      </c>
      <c r="L242" s="314">
        <f t="shared" si="287"/>
        <v>10427862</v>
      </c>
      <c r="M242" s="314">
        <f t="shared" si="287"/>
        <v>0</v>
      </c>
      <c r="N242" s="314">
        <f t="shared" si="287"/>
        <v>0</v>
      </c>
      <c r="O242" s="314">
        <f t="shared" si="287"/>
        <v>3455977</v>
      </c>
      <c r="P242" s="314">
        <f t="shared" si="287"/>
        <v>15893088</v>
      </c>
      <c r="Q242" s="314">
        <f t="shared" si="287"/>
        <v>13275637</v>
      </c>
      <c r="R242" s="297">
        <f t="shared" si="238"/>
        <v>55330598.850000001</v>
      </c>
      <c r="S242" s="295"/>
      <c r="T242" s="276">
        <f t="shared" si="243"/>
        <v>0.43999999761581421</v>
      </c>
      <c r="U242" s="353">
        <f>U243+U244</f>
        <v>5237945</v>
      </c>
      <c r="V242" s="316">
        <f t="shared" si="255"/>
        <v>1263604</v>
      </c>
      <c r="W242" s="349">
        <f t="shared" si="256"/>
        <v>0.75875958987732783</v>
      </c>
      <c r="Y242" s="314">
        <f t="shared" ref="Y242:AA242" si="288">Y243+Y244</f>
        <v>5237945</v>
      </c>
      <c r="Z242" s="314">
        <f t="shared" si="288"/>
        <v>3775015</v>
      </c>
      <c r="AA242" s="314">
        <f t="shared" si="288"/>
        <v>3695988.93</v>
      </c>
      <c r="AB242" s="317">
        <f t="shared" si="258"/>
        <v>0.70561812504713206</v>
      </c>
      <c r="AC242" s="317">
        <f t="shared" si="259"/>
        <v>0.75875958987732783</v>
      </c>
      <c r="AD242" s="318">
        <f t="shared" si="257"/>
        <v>1.8691796590136253E-7</v>
      </c>
      <c r="AF242" s="276">
        <f t="shared" si="240"/>
        <v>1263604</v>
      </c>
      <c r="AI242" s="314">
        <f t="shared" ref="AI242" si="289">AI243+AI244</f>
        <v>5237945</v>
      </c>
      <c r="AJ242" s="282">
        <f t="shared" si="260"/>
        <v>1263604</v>
      </c>
    </row>
    <row r="243" spans="1:37" ht="76.5">
      <c r="A243" s="311" t="s">
        <v>148</v>
      </c>
      <c r="B243" s="312" t="s">
        <v>1094</v>
      </c>
      <c r="C243" s="313"/>
      <c r="D243" s="313" t="s">
        <v>782</v>
      </c>
      <c r="E243" s="313"/>
      <c r="F243" s="313" t="s">
        <v>1095</v>
      </c>
      <c r="G243" s="314">
        <v>54746209.329999998</v>
      </c>
      <c r="H243" s="314">
        <v>0</v>
      </c>
      <c r="I243" s="314">
        <v>54746209.329999998</v>
      </c>
      <c r="J243" s="297">
        <v>8303693.8499999996</v>
      </c>
      <c r="K243" s="297">
        <v>3974341</v>
      </c>
      <c r="L243" s="298">
        <v>10427862</v>
      </c>
      <c r="M243" s="298">
        <v>0</v>
      </c>
      <c r="N243" s="298">
        <v>0</v>
      </c>
      <c r="O243" s="297">
        <v>3455977</v>
      </c>
      <c r="P243" s="297">
        <v>15893088</v>
      </c>
      <c r="Q243" s="297">
        <v>12691247</v>
      </c>
      <c r="R243" s="297">
        <f t="shared" si="238"/>
        <v>54746208.850000001</v>
      </c>
      <c r="S243" s="295"/>
      <c r="T243" s="276">
        <f t="shared" si="243"/>
        <v>0.47999999672174454</v>
      </c>
      <c r="U243" s="353">
        <v>5237945</v>
      </c>
      <c r="V243" s="316">
        <f t="shared" si="255"/>
        <v>1263604</v>
      </c>
      <c r="W243" s="349">
        <f t="shared" si="256"/>
        <v>0.75875958987732783</v>
      </c>
      <c r="Y243" s="302">
        <v>5237945</v>
      </c>
      <c r="Z243" s="302">
        <v>3775015</v>
      </c>
      <c r="AA243" s="302">
        <v>3695988.93</v>
      </c>
      <c r="AB243" s="317">
        <f t="shared" si="258"/>
        <v>0.70561812504713206</v>
      </c>
      <c r="AC243" s="317">
        <f t="shared" si="259"/>
        <v>0.75875958987732783</v>
      </c>
      <c r="AD243" s="318">
        <f t="shared" si="257"/>
        <v>1.8691796590136253E-7</v>
      </c>
      <c r="AF243" s="276">
        <f t="shared" si="240"/>
        <v>1263604</v>
      </c>
      <c r="AI243" s="302">
        <v>5237945</v>
      </c>
      <c r="AJ243" s="282">
        <f t="shared" si="260"/>
        <v>1263604</v>
      </c>
    </row>
    <row r="244" spans="1:37" ht="76.5">
      <c r="A244" s="311" t="s">
        <v>147</v>
      </c>
      <c r="B244" s="312" t="s">
        <v>1096</v>
      </c>
      <c r="C244" s="313"/>
      <c r="D244" s="313" t="s">
        <v>782</v>
      </c>
      <c r="E244" s="313"/>
      <c r="F244" s="313" t="s">
        <v>1095</v>
      </c>
      <c r="G244" s="314">
        <v>584389.96</v>
      </c>
      <c r="H244" s="314">
        <v>0</v>
      </c>
      <c r="I244" s="314">
        <v>584389.96</v>
      </c>
      <c r="J244" s="297">
        <v>0</v>
      </c>
      <c r="K244" s="297">
        <v>0</v>
      </c>
      <c r="L244" s="298">
        <v>0</v>
      </c>
      <c r="M244" s="298">
        <v>0</v>
      </c>
      <c r="N244" s="298">
        <v>0</v>
      </c>
      <c r="O244" s="297">
        <v>0</v>
      </c>
      <c r="P244" s="297">
        <v>0</v>
      </c>
      <c r="Q244" s="297">
        <v>584390</v>
      </c>
      <c r="R244" s="297">
        <f t="shared" si="238"/>
        <v>584390</v>
      </c>
      <c r="S244" s="295" t="s">
        <v>1097</v>
      </c>
      <c r="T244" s="276">
        <f t="shared" si="243"/>
        <v>-4.0000000037252903E-2</v>
      </c>
      <c r="U244" s="353">
        <v>0</v>
      </c>
      <c r="V244" s="316">
        <f t="shared" si="255"/>
        <v>0</v>
      </c>
      <c r="W244" s="349" t="e">
        <f t="shared" si="256"/>
        <v>#DIV/0!</v>
      </c>
      <c r="Y244" s="302">
        <v>0</v>
      </c>
      <c r="Z244" s="302">
        <v>0</v>
      </c>
      <c r="AA244" s="302">
        <v>0</v>
      </c>
      <c r="AB244" s="317" t="e">
        <f t="shared" si="258"/>
        <v>#DIV/0!</v>
      </c>
      <c r="AC244" s="317" t="e">
        <f t="shared" si="259"/>
        <v>#DIV/0!</v>
      </c>
      <c r="AD244" s="318" t="e">
        <f t="shared" si="257"/>
        <v>#DIV/0!</v>
      </c>
      <c r="AF244" s="276">
        <f t="shared" si="240"/>
        <v>0</v>
      </c>
      <c r="AI244" s="302">
        <v>0</v>
      </c>
      <c r="AJ244" s="282">
        <f t="shared" si="260"/>
        <v>0</v>
      </c>
    </row>
    <row r="245" spans="1:37" ht="76.5">
      <c r="A245" s="311" t="s">
        <v>133</v>
      </c>
      <c r="B245" s="312" t="s">
        <v>1098</v>
      </c>
      <c r="C245" s="313" t="s">
        <v>931</v>
      </c>
      <c r="D245" s="313" t="s">
        <v>782</v>
      </c>
      <c r="E245" s="313" t="s">
        <v>782</v>
      </c>
      <c r="F245" s="313" t="s">
        <v>1099</v>
      </c>
      <c r="G245" s="314">
        <v>21365500.23</v>
      </c>
      <c r="H245" s="314">
        <v>0</v>
      </c>
      <c r="I245" s="314">
        <v>21365500.23</v>
      </c>
      <c r="J245" s="297">
        <v>5246008.9800000004</v>
      </c>
      <c r="K245" s="297">
        <v>4744820</v>
      </c>
      <c r="L245" s="298">
        <v>9088750</v>
      </c>
      <c r="M245" s="298">
        <v>0</v>
      </c>
      <c r="N245" s="298">
        <v>0</v>
      </c>
      <c r="O245" s="297">
        <v>0</v>
      </c>
      <c r="P245" s="297">
        <v>0</v>
      </c>
      <c r="Q245" s="297">
        <v>2285921</v>
      </c>
      <c r="R245" s="333">
        <f t="shared" si="238"/>
        <v>21365499.98</v>
      </c>
      <c r="S245" s="295"/>
      <c r="T245" s="276">
        <f t="shared" si="243"/>
        <v>0.25</v>
      </c>
      <c r="U245" s="315">
        <v>6410729</v>
      </c>
      <c r="V245" s="316">
        <f t="shared" si="255"/>
        <v>1665909</v>
      </c>
      <c r="W245" s="349">
        <f t="shared" si="256"/>
        <v>0.74013735411370529</v>
      </c>
      <c r="Y245" s="302">
        <v>4910729</v>
      </c>
      <c r="Z245" s="302">
        <v>4371729</v>
      </c>
      <c r="AA245" s="302">
        <v>2900728.03</v>
      </c>
      <c r="AB245" s="317">
        <f t="shared" si="258"/>
        <v>0.59069193799942932</v>
      </c>
      <c r="AC245" s="317">
        <f t="shared" si="259"/>
        <v>0.96621499577761261</v>
      </c>
      <c r="AD245" s="318">
        <f t="shared" si="257"/>
        <v>1.3511632079651537E-7</v>
      </c>
      <c r="AF245" s="276">
        <f t="shared" si="240"/>
        <v>165909</v>
      </c>
      <c r="AI245" s="302">
        <v>4910729</v>
      </c>
      <c r="AJ245" s="282">
        <f t="shared" si="260"/>
        <v>165909</v>
      </c>
    </row>
    <row r="246" spans="1:37" ht="38.25">
      <c r="A246" s="311" t="s">
        <v>134</v>
      </c>
      <c r="B246" s="312" t="s">
        <v>1100</v>
      </c>
      <c r="C246" s="313" t="s">
        <v>931</v>
      </c>
      <c r="D246" s="313" t="s">
        <v>782</v>
      </c>
      <c r="E246" s="313" t="s">
        <v>782</v>
      </c>
      <c r="F246" s="313" t="s">
        <v>967</v>
      </c>
      <c r="G246" s="314">
        <v>0</v>
      </c>
      <c r="H246" s="314">
        <v>0</v>
      </c>
      <c r="I246" s="314">
        <v>0</v>
      </c>
      <c r="J246" s="297">
        <v>0</v>
      </c>
      <c r="K246" s="297">
        <v>0</v>
      </c>
      <c r="L246" s="298">
        <v>0</v>
      </c>
      <c r="M246" s="298">
        <v>0</v>
      </c>
      <c r="N246" s="298">
        <v>0</v>
      </c>
      <c r="O246" s="297">
        <v>0</v>
      </c>
      <c r="P246" s="297">
        <v>0</v>
      </c>
      <c r="Q246" s="297">
        <v>0</v>
      </c>
      <c r="R246" s="297">
        <f t="shared" si="238"/>
        <v>0</v>
      </c>
      <c r="S246" s="295"/>
      <c r="T246" s="276">
        <f t="shared" si="243"/>
        <v>0</v>
      </c>
      <c r="U246" s="315">
        <v>0</v>
      </c>
      <c r="V246" s="316">
        <f t="shared" si="255"/>
        <v>0</v>
      </c>
      <c r="W246" s="349" t="e">
        <f t="shared" si="256"/>
        <v>#DIV/0!</v>
      </c>
      <c r="Y246" s="302">
        <v>0</v>
      </c>
      <c r="Z246" s="302">
        <v>0</v>
      </c>
      <c r="AA246" s="302">
        <v>0</v>
      </c>
      <c r="AB246" s="317" t="e">
        <f t="shared" si="258"/>
        <v>#DIV/0!</v>
      </c>
      <c r="AC246" s="317" t="e">
        <f t="shared" si="259"/>
        <v>#DIV/0!</v>
      </c>
      <c r="AD246" s="318" t="e">
        <f t="shared" si="257"/>
        <v>#DIV/0!</v>
      </c>
      <c r="AF246" s="276">
        <f t="shared" si="240"/>
        <v>0</v>
      </c>
      <c r="AI246" s="302">
        <v>0</v>
      </c>
      <c r="AJ246" s="282">
        <f t="shared" si="260"/>
        <v>0</v>
      </c>
    </row>
    <row r="247" spans="1:37" ht="63.75">
      <c r="A247" s="311" t="s">
        <v>135</v>
      </c>
      <c r="B247" s="312" t="s">
        <v>1101</v>
      </c>
      <c r="C247" s="313" t="s">
        <v>931</v>
      </c>
      <c r="D247" s="313" t="s">
        <v>782</v>
      </c>
      <c r="E247" s="313" t="s">
        <v>782</v>
      </c>
      <c r="F247" s="313" t="s">
        <v>1102</v>
      </c>
      <c r="G247" s="314">
        <v>0</v>
      </c>
      <c r="H247" s="314">
        <v>0</v>
      </c>
      <c r="I247" s="314">
        <v>0</v>
      </c>
      <c r="J247" s="297">
        <v>0</v>
      </c>
      <c r="K247" s="297">
        <v>0</v>
      </c>
      <c r="L247" s="298">
        <v>0</v>
      </c>
      <c r="M247" s="298">
        <v>0</v>
      </c>
      <c r="N247" s="298">
        <v>0</v>
      </c>
      <c r="O247" s="297">
        <v>0</v>
      </c>
      <c r="P247" s="297">
        <v>0</v>
      </c>
      <c r="Q247" s="297">
        <v>0</v>
      </c>
      <c r="R247" s="297">
        <f t="shared" si="238"/>
        <v>0</v>
      </c>
      <c r="S247" s="295"/>
      <c r="T247" s="276">
        <f t="shared" si="243"/>
        <v>0</v>
      </c>
      <c r="U247" s="315">
        <v>0</v>
      </c>
      <c r="V247" s="316">
        <f t="shared" si="255"/>
        <v>0</v>
      </c>
      <c r="W247" s="349" t="e">
        <f t="shared" si="256"/>
        <v>#DIV/0!</v>
      </c>
      <c r="Y247" s="302">
        <v>0</v>
      </c>
      <c r="Z247" s="302">
        <v>0</v>
      </c>
      <c r="AA247" s="302">
        <v>0</v>
      </c>
      <c r="AB247" s="317" t="e">
        <f t="shared" si="258"/>
        <v>#DIV/0!</v>
      </c>
      <c r="AC247" s="317" t="e">
        <f t="shared" si="259"/>
        <v>#DIV/0!</v>
      </c>
      <c r="AD247" s="318" t="e">
        <f t="shared" si="257"/>
        <v>#DIV/0!</v>
      </c>
      <c r="AF247" s="276">
        <f t="shared" si="240"/>
        <v>0</v>
      </c>
      <c r="AI247" s="302">
        <v>0</v>
      </c>
      <c r="AJ247" s="282">
        <f t="shared" si="260"/>
        <v>0</v>
      </c>
    </row>
    <row r="248" spans="1:37" ht="38.25">
      <c r="A248" s="272" t="s">
        <v>626</v>
      </c>
      <c r="B248" s="310" t="s">
        <v>1103</v>
      </c>
      <c r="C248" s="292" t="s">
        <v>398</v>
      </c>
      <c r="D248" s="292" t="s">
        <v>830</v>
      </c>
      <c r="E248" s="292"/>
      <c r="F248" s="292"/>
      <c r="G248" s="321">
        <f>G249+G252</f>
        <v>226969402</v>
      </c>
      <c r="H248" s="321">
        <f t="shared" ref="H248:Q248" si="290">H249+H252</f>
        <v>43561543</v>
      </c>
      <c r="I248" s="321">
        <f t="shared" si="290"/>
        <v>270530945</v>
      </c>
      <c r="J248" s="321">
        <f t="shared" si="290"/>
        <v>127340408.99000001</v>
      </c>
      <c r="K248" s="321">
        <f t="shared" si="290"/>
        <v>25666449</v>
      </c>
      <c r="L248" s="321">
        <f t="shared" si="290"/>
        <v>21158456</v>
      </c>
      <c r="M248" s="321">
        <f t="shared" si="290"/>
        <v>3482960</v>
      </c>
      <c r="N248" s="321">
        <f t="shared" si="290"/>
        <v>0</v>
      </c>
      <c r="O248" s="321">
        <f t="shared" si="290"/>
        <v>24394051</v>
      </c>
      <c r="P248" s="321">
        <f t="shared" si="290"/>
        <v>26490189</v>
      </c>
      <c r="Q248" s="321">
        <f t="shared" si="290"/>
        <v>29729176</v>
      </c>
      <c r="R248" s="297">
        <f t="shared" si="238"/>
        <v>258261689.99000001</v>
      </c>
      <c r="S248" s="295"/>
      <c r="T248" s="276">
        <f t="shared" si="243"/>
        <v>12269255.00999999</v>
      </c>
      <c r="U248" s="344">
        <f>U249+U252</f>
        <v>32367865</v>
      </c>
      <c r="V248" s="277">
        <f t="shared" si="255"/>
        <v>6701416</v>
      </c>
      <c r="W248" s="278">
        <f t="shared" si="256"/>
        <v>0.79296082704250037</v>
      </c>
      <c r="Y248" s="321">
        <f t="shared" ref="Y248:AA248" si="291">Y249+Y252</f>
        <v>31550488</v>
      </c>
      <c r="Z248" s="321">
        <f t="shared" si="291"/>
        <v>16830101</v>
      </c>
      <c r="AA248" s="321">
        <f t="shared" si="291"/>
        <v>16532911.92</v>
      </c>
      <c r="AB248" s="296">
        <f t="shared" si="258"/>
        <v>0.52401445961786708</v>
      </c>
      <c r="AC248" s="296">
        <f t="shared" si="259"/>
        <v>0.81350402567465829</v>
      </c>
      <c r="AD248" s="293">
        <f t="shared" si="257"/>
        <v>3.1135550500728844E-8</v>
      </c>
      <c r="AF248" s="276">
        <f t="shared" si="240"/>
        <v>5884039</v>
      </c>
      <c r="AI248" s="321">
        <f t="shared" ref="AI248" si="292">AI249+AI252</f>
        <v>28803938</v>
      </c>
      <c r="AJ248" s="282">
        <f t="shared" si="260"/>
        <v>3137489</v>
      </c>
    </row>
    <row r="249" spans="1:37" ht="63.75">
      <c r="A249" s="272" t="s">
        <v>628</v>
      </c>
      <c r="B249" s="310" t="s">
        <v>1104</v>
      </c>
      <c r="C249" s="292" t="s">
        <v>398</v>
      </c>
      <c r="D249" s="292" t="s">
        <v>830</v>
      </c>
      <c r="E249" s="292"/>
      <c r="F249" s="292"/>
      <c r="G249" s="321">
        <f>G250+G251</f>
        <v>217485002</v>
      </c>
      <c r="H249" s="321">
        <f t="shared" ref="H249:Q249" si="293">H250+H251</f>
        <v>25685543</v>
      </c>
      <c r="I249" s="321">
        <f t="shared" si="293"/>
        <v>243170545</v>
      </c>
      <c r="J249" s="321">
        <f t="shared" si="293"/>
        <v>127340408.99000001</v>
      </c>
      <c r="K249" s="321">
        <f t="shared" si="293"/>
        <v>22419313</v>
      </c>
      <c r="L249" s="321">
        <f t="shared" si="293"/>
        <v>20919200</v>
      </c>
      <c r="M249" s="321">
        <f t="shared" si="293"/>
        <v>3482960</v>
      </c>
      <c r="N249" s="321">
        <f t="shared" si="293"/>
        <v>0</v>
      </c>
      <c r="O249" s="321">
        <f t="shared" si="293"/>
        <v>18105637</v>
      </c>
      <c r="P249" s="321">
        <f t="shared" si="293"/>
        <v>18105637</v>
      </c>
      <c r="Q249" s="321">
        <f t="shared" si="293"/>
        <v>23440762</v>
      </c>
      <c r="R249" s="297">
        <f t="shared" si="238"/>
        <v>233813917.99000001</v>
      </c>
      <c r="S249" s="295"/>
      <c r="T249" s="276">
        <f t="shared" si="243"/>
        <v>9356627.0099999905</v>
      </c>
      <c r="U249" s="344">
        <f>U250+U251</f>
        <v>32367865</v>
      </c>
      <c r="V249" s="277">
        <f t="shared" si="255"/>
        <v>9948552</v>
      </c>
      <c r="W249" s="278">
        <f t="shared" si="256"/>
        <v>0.69264108089921905</v>
      </c>
      <c r="Y249" s="321">
        <f t="shared" ref="Y249:AA249" si="294">Y250+Y251</f>
        <v>28358458</v>
      </c>
      <c r="Z249" s="321">
        <f t="shared" si="294"/>
        <v>14670674</v>
      </c>
      <c r="AA249" s="321">
        <f t="shared" si="294"/>
        <v>14373484.92</v>
      </c>
      <c r="AB249" s="296">
        <f t="shared" si="258"/>
        <v>0.50685001702137678</v>
      </c>
      <c r="AC249" s="296">
        <f t="shared" si="259"/>
        <v>0.79056883135183165</v>
      </c>
      <c r="AD249" s="293">
        <f t="shared" si="257"/>
        <v>3.4548516109169681E-8</v>
      </c>
      <c r="AF249" s="276">
        <f t="shared" si="240"/>
        <v>5939145</v>
      </c>
      <c r="AI249" s="321">
        <f t="shared" ref="AI249" si="295">AI250+AI251</f>
        <v>28358458</v>
      </c>
      <c r="AJ249" s="282">
        <f t="shared" si="260"/>
        <v>5939145</v>
      </c>
    </row>
    <row r="250" spans="1:37" ht="127.5">
      <c r="A250" s="311" t="s">
        <v>107</v>
      </c>
      <c r="B250" s="312" t="s">
        <v>1105</v>
      </c>
      <c r="C250" s="313" t="s">
        <v>398</v>
      </c>
      <c r="D250" s="313" t="s">
        <v>830</v>
      </c>
      <c r="E250" s="313" t="s">
        <v>974</v>
      </c>
      <c r="F250" s="313" t="s">
        <v>1033</v>
      </c>
      <c r="G250" s="314">
        <v>209216720</v>
      </c>
      <c r="H250" s="379">
        <v>25685543</v>
      </c>
      <c r="I250" s="314">
        <f>G250+H250</f>
        <v>234902263</v>
      </c>
      <c r="J250" s="297">
        <v>126337848.99000001</v>
      </c>
      <c r="K250" s="297">
        <v>21796488</v>
      </c>
      <c r="L250" s="298">
        <v>15508622</v>
      </c>
      <c r="M250" s="298">
        <v>3221210</v>
      </c>
      <c r="N250" s="298">
        <v>0</v>
      </c>
      <c r="O250" s="297">
        <v>18105637</v>
      </c>
      <c r="P250" s="297">
        <v>18105637</v>
      </c>
      <c r="Q250" s="380">
        <v>23440762</v>
      </c>
      <c r="R250" s="297">
        <f t="shared" si="238"/>
        <v>226516204.99000001</v>
      </c>
      <c r="S250" s="295" t="s">
        <v>1106</v>
      </c>
      <c r="T250" s="276">
        <f t="shared" si="243"/>
        <v>8386058.0099999905</v>
      </c>
      <c r="U250" s="367">
        <v>29084990</v>
      </c>
      <c r="V250" s="316">
        <f t="shared" si="255"/>
        <v>7288502</v>
      </c>
      <c r="W250" s="349">
        <f t="shared" si="256"/>
        <v>0.74940675585585559</v>
      </c>
      <c r="Y250" s="302">
        <v>27819269</v>
      </c>
      <c r="Z250" s="302">
        <v>14670674</v>
      </c>
      <c r="AA250" s="302">
        <v>14373484.92</v>
      </c>
      <c r="AB250" s="317">
        <f t="shared" si="258"/>
        <v>0.51667370986635197</v>
      </c>
      <c r="AC250" s="317">
        <f t="shared" si="259"/>
        <v>0.78350326171402995</v>
      </c>
      <c r="AD250" s="318">
        <f t="shared" si="257"/>
        <v>3.5218130391715607E-8</v>
      </c>
      <c r="AF250" s="276">
        <f t="shared" si="240"/>
        <v>6022781</v>
      </c>
      <c r="AG250" s="256">
        <v>6022781</v>
      </c>
      <c r="AI250" s="302">
        <v>27819269</v>
      </c>
      <c r="AJ250" s="282">
        <f t="shared" si="260"/>
        <v>6022781</v>
      </c>
      <c r="AK250" s="256">
        <v>6022781</v>
      </c>
    </row>
    <row r="251" spans="1:37" ht="127.5">
      <c r="A251" s="311" t="s">
        <v>108</v>
      </c>
      <c r="B251" s="312" t="s">
        <v>1107</v>
      </c>
      <c r="C251" s="313" t="s">
        <v>398</v>
      </c>
      <c r="D251" s="313" t="s">
        <v>830</v>
      </c>
      <c r="E251" s="313" t="s">
        <v>974</v>
      </c>
      <c r="F251" s="313" t="s">
        <v>1033</v>
      </c>
      <c r="G251" s="314">
        <v>8268282</v>
      </c>
      <c r="H251" s="314">
        <v>0</v>
      </c>
      <c r="I251" s="314">
        <v>8268282</v>
      </c>
      <c r="J251" s="297">
        <v>1002560</v>
      </c>
      <c r="K251" s="297">
        <v>622825</v>
      </c>
      <c r="L251" s="298">
        <v>5410578</v>
      </c>
      <c r="M251" s="298">
        <v>261750</v>
      </c>
      <c r="N251" s="298">
        <v>0</v>
      </c>
      <c r="O251" s="297">
        <v>0</v>
      </c>
      <c r="P251" s="297">
        <v>0</v>
      </c>
      <c r="Q251" s="297">
        <v>0</v>
      </c>
      <c r="R251" s="297">
        <f t="shared" si="238"/>
        <v>7297713</v>
      </c>
      <c r="S251" s="295" t="s">
        <v>1106</v>
      </c>
      <c r="T251" s="276">
        <f t="shared" si="243"/>
        <v>970569</v>
      </c>
      <c r="U251" s="336">
        <v>3282875</v>
      </c>
      <c r="V251" s="316">
        <f t="shared" si="255"/>
        <v>2660050</v>
      </c>
      <c r="W251" s="349">
        <f t="shared" si="256"/>
        <v>0.18971937707040323</v>
      </c>
      <c r="Y251" s="302">
        <v>539189</v>
      </c>
      <c r="Z251" s="302">
        <v>0</v>
      </c>
      <c r="AA251" s="302">
        <v>0</v>
      </c>
      <c r="AB251" s="317">
        <f t="shared" si="258"/>
        <v>0</v>
      </c>
      <c r="AC251" s="317">
        <f t="shared" si="259"/>
        <v>1.1551144403910316</v>
      </c>
      <c r="AD251" s="318" t="e">
        <f t="shared" si="257"/>
        <v>#DIV/0!</v>
      </c>
      <c r="AF251" s="276">
        <f>Y251-K251</f>
        <v>-83636</v>
      </c>
      <c r="AG251" s="256">
        <v>-83636</v>
      </c>
      <c r="AI251" s="302">
        <v>539189</v>
      </c>
      <c r="AJ251" s="282">
        <f t="shared" si="260"/>
        <v>-83636</v>
      </c>
      <c r="AK251" s="256">
        <v>-83636</v>
      </c>
    </row>
    <row r="252" spans="1:37" ht="63.75">
      <c r="A252" s="272" t="s">
        <v>632</v>
      </c>
      <c r="B252" s="310" t="s">
        <v>1108</v>
      </c>
      <c r="C252" s="292" t="s">
        <v>398</v>
      </c>
      <c r="D252" s="292" t="s">
        <v>830</v>
      </c>
      <c r="E252" s="292"/>
      <c r="F252" s="292"/>
      <c r="G252" s="321">
        <f>G253</f>
        <v>9484400</v>
      </c>
      <c r="H252" s="321">
        <f t="shared" ref="H252:Q252" si="296">H253</f>
        <v>17876000</v>
      </c>
      <c r="I252" s="321">
        <f t="shared" si="296"/>
        <v>27360400</v>
      </c>
      <c r="J252" s="321">
        <f t="shared" si="296"/>
        <v>0</v>
      </c>
      <c r="K252" s="321">
        <f t="shared" si="296"/>
        <v>3247136</v>
      </c>
      <c r="L252" s="321">
        <f t="shared" si="296"/>
        <v>239256</v>
      </c>
      <c r="M252" s="321">
        <f t="shared" si="296"/>
        <v>0</v>
      </c>
      <c r="N252" s="321">
        <f t="shared" si="296"/>
        <v>0</v>
      </c>
      <c r="O252" s="321">
        <f t="shared" si="296"/>
        <v>6288414</v>
      </c>
      <c r="P252" s="321">
        <f t="shared" si="296"/>
        <v>8384552</v>
      </c>
      <c r="Q252" s="321">
        <f t="shared" si="296"/>
        <v>6288414</v>
      </c>
      <c r="R252" s="297">
        <f t="shared" si="238"/>
        <v>24447772</v>
      </c>
      <c r="S252" s="295"/>
      <c r="T252" s="276">
        <f t="shared" si="243"/>
        <v>2912628</v>
      </c>
      <c r="U252" s="277">
        <f>U253</f>
        <v>0</v>
      </c>
      <c r="V252" s="339">
        <f t="shared" si="255"/>
        <v>-3247136</v>
      </c>
      <c r="W252" s="350" t="e">
        <f t="shared" si="256"/>
        <v>#DIV/0!</v>
      </c>
      <c r="Y252" s="321">
        <f t="shared" ref="Y252:AA252" si="297">Y253</f>
        <v>3192030</v>
      </c>
      <c r="Z252" s="321">
        <f t="shared" si="297"/>
        <v>2159427</v>
      </c>
      <c r="AA252" s="321">
        <f t="shared" si="297"/>
        <v>2159427</v>
      </c>
      <c r="AB252" s="322">
        <f t="shared" si="258"/>
        <v>0.6765058599073317</v>
      </c>
      <c r="AC252" s="322">
        <f t="shared" si="259"/>
        <v>1.0172636222090645</v>
      </c>
      <c r="AD252" s="273">
        <f t="shared" si="257"/>
        <v>3.1328026365666987E-7</v>
      </c>
      <c r="AF252" s="276">
        <f t="shared" si="240"/>
        <v>-55106</v>
      </c>
      <c r="AI252" s="321">
        <f t="shared" ref="AI252" si="298">AI253</f>
        <v>445480</v>
      </c>
      <c r="AJ252" s="282">
        <f t="shared" si="260"/>
        <v>-2801656</v>
      </c>
    </row>
    <row r="253" spans="1:37" ht="127.5">
      <c r="A253" s="311" t="s">
        <v>138</v>
      </c>
      <c r="B253" s="312" t="s">
        <v>1109</v>
      </c>
      <c r="C253" s="313" t="s">
        <v>398</v>
      </c>
      <c r="D253" s="313" t="s">
        <v>830</v>
      </c>
      <c r="E253" s="313" t="s">
        <v>974</v>
      </c>
      <c r="F253" s="313" t="s">
        <v>1033</v>
      </c>
      <c r="G253" s="314">
        <v>9484400</v>
      </c>
      <c r="H253" s="314">
        <v>17876000</v>
      </c>
      <c r="I253" s="314">
        <v>27360400</v>
      </c>
      <c r="J253" s="297">
        <v>0</v>
      </c>
      <c r="K253" s="297">
        <v>3247136</v>
      </c>
      <c r="L253" s="298">
        <v>239256</v>
      </c>
      <c r="M253" s="298">
        <v>0</v>
      </c>
      <c r="N253" s="298">
        <v>0</v>
      </c>
      <c r="O253" s="297">
        <v>6288414</v>
      </c>
      <c r="P253" s="297">
        <v>8384552</v>
      </c>
      <c r="Q253" s="297">
        <v>6288414</v>
      </c>
      <c r="R253" s="297">
        <f t="shared" si="238"/>
        <v>24447772</v>
      </c>
      <c r="S253" s="295" t="s">
        <v>1110</v>
      </c>
      <c r="T253" s="276">
        <f t="shared" si="243"/>
        <v>2912628</v>
      </c>
      <c r="U253" s="336">
        <v>0</v>
      </c>
      <c r="V253" s="316">
        <f t="shared" si="255"/>
        <v>-3247136</v>
      </c>
      <c r="W253" s="349" t="e">
        <f t="shared" si="256"/>
        <v>#DIV/0!</v>
      </c>
      <c r="Y253" s="302">
        <v>3192030</v>
      </c>
      <c r="Z253" s="302">
        <v>2159427</v>
      </c>
      <c r="AA253" s="302">
        <v>2159427</v>
      </c>
      <c r="AB253" s="317">
        <f t="shared" si="258"/>
        <v>0.6765058599073317</v>
      </c>
      <c r="AC253" s="317">
        <f t="shared" si="259"/>
        <v>1.0172636222090645</v>
      </c>
      <c r="AD253" s="318">
        <f t="shared" si="257"/>
        <v>3.1328026365666987E-7</v>
      </c>
      <c r="AF253" s="276">
        <f t="shared" si="240"/>
        <v>-55106</v>
      </c>
      <c r="AG253" s="256">
        <v>-55106</v>
      </c>
      <c r="AI253" s="302">
        <f>3192030-2746550</f>
        <v>445480</v>
      </c>
      <c r="AJ253" s="282">
        <f t="shared" si="260"/>
        <v>-2801656</v>
      </c>
      <c r="AK253" s="256">
        <v>-2801656</v>
      </c>
    </row>
    <row r="254" spans="1:37" ht="229.5">
      <c r="A254" s="381"/>
      <c r="B254" s="382" t="s">
        <v>1111</v>
      </c>
      <c r="C254" s="383" t="s">
        <v>1112</v>
      </c>
      <c r="D254" s="383" t="s">
        <v>837</v>
      </c>
      <c r="E254" s="383"/>
      <c r="F254" s="384" t="s">
        <v>940</v>
      </c>
      <c r="G254" s="385">
        <v>78064529</v>
      </c>
      <c r="H254" s="385">
        <v>0</v>
      </c>
      <c r="I254" s="385">
        <v>78064529</v>
      </c>
      <c r="J254" s="386">
        <v>32109688.689999998</v>
      </c>
      <c r="K254" s="386">
        <v>10679913</v>
      </c>
      <c r="L254" s="387">
        <v>13080178</v>
      </c>
      <c r="M254" s="387">
        <v>8479655</v>
      </c>
      <c r="N254" s="387">
        <v>3688910</v>
      </c>
      <c r="O254" s="386">
        <v>1180103</v>
      </c>
      <c r="P254" s="386">
        <v>3583847</v>
      </c>
      <c r="Q254" s="386">
        <v>5262234</v>
      </c>
      <c r="R254" s="388">
        <f t="shared" si="238"/>
        <v>78064528.689999998</v>
      </c>
      <c r="S254" s="389" t="s">
        <v>1113</v>
      </c>
      <c r="T254" s="276">
        <f t="shared" si="243"/>
        <v>0.31000000238418579</v>
      </c>
      <c r="U254" s="390">
        <v>12516695</v>
      </c>
      <c r="V254" s="277">
        <f t="shared" si="255"/>
        <v>1836782</v>
      </c>
      <c r="W254" s="278">
        <f t="shared" si="256"/>
        <v>0.85325343471259785</v>
      </c>
      <c r="Y254" s="391">
        <v>12641532</v>
      </c>
      <c r="Z254" s="391">
        <v>8742763</v>
      </c>
      <c r="AA254" s="391">
        <v>7960408.6800000006</v>
      </c>
      <c r="AB254" s="322">
        <f t="shared" si="258"/>
        <v>0.62970284614238214</v>
      </c>
      <c r="AC254" s="322">
        <f t="shared" si="259"/>
        <v>0.84482743072595945</v>
      </c>
      <c r="AD254" s="273">
        <f t="shared" si="257"/>
        <v>7.2025610912978208E-8</v>
      </c>
      <c r="AF254" s="276">
        <f t="shared" si="240"/>
        <v>1961619</v>
      </c>
      <c r="AI254" s="391">
        <f>12641532-407451</f>
        <v>12234081</v>
      </c>
      <c r="AJ254" s="282">
        <f t="shared" si="260"/>
        <v>1554168</v>
      </c>
    </row>
    <row r="255" spans="1:37">
      <c r="A255" s="392"/>
      <c r="B255" s="263" t="s">
        <v>1114</v>
      </c>
      <c r="C255" s="263"/>
      <c r="D255" s="263"/>
      <c r="E255" s="263"/>
      <c r="F255" s="263"/>
      <c r="G255" s="263"/>
      <c r="H255" s="263"/>
      <c r="I255" s="263"/>
      <c r="J255" s="263"/>
      <c r="K255" s="263"/>
      <c r="L255" s="393">
        <f>523799164-L8-L9-L10-L11</f>
        <v>40958045.50999999</v>
      </c>
      <c r="M255" s="393">
        <f>519254630-M8-M9-M10-M11</f>
        <v>301555707</v>
      </c>
      <c r="N255" s="393">
        <f>322306655-N8-N9-N10-N11</f>
        <v>258004216</v>
      </c>
      <c r="O255" s="263"/>
      <c r="P255" s="263"/>
      <c r="Q255" s="263"/>
      <c r="R255" s="263"/>
      <c r="S255" s="295"/>
      <c r="T255" s="263"/>
      <c r="U255" s="394">
        <f>581367245-U8-U9-U10-U11</f>
        <v>44755338</v>
      </c>
      <c r="V255" s="277">
        <f>581367245-V8-V9-V10-V11</f>
        <v>470322423.51999998</v>
      </c>
      <c r="W255" s="277">
        <f>581367245-W8-W9-W10-W11</f>
        <v>581367241.47143435</v>
      </c>
      <c r="Y255" s="300"/>
      <c r="Z255" s="300"/>
      <c r="AA255" s="300"/>
      <c r="AB255" s="301"/>
      <c r="AC255" s="301"/>
      <c r="AD255" s="301"/>
    </row>
    <row r="256" spans="1:37">
      <c r="A256" s="392"/>
      <c r="B256" s="263"/>
      <c r="C256" s="263"/>
      <c r="D256" s="263"/>
      <c r="E256" s="263"/>
      <c r="F256" s="263"/>
      <c r="G256" s="263"/>
      <c r="H256" s="263"/>
      <c r="I256" s="263"/>
      <c r="J256" s="263"/>
      <c r="K256" s="263"/>
      <c r="L256" s="395"/>
      <c r="M256" s="395"/>
      <c r="N256" s="395"/>
      <c r="O256" s="263"/>
      <c r="P256" s="263"/>
      <c r="Q256" s="263"/>
      <c r="R256" s="263"/>
      <c r="S256" s="295"/>
      <c r="T256" s="263"/>
      <c r="U256" s="396"/>
    </row>
    <row r="257" spans="1:32" s="279" customFormat="1">
      <c r="A257" s="397" t="s">
        <v>830</v>
      </c>
      <c r="B257" s="398"/>
      <c r="C257" s="398"/>
      <c r="D257" s="398"/>
      <c r="E257" s="398"/>
      <c r="F257" s="398"/>
      <c r="G257" s="398"/>
      <c r="H257" s="398"/>
      <c r="I257" s="398"/>
      <c r="J257" s="399">
        <f>J258+J259+J260</f>
        <v>477088630.06999999</v>
      </c>
      <c r="K257" s="399">
        <f t="shared" ref="K257:AA257" si="299">K258+K259+K260</f>
        <v>107826238</v>
      </c>
      <c r="L257" s="399">
        <f t="shared" si="299"/>
        <v>95260096.599999994</v>
      </c>
      <c r="M257" s="399">
        <f t="shared" si="299"/>
        <v>55663228</v>
      </c>
      <c r="N257" s="399">
        <f t="shared" si="299"/>
        <v>10880809</v>
      </c>
      <c r="O257" s="399">
        <f t="shared" si="299"/>
        <v>55106927.399999999</v>
      </c>
      <c r="P257" s="399">
        <f t="shared" si="299"/>
        <v>97640605</v>
      </c>
      <c r="Q257" s="399">
        <f t="shared" si="299"/>
        <v>91694963</v>
      </c>
      <c r="R257" s="399">
        <f t="shared" si="299"/>
        <v>991161497.06999993</v>
      </c>
      <c r="S257" s="399"/>
      <c r="T257" s="399">
        <f>T258+T259+T260</f>
        <v>15005850.710000049</v>
      </c>
      <c r="U257" s="400">
        <f t="shared" si="299"/>
        <v>114006755</v>
      </c>
      <c r="V257" s="400">
        <f t="shared" si="299"/>
        <v>6180517</v>
      </c>
      <c r="W257" s="401">
        <f>K257/U257</f>
        <v>0.94578815088632251</v>
      </c>
      <c r="X257" s="400"/>
      <c r="Y257" s="400">
        <f t="shared" si="299"/>
        <v>120729247</v>
      </c>
      <c r="Z257" s="400">
        <f t="shared" si="299"/>
        <v>75816983</v>
      </c>
      <c r="AA257" s="400">
        <f t="shared" si="299"/>
        <v>72301849.49000001</v>
      </c>
      <c r="AB257" s="401">
        <f>AA257/Y257</f>
        <v>0.59887600798172802</v>
      </c>
      <c r="AC257" s="401">
        <f>K257/Y257</f>
        <v>0.89312441416950117</v>
      </c>
      <c r="AD257" s="400"/>
      <c r="AF257" s="260"/>
    </row>
    <row r="258" spans="1:32">
      <c r="A258" s="263"/>
      <c r="B258" s="263" t="s">
        <v>230</v>
      </c>
      <c r="C258" s="263"/>
      <c r="D258" s="263"/>
      <c r="E258" s="263"/>
      <c r="F258" s="263"/>
      <c r="G258" s="263"/>
      <c r="H258" s="263"/>
      <c r="I258" s="263"/>
      <c r="J258" s="393">
        <f>J104</f>
        <v>3198606</v>
      </c>
      <c r="K258" s="393">
        <f t="shared" ref="K258:AA258" si="300">K104</f>
        <v>884381</v>
      </c>
      <c r="L258" s="393">
        <f t="shared" si="300"/>
        <v>401701</v>
      </c>
      <c r="M258" s="393">
        <f>M104</f>
        <v>47848</v>
      </c>
      <c r="N258" s="393">
        <f t="shared" si="300"/>
        <v>13795</v>
      </c>
      <c r="O258" s="393">
        <f t="shared" si="300"/>
        <v>271737</v>
      </c>
      <c r="P258" s="393">
        <f t="shared" si="300"/>
        <v>8284</v>
      </c>
      <c r="Q258" s="393">
        <f>Q104</f>
        <v>0</v>
      </c>
      <c r="R258" s="393">
        <f>R104</f>
        <v>4826352</v>
      </c>
      <c r="S258" s="393"/>
      <c r="T258" s="393">
        <f t="shared" si="300"/>
        <v>200364.3599999994</v>
      </c>
      <c r="U258" s="402">
        <f t="shared" si="300"/>
        <v>1325820</v>
      </c>
      <c r="V258" s="402">
        <f t="shared" si="300"/>
        <v>441439</v>
      </c>
      <c r="W258" s="403">
        <f t="shared" ref="W258:W287" si="301">K258/U258</f>
        <v>0.66704454601680474</v>
      </c>
      <c r="X258" s="402"/>
      <c r="Y258" s="402">
        <f t="shared" si="300"/>
        <v>1325820</v>
      </c>
      <c r="Z258" s="402">
        <f t="shared" si="300"/>
        <v>925986</v>
      </c>
      <c r="AA258" s="402">
        <f t="shared" si="300"/>
        <v>787809.32000000007</v>
      </c>
      <c r="AB258" s="403">
        <f t="shared" ref="AB258:AB287" si="302">AA258/Y258</f>
        <v>0.59420533707441436</v>
      </c>
      <c r="AC258" s="403">
        <f t="shared" ref="AC258:AC287" si="303">K258/Y258</f>
        <v>0.66704454601680474</v>
      </c>
      <c r="AD258" s="402"/>
    </row>
    <row r="259" spans="1:32">
      <c r="A259" s="392"/>
      <c r="B259" s="263" t="s">
        <v>931</v>
      </c>
      <c r="C259" s="263"/>
      <c r="D259" s="263"/>
      <c r="E259" s="263"/>
      <c r="F259" s="263"/>
      <c r="G259" s="263"/>
      <c r="H259" s="263"/>
      <c r="I259" s="263"/>
      <c r="J259" s="393">
        <f>J233+J206</f>
        <v>241423810.40000001</v>
      </c>
      <c r="K259" s="393">
        <f t="shared" ref="K259:AA259" si="304">K233+K206</f>
        <v>42949357</v>
      </c>
      <c r="L259" s="393">
        <f t="shared" si="304"/>
        <v>47430232</v>
      </c>
      <c r="M259" s="393">
        <f t="shared" si="304"/>
        <v>44513707</v>
      </c>
      <c r="N259" s="393">
        <f t="shared" si="304"/>
        <v>9195148</v>
      </c>
      <c r="O259" s="393">
        <f t="shared" si="304"/>
        <v>5884297</v>
      </c>
      <c r="P259" s="393">
        <f t="shared" si="304"/>
        <v>20539493</v>
      </c>
      <c r="Q259" s="393">
        <f t="shared" si="304"/>
        <v>20207328</v>
      </c>
      <c r="R259" s="393">
        <f t="shared" si="304"/>
        <v>432143372.39999998</v>
      </c>
      <c r="S259" s="393"/>
      <c r="T259" s="393">
        <f t="shared" si="304"/>
        <v>3.0200000405311584</v>
      </c>
      <c r="U259" s="402">
        <f t="shared" si="304"/>
        <v>33531448</v>
      </c>
      <c r="V259" s="402">
        <f t="shared" si="304"/>
        <v>-9417909</v>
      </c>
      <c r="W259" s="403">
        <f t="shared" si="301"/>
        <v>1.2808679482019387</v>
      </c>
      <c r="X259" s="402"/>
      <c r="Y259" s="402">
        <f t="shared" si="304"/>
        <v>33839842</v>
      </c>
      <c r="Z259" s="402">
        <f t="shared" si="304"/>
        <v>24532567</v>
      </c>
      <c r="AA259" s="402">
        <f t="shared" si="304"/>
        <v>24481380.710000001</v>
      </c>
      <c r="AB259" s="403">
        <f t="shared" si="302"/>
        <v>0.72344843424505356</v>
      </c>
      <c r="AC259" s="403">
        <f t="shared" si="303"/>
        <v>1.2691949625533121</v>
      </c>
      <c r="AD259" s="402"/>
    </row>
    <row r="260" spans="1:32">
      <c r="A260" s="392"/>
      <c r="B260" s="263" t="s">
        <v>398</v>
      </c>
      <c r="C260" s="263"/>
      <c r="D260" s="263"/>
      <c r="E260" s="263"/>
      <c r="F260" s="263"/>
      <c r="G260" s="263"/>
      <c r="H260" s="263"/>
      <c r="I260" s="263"/>
      <c r="J260" s="393">
        <f>J210+J192+J194+J248+J171+J172</f>
        <v>232466213.66999999</v>
      </c>
      <c r="K260" s="393">
        <f t="shared" ref="K260:AA260" si="305">K210+K192+K194+K248+K171+K172</f>
        <v>63992500</v>
      </c>
      <c r="L260" s="393">
        <f t="shared" si="305"/>
        <v>47428163.600000001</v>
      </c>
      <c r="M260" s="393">
        <f t="shared" si="305"/>
        <v>11101673</v>
      </c>
      <c r="N260" s="393">
        <f t="shared" si="305"/>
        <v>1671866</v>
      </c>
      <c r="O260" s="393">
        <f t="shared" si="305"/>
        <v>48950893.399999999</v>
      </c>
      <c r="P260" s="393">
        <f t="shared" si="305"/>
        <v>77092828</v>
      </c>
      <c r="Q260" s="393">
        <f t="shared" si="305"/>
        <v>71487635</v>
      </c>
      <c r="R260" s="393">
        <f t="shared" si="305"/>
        <v>554191772.66999996</v>
      </c>
      <c r="S260" s="393"/>
      <c r="T260" s="393">
        <f t="shared" si="305"/>
        <v>14805483.330000009</v>
      </c>
      <c r="U260" s="402">
        <f t="shared" si="305"/>
        <v>79149487</v>
      </c>
      <c r="V260" s="402">
        <f t="shared" si="305"/>
        <v>15156987</v>
      </c>
      <c r="W260" s="403">
        <f t="shared" si="301"/>
        <v>0.8085017657789747</v>
      </c>
      <c r="X260" s="402"/>
      <c r="Y260" s="402">
        <f t="shared" si="305"/>
        <v>85563585</v>
      </c>
      <c r="Z260" s="402">
        <f t="shared" si="305"/>
        <v>50358430</v>
      </c>
      <c r="AA260" s="402">
        <f t="shared" si="305"/>
        <v>47032659.460000001</v>
      </c>
      <c r="AB260" s="403">
        <f t="shared" si="302"/>
        <v>0.54968079539911752</v>
      </c>
      <c r="AC260" s="403">
        <f t="shared" si="303"/>
        <v>0.74789409536778995</v>
      </c>
      <c r="AD260" s="402"/>
    </row>
    <row r="261" spans="1:32" s="279" customFormat="1">
      <c r="A261" s="397" t="s">
        <v>995</v>
      </c>
      <c r="B261" s="398"/>
      <c r="C261" s="398"/>
      <c r="D261" s="398"/>
      <c r="E261" s="398"/>
      <c r="F261" s="398"/>
      <c r="G261" s="398"/>
      <c r="H261" s="398"/>
      <c r="I261" s="398"/>
      <c r="J261" s="399">
        <f>J262+J263</f>
        <v>334240350.67000002</v>
      </c>
      <c r="K261" s="399">
        <f t="shared" ref="K261:AA261" si="306">K262+K263</f>
        <v>105290542.52</v>
      </c>
      <c r="L261" s="399">
        <f t="shared" si="306"/>
        <v>165642419</v>
      </c>
      <c r="M261" s="399">
        <f t="shared" si="306"/>
        <v>82471547</v>
      </c>
      <c r="N261" s="399">
        <f t="shared" si="306"/>
        <v>31217387</v>
      </c>
      <c r="O261" s="399">
        <f t="shared" si="306"/>
        <v>19449299</v>
      </c>
      <c r="P261" s="399">
        <f t="shared" si="306"/>
        <v>126607714.45</v>
      </c>
      <c r="Q261" s="399">
        <f t="shared" si="306"/>
        <v>112839083.47</v>
      </c>
      <c r="R261" s="399">
        <f t="shared" si="306"/>
        <v>977758343.11000001</v>
      </c>
      <c r="S261" s="399"/>
      <c r="T261" s="399">
        <f t="shared" si="306"/>
        <v>3651810.416812025</v>
      </c>
      <c r="U261" s="400">
        <f t="shared" si="306"/>
        <v>188145240</v>
      </c>
      <c r="V261" s="400">
        <f t="shared" si="306"/>
        <v>82854697.480000004</v>
      </c>
      <c r="W261" s="401">
        <f t="shared" si="301"/>
        <v>0.5596237381291177</v>
      </c>
      <c r="X261" s="400"/>
      <c r="Y261" s="400">
        <f t="shared" si="306"/>
        <v>148341916</v>
      </c>
      <c r="Z261" s="400">
        <f t="shared" si="306"/>
        <v>99485399</v>
      </c>
      <c r="AA261" s="400">
        <f t="shared" si="306"/>
        <v>99475488.129999995</v>
      </c>
      <c r="AB261" s="401">
        <f t="shared" si="302"/>
        <v>0.67058246793846177</v>
      </c>
      <c r="AC261" s="401">
        <f t="shared" si="303"/>
        <v>0.70978281364520057</v>
      </c>
      <c r="AD261" s="400"/>
      <c r="AF261" s="260"/>
    </row>
    <row r="262" spans="1:32">
      <c r="A262" s="263"/>
      <c r="B262" s="263" t="s">
        <v>398</v>
      </c>
      <c r="C262" s="263"/>
      <c r="D262" s="263"/>
      <c r="E262" s="263"/>
      <c r="F262" s="263"/>
      <c r="G262" s="263"/>
      <c r="H262" s="263"/>
      <c r="I262" s="263"/>
      <c r="J262" s="393">
        <f>J182+J195+J196</f>
        <v>100407601.08</v>
      </c>
      <c r="K262" s="393">
        <f t="shared" ref="K262:AA262" si="307">K182+K195+K196</f>
        <v>47007846.519999996</v>
      </c>
      <c r="L262" s="393">
        <f t="shared" si="307"/>
        <v>53010375</v>
      </c>
      <c r="M262" s="393">
        <f t="shared" si="307"/>
        <v>13895800</v>
      </c>
      <c r="N262" s="393">
        <f t="shared" si="307"/>
        <v>5416063</v>
      </c>
      <c r="O262" s="393">
        <f t="shared" si="307"/>
        <v>16025342</v>
      </c>
      <c r="P262" s="393">
        <f t="shared" si="307"/>
        <v>44933250</v>
      </c>
      <c r="Q262" s="393">
        <f t="shared" si="307"/>
        <v>22059324</v>
      </c>
      <c r="R262" s="393">
        <f t="shared" si="307"/>
        <v>302755601.60000002</v>
      </c>
      <c r="S262" s="393"/>
      <c r="T262" s="393">
        <f t="shared" si="307"/>
        <v>3651810.3768120259</v>
      </c>
      <c r="U262" s="402">
        <f t="shared" si="307"/>
        <v>57516722</v>
      </c>
      <c r="V262" s="402">
        <f t="shared" si="307"/>
        <v>10508875.480000004</v>
      </c>
      <c r="W262" s="403">
        <f t="shared" si="301"/>
        <v>0.81729008339522535</v>
      </c>
      <c r="X262" s="402"/>
      <c r="Y262" s="402">
        <f t="shared" si="307"/>
        <v>49879534</v>
      </c>
      <c r="Z262" s="402">
        <f t="shared" si="307"/>
        <v>33917108</v>
      </c>
      <c r="AA262" s="402">
        <f t="shared" si="307"/>
        <v>33907206.239999995</v>
      </c>
      <c r="AB262" s="403">
        <f t="shared" si="302"/>
        <v>0.67978193701649248</v>
      </c>
      <c r="AC262" s="403">
        <f t="shared" si="303"/>
        <v>0.94242753992048112</v>
      </c>
      <c r="AD262" s="402"/>
    </row>
    <row r="263" spans="1:32">
      <c r="A263" s="392"/>
      <c r="B263" s="263" t="s">
        <v>931</v>
      </c>
      <c r="C263" s="263"/>
      <c r="D263" s="263"/>
      <c r="E263" s="263"/>
      <c r="F263" s="263"/>
      <c r="G263" s="263"/>
      <c r="H263" s="263"/>
      <c r="I263" s="263"/>
      <c r="J263" s="393">
        <f>J201+J202+J203+J204+J205+J208</f>
        <v>233832749.59</v>
      </c>
      <c r="K263" s="393">
        <f t="shared" ref="K263:AA263" si="308">K201+K202+K203+K204+K205+K208</f>
        <v>58282696</v>
      </c>
      <c r="L263" s="393">
        <f t="shared" si="308"/>
        <v>112632044</v>
      </c>
      <c r="M263" s="393">
        <f t="shared" si="308"/>
        <v>68575747</v>
      </c>
      <c r="N263" s="393">
        <f t="shared" si="308"/>
        <v>25801324</v>
      </c>
      <c r="O263" s="393">
        <f t="shared" si="308"/>
        <v>3423957</v>
      </c>
      <c r="P263" s="393">
        <f t="shared" si="308"/>
        <v>81674464.450000003</v>
      </c>
      <c r="Q263" s="393">
        <f t="shared" si="308"/>
        <v>90779759.469999999</v>
      </c>
      <c r="R263" s="393">
        <f t="shared" si="308"/>
        <v>675002741.50999999</v>
      </c>
      <c r="S263" s="393"/>
      <c r="T263" s="393">
        <f t="shared" si="308"/>
        <v>3.9999999105930328E-2</v>
      </c>
      <c r="U263" s="402">
        <f t="shared" si="308"/>
        <v>130628518</v>
      </c>
      <c r="V263" s="402">
        <f t="shared" si="308"/>
        <v>72345822</v>
      </c>
      <c r="W263" s="403">
        <f t="shared" si="301"/>
        <v>0.4461713023491547</v>
      </c>
      <c r="X263" s="402"/>
      <c r="Y263" s="402">
        <f t="shared" si="308"/>
        <v>98462382</v>
      </c>
      <c r="Z263" s="402">
        <f t="shared" si="308"/>
        <v>65568291</v>
      </c>
      <c r="AA263" s="402">
        <f t="shared" si="308"/>
        <v>65568281.890000001</v>
      </c>
      <c r="AB263" s="403">
        <f t="shared" si="302"/>
        <v>0.66592215786532571</v>
      </c>
      <c r="AC263" s="403">
        <f t="shared" si="303"/>
        <v>0.59192856008703909</v>
      </c>
      <c r="AD263" s="402"/>
    </row>
    <row r="264" spans="1:32" s="279" customFormat="1">
      <c r="A264" s="397" t="s">
        <v>290</v>
      </c>
      <c r="B264" s="398"/>
      <c r="C264" s="398"/>
      <c r="D264" s="398"/>
      <c r="E264" s="398"/>
      <c r="F264" s="398"/>
      <c r="G264" s="398"/>
      <c r="H264" s="398"/>
      <c r="I264" s="398"/>
      <c r="J264" s="399">
        <f>J265+J266</f>
        <v>251585784.56999999</v>
      </c>
      <c r="K264" s="399">
        <f t="shared" ref="K264:AA264" si="309">K265+K266</f>
        <v>83200241</v>
      </c>
      <c r="L264" s="399">
        <f t="shared" si="309"/>
        <v>67232172</v>
      </c>
      <c r="M264" s="399">
        <f t="shared" si="309"/>
        <v>29390551</v>
      </c>
      <c r="N264" s="399">
        <f t="shared" si="309"/>
        <v>11251592</v>
      </c>
      <c r="O264" s="399">
        <f t="shared" si="309"/>
        <v>22077819</v>
      </c>
      <c r="P264" s="399">
        <f t="shared" si="309"/>
        <v>68365037</v>
      </c>
      <c r="Q264" s="399">
        <f t="shared" si="309"/>
        <v>82450034</v>
      </c>
      <c r="R264" s="399">
        <f t="shared" si="309"/>
        <v>615553230.56999993</v>
      </c>
      <c r="S264" s="399"/>
      <c r="T264" s="399">
        <f t="shared" si="309"/>
        <v>7339644.8168840297</v>
      </c>
      <c r="U264" s="400">
        <f t="shared" si="309"/>
        <v>91534968</v>
      </c>
      <c r="V264" s="400">
        <f t="shared" si="309"/>
        <v>8334727</v>
      </c>
      <c r="W264" s="401">
        <f t="shared" si="301"/>
        <v>0.90894488541253438</v>
      </c>
      <c r="X264" s="400"/>
      <c r="Y264" s="400">
        <f t="shared" si="309"/>
        <v>91097529</v>
      </c>
      <c r="Z264" s="400">
        <f t="shared" si="309"/>
        <v>72273687</v>
      </c>
      <c r="AA264" s="400">
        <f t="shared" si="309"/>
        <v>61498557.459999993</v>
      </c>
      <c r="AB264" s="401">
        <f t="shared" si="302"/>
        <v>0.67508480345279176</v>
      </c>
      <c r="AC264" s="401">
        <f t="shared" si="303"/>
        <v>0.91330952566232615</v>
      </c>
      <c r="AD264" s="400"/>
      <c r="AF264" s="260"/>
    </row>
    <row r="265" spans="1:32">
      <c r="A265" s="263"/>
      <c r="B265" s="263" t="s">
        <v>230</v>
      </c>
      <c r="C265" s="263"/>
      <c r="D265" s="263"/>
      <c r="E265" s="263"/>
      <c r="F265" s="263"/>
      <c r="G265" s="263"/>
      <c r="H265" s="263"/>
      <c r="I265" s="263"/>
      <c r="J265" s="393">
        <f>J20+J32-J46</f>
        <v>126461068.5</v>
      </c>
      <c r="K265" s="393">
        <f t="shared" ref="K265:AA265" si="310">K20+K32-K46</f>
        <v>30927521</v>
      </c>
      <c r="L265" s="393">
        <f t="shared" si="310"/>
        <v>16979027</v>
      </c>
      <c r="M265" s="393">
        <f t="shared" si="310"/>
        <v>3473786</v>
      </c>
      <c r="N265" s="393">
        <f t="shared" si="310"/>
        <v>1822513</v>
      </c>
      <c r="O265" s="393">
        <f t="shared" si="310"/>
        <v>4637409</v>
      </c>
      <c r="P265" s="393">
        <f t="shared" si="310"/>
        <v>8510890</v>
      </c>
      <c r="Q265" s="393">
        <f t="shared" si="310"/>
        <v>6577590</v>
      </c>
      <c r="R265" s="393">
        <f t="shared" si="310"/>
        <v>199389804.5</v>
      </c>
      <c r="S265" s="393"/>
      <c r="T265" s="393">
        <f t="shared" si="310"/>
        <v>111634.76713600755</v>
      </c>
      <c r="U265" s="402">
        <f t="shared" si="310"/>
        <v>29330402</v>
      </c>
      <c r="V265" s="402">
        <f t="shared" si="310"/>
        <v>-1597119</v>
      </c>
      <c r="W265" s="403">
        <f t="shared" si="301"/>
        <v>1.0544526801917</v>
      </c>
      <c r="X265" s="402"/>
      <c r="Y265" s="402">
        <f t="shared" si="310"/>
        <v>33027648</v>
      </c>
      <c r="Z265" s="402">
        <f t="shared" si="310"/>
        <v>28059017</v>
      </c>
      <c r="AA265" s="402">
        <f t="shared" si="310"/>
        <v>25413271.159999996</v>
      </c>
      <c r="AB265" s="403">
        <f t="shared" si="302"/>
        <v>0.76945446312132171</v>
      </c>
      <c r="AC265" s="403">
        <f t="shared" si="303"/>
        <v>0.93641306217142684</v>
      </c>
      <c r="AD265" s="402"/>
    </row>
    <row r="266" spans="1:32">
      <c r="A266" s="392"/>
      <c r="B266" s="263" t="s">
        <v>398</v>
      </c>
      <c r="C266" s="263"/>
      <c r="D266" s="263"/>
      <c r="E266" s="263"/>
      <c r="F266" s="263"/>
      <c r="G266" s="263"/>
      <c r="H266" s="263"/>
      <c r="I266" s="263"/>
      <c r="J266" s="393">
        <f>J109+J151+J154+J157+J193</f>
        <v>125124716.07000001</v>
      </c>
      <c r="K266" s="393">
        <f t="shared" ref="K266:AA266" si="311">K109+K151+K154+K157+K193</f>
        <v>52272720</v>
      </c>
      <c r="L266" s="393">
        <f t="shared" si="311"/>
        <v>50253145</v>
      </c>
      <c r="M266" s="393">
        <f t="shared" si="311"/>
        <v>25916765</v>
      </c>
      <c r="N266" s="393">
        <f t="shared" si="311"/>
        <v>9429079</v>
      </c>
      <c r="O266" s="393">
        <f t="shared" si="311"/>
        <v>17440410</v>
      </c>
      <c r="P266" s="393">
        <f t="shared" si="311"/>
        <v>59854147</v>
      </c>
      <c r="Q266" s="393">
        <f t="shared" si="311"/>
        <v>75872444</v>
      </c>
      <c r="R266" s="393">
        <f t="shared" si="311"/>
        <v>416163426.06999999</v>
      </c>
      <c r="S266" s="393"/>
      <c r="T266" s="393">
        <f t="shared" si="311"/>
        <v>7228010.0497480221</v>
      </c>
      <c r="U266" s="402">
        <f t="shared" si="311"/>
        <v>62204566</v>
      </c>
      <c r="V266" s="402">
        <f t="shared" si="311"/>
        <v>9931846</v>
      </c>
      <c r="W266" s="403">
        <f t="shared" si="301"/>
        <v>0.84033573998410338</v>
      </c>
      <c r="X266" s="402"/>
      <c r="Y266" s="402">
        <f t="shared" si="311"/>
        <v>58069881</v>
      </c>
      <c r="Z266" s="402">
        <f t="shared" si="311"/>
        <v>44214670</v>
      </c>
      <c r="AA266" s="402">
        <f t="shared" si="311"/>
        <v>36085286.299999997</v>
      </c>
      <c r="AB266" s="403">
        <f t="shared" si="302"/>
        <v>0.62141140430441033</v>
      </c>
      <c r="AC266" s="403">
        <f t="shared" si="303"/>
        <v>0.90016922886409911</v>
      </c>
      <c r="AD266" s="402"/>
    </row>
    <row r="267" spans="1:32" s="279" customFormat="1">
      <c r="A267" s="397" t="s">
        <v>782</v>
      </c>
      <c r="B267" s="398"/>
      <c r="C267" s="398"/>
      <c r="D267" s="398"/>
      <c r="E267" s="398"/>
      <c r="F267" s="398"/>
      <c r="G267" s="398"/>
      <c r="H267" s="398"/>
      <c r="I267" s="398"/>
      <c r="J267" s="399">
        <f>J268+J269+J270</f>
        <v>270012456.63999999</v>
      </c>
      <c r="K267" s="399">
        <f t="shared" ref="K267:AA267" si="312">K268+K269+K270</f>
        <v>48349431</v>
      </c>
      <c r="L267" s="399">
        <f t="shared" si="312"/>
        <v>74495601</v>
      </c>
      <c r="M267" s="399">
        <f t="shared" si="312"/>
        <v>12055956</v>
      </c>
      <c r="N267" s="399">
        <f t="shared" si="312"/>
        <v>2837877</v>
      </c>
      <c r="O267" s="399">
        <f t="shared" si="312"/>
        <v>9720226</v>
      </c>
      <c r="P267" s="399">
        <f t="shared" si="312"/>
        <v>77690733</v>
      </c>
      <c r="Q267" s="399">
        <f t="shared" si="312"/>
        <v>80983591</v>
      </c>
      <c r="R267" s="399">
        <f t="shared" si="312"/>
        <v>576145871.63999999</v>
      </c>
      <c r="S267" s="399"/>
      <c r="T267" s="399">
        <f t="shared" si="312"/>
        <v>4793838.6500000004</v>
      </c>
      <c r="U267" s="400">
        <f t="shared" si="312"/>
        <v>67532806</v>
      </c>
      <c r="V267" s="400">
        <f t="shared" si="312"/>
        <v>19183375</v>
      </c>
      <c r="W267" s="401">
        <f t="shared" si="301"/>
        <v>0.71593990926424711</v>
      </c>
      <c r="X267" s="400"/>
      <c r="Y267" s="400">
        <f t="shared" si="312"/>
        <v>54715035</v>
      </c>
      <c r="Z267" s="400">
        <f t="shared" si="312"/>
        <v>41138622</v>
      </c>
      <c r="AA267" s="400">
        <f t="shared" si="312"/>
        <v>37584217.549999997</v>
      </c>
      <c r="AB267" s="401">
        <f t="shared" si="302"/>
        <v>0.68690840735092273</v>
      </c>
      <c r="AC267" s="401">
        <f t="shared" si="303"/>
        <v>0.8836589613805419</v>
      </c>
      <c r="AD267" s="400"/>
      <c r="AF267" s="260"/>
    </row>
    <row r="268" spans="1:32">
      <c r="A268" s="263"/>
      <c r="B268" s="263" t="s">
        <v>230</v>
      </c>
      <c r="C268" s="263"/>
      <c r="D268" s="263"/>
      <c r="E268" s="263"/>
      <c r="F268" s="263"/>
      <c r="G268" s="263"/>
      <c r="H268" s="263"/>
      <c r="I268" s="263"/>
      <c r="J268" s="393">
        <f>J61+J63+J68+J75</f>
        <v>5769783.4799999995</v>
      </c>
      <c r="K268" s="393">
        <f t="shared" ref="K268:AA268" si="313">K61+K63+K68+K75</f>
        <v>4801241</v>
      </c>
      <c r="L268" s="393">
        <f t="shared" si="313"/>
        <v>6406378</v>
      </c>
      <c r="M268" s="393">
        <f t="shared" si="313"/>
        <v>1228045</v>
      </c>
      <c r="N268" s="393">
        <f t="shared" si="313"/>
        <v>0</v>
      </c>
      <c r="O268" s="393">
        <f t="shared" si="313"/>
        <v>0</v>
      </c>
      <c r="P268" s="393">
        <f t="shared" si="313"/>
        <v>0</v>
      </c>
      <c r="Q268" s="393">
        <f t="shared" si="313"/>
        <v>2726681</v>
      </c>
      <c r="R268" s="393">
        <f t="shared" si="313"/>
        <v>20932128.48</v>
      </c>
      <c r="S268" s="393"/>
      <c r="T268" s="393">
        <f t="shared" si="313"/>
        <v>2805110.7300000018</v>
      </c>
      <c r="U268" s="402">
        <f t="shared" si="313"/>
        <v>5329017</v>
      </c>
      <c r="V268" s="402">
        <f t="shared" si="313"/>
        <v>527776</v>
      </c>
      <c r="W268" s="403">
        <f t="shared" si="301"/>
        <v>0.90096184718494987</v>
      </c>
      <c r="X268" s="402"/>
      <c r="Y268" s="402">
        <f t="shared" si="313"/>
        <v>5329017</v>
      </c>
      <c r="Z268" s="402">
        <f t="shared" si="313"/>
        <v>3902152</v>
      </c>
      <c r="AA268" s="402">
        <f t="shared" si="313"/>
        <v>3764048.99</v>
      </c>
      <c r="AB268" s="403">
        <f t="shared" si="302"/>
        <v>0.70633082799323033</v>
      </c>
      <c r="AC268" s="403">
        <f t="shared" si="303"/>
        <v>0.90096184718494987</v>
      </c>
      <c r="AD268" s="402"/>
    </row>
    <row r="269" spans="1:32">
      <c r="A269" s="392"/>
      <c r="B269" s="263" t="s">
        <v>931</v>
      </c>
      <c r="C269" s="263"/>
      <c r="D269" s="263"/>
      <c r="E269" s="263"/>
      <c r="F269" s="263"/>
      <c r="G269" s="263"/>
      <c r="H269" s="263"/>
      <c r="I269" s="263"/>
      <c r="J269" s="393">
        <f>J241</f>
        <v>13549702.83</v>
      </c>
      <c r="K269" s="393">
        <f t="shared" ref="K269:AA269" si="314">K241</f>
        <v>8719161</v>
      </c>
      <c r="L269" s="393">
        <f t="shared" si="314"/>
        <v>19516612</v>
      </c>
      <c r="M269" s="393">
        <f t="shared" si="314"/>
        <v>0</v>
      </c>
      <c r="N269" s="393">
        <f t="shared" si="314"/>
        <v>0</v>
      </c>
      <c r="O269" s="393">
        <f t="shared" si="314"/>
        <v>3455977</v>
      </c>
      <c r="P269" s="393">
        <f t="shared" si="314"/>
        <v>15893088</v>
      </c>
      <c r="Q269" s="393">
        <f t="shared" si="314"/>
        <v>15561558</v>
      </c>
      <c r="R269" s="393">
        <f t="shared" si="314"/>
        <v>76696098.829999998</v>
      </c>
      <c r="S269" s="393"/>
      <c r="T269" s="393">
        <f t="shared" si="314"/>
        <v>0.68999999761581421</v>
      </c>
      <c r="U269" s="402">
        <f t="shared" si="314"/>
        <v>11648674</v>
      </c>
      <c r="V269" s="402">
        <f t="shared" si="314"/>
        <v>2929513</v>
      </c>
      <c r="W269" s="403">
        <f t="shared" si="301"/>
        <v>0.74851103224281146</v>
      </c>
      <c r="X269" s="402"/>
      <c r="Y269" s="402">
        <f t="shared" si="314"/>
        <v>10148674</v>
      </c>
      <c r="Z269" s="402">
        <f t="shared" si="314"/>
        <v>8146744</v>
      </c>
      <c r="AA269" s="402">
        <f t="shared" si="314"/>
        <v>6596716.96</v>
      </c>
      <c r="AB269" s="403">
        <f t="shared" si="302"/>
        <v>0.65000777047326574</v>
      </c>
      <c r="AC269" s="403">
        <f t="shared" si="303"/>
        <v>0.85914287915840037</v>
      </c>
      <c r="AD269" s="402"/>
    </row>
    <row r="270" spans="1:32">
      <c r="A270" s="392"/>
      <c r="B270" s="263" t="s">
        <v>398</v>
      </c>
      <c r="C270" s="263"/>
      <c r="D270" s="263"/>
      <c r="E270" s="263"/>
      <c r="F270" s="263"/>
      <c r="G270" s="263"/>
      <c r="H270" s="263"/>
      <c r="I270" s="263"/>
      <c r="J270" s="393">
        <f>J115+J127+J137+J219+J229</f>
        <v>250692970.32999998</v>
      </c>
      <c r="K270" s="393">
        <f t="shared" ref="K270:AA270" si="315">K115+K127+K137+K219+K229</f>
        <v>34829029</v>
      </c>
      <c r="L270" s="393">
        <f t="shared" si="315"/>
        <v>48572611</v>
      </c>
      <c r="M270" s="393">
        <f>M115+M127+M137+M219+M229</f>
        <v>10827911</v>
      </c>
      <c r="N270" s="393">
        <f>N115+N127+N137+N219+N229</f>
        <v>2837877</v>
      </c>
      <c r="O270" s="393">
        <f t="shared" si="315"/>
        <v>6264249</v>
      </c>
      <c r="P270" s="393">
        <f t="shared" si="315"/>
        <v>61797645</v>
      </c>
      <c r="Q270" s="393">
        <f t="shared" si="315"/>
        <v>62695352</v>
      </c>
      <c r="R270" s="393">
        <f t="shared" si="315"/>
        <v>478517644.32999998</v>
      </c>
      <c r="S270" s="393"/>
      <c r="T270" s="393">
        <f t="shared" si="315"/>
        <v>1988727.2300000004</v>
      </c>
      <c r="U270" s="402">
        <f t="shared" si="315"/>
        <v>50555115</v>
      </c>
      <c r="V270" s="402">
        <f t="shared" si="315"/>
        <v>15726086</v>
      </c>
      <c r="W270" s="403">
        <f t="shared" si="301"/>
        <v>0.68893185190064343</v>
      </c>
      <c r="X270" s="402"/>
      <c r="Y270" s="402">
        <f t="shared" si="315"/>
        <v>39237344</v>
      </c>
      <c r="Z270" s="402">
        <f t="shared" si="315"/>
        <v>29089726</v>
      </c>
      <c r="AA270" s="402">
        <f t="shared" si="315"/>
        <v>27223451.600000001</v>
      </c>
      <c r="AB270" s="403">
        <f t="shared" si="302"/>
        <v>0.69381484128997117</v>
      </c>
      <c r="AC270" s="403">
        <f t="shared" si="303"/>
        <v>0.88765001525077747</v>
      </c>
      <c r="AD270" s="402"/>
    </row>
    <row r="271" spans="1:32" s="279" customFormat="1">
      <c r="A271" s="397" t="s">
        <v>1115</v>
      </c>
      <c r="B271" s="398"/>
      <c r="C271" s="398"/>
      <c r="D271" s="398"/>
      <c r="E271" s="398"/>
      <c r="F271" s="398"/>
      <c r="G271" s="398"/>
      <c r="H271" s="398"/>
      <c r="I271" s="398"/>
      <c r="J271" s="399">
        <f>J272+J273</f>
        <v>84595466.909999996</v>
      </c>
      <c r="K271" s="399">
        <f t="shared" ref="K271:AA271" si="316">K272+K273</f>
        <v>28730099</v>
      </c>
      <c r="L271" s="399">
        <f t="shared" si="316"/>
        <v>28244301</v>
      </c>
      <c r="M271" s="399">
        <f t="shared" si="316"/>
        <v>15343701</v>
      </c>
      <c r="N271" s="399">
        <f t="shared" si="316"/>
        <v>0</v>
      </c>
      <c r="O271" s="399">
        <f t="shared" si="316"/>
        <v>4383192</v>
      </c>
      <c r="P271" s="399">
        <f t="shared" si="316"/>
        <v>9672635</v>
      </c>
      <c r="Q271" s="399">
        <f t="shared" si="316"/>
        <v>9316709</v>
      </c>
      <c r="R271" s="399">
        <f t="shared" si="316"/>
        <v>180286103.91</v>
      </c>
      <c r="S271" s="399"/>
      <c r="T271" s="399">
        <f t="shared" si="316"/>
        <v>438011.80000001192</v>
      </c>
      <c r="U271" s="400">
        <f t="shared" si="316"/>
        <v>33956252</v>
      </c>
      <c r="V271" s="400">
        <f t="shared" si="316"/>
        <v>5226153</v>
      </c>
      <c r="W271" s="401">
        <f t="shared" si="301"/>
        <v>0.84609158278127983</v>
      </c>
      <c r="X271" s="400"/>
      <c r="Y271" s="400">
        <f t="shared" si="316"/>
        <v>29400867</v>
      </c>
      <c r="Z271" s="400">
        <f t="shared" si="316"/>
        <v>22395819</v>
      </c>
      <c r="AA271" s="400">
        <f t="shared" si="316"/>
        <v>20169669.75</v>
      </c>
      <c r="AB271" s="401">
        <f t="shared" si="302"/>
        <v>0.68602295809848057</v>
      </c>
      <c r="AC271" s="401">
        <f t="shared" si="303"/>
        <v>0.97718543470163655</v>
      </c>
      <c r="AD271" s="400"/>
      <c r="AF271" s="260"/>
    </row>
    <row r="272" spans="1:32">
      <c r="A272" s="263"/>
      <c r="B272" s="263" t="s">
        <v>230</v>
      </c>
      <c r="C272" s="263"/>
      <c r="D272" s="263"/>
      <c r="E272" s="263"/>
      <c r="F272" s="263"/>
      <c r="G272" s="263"/>
      <c r="H272" s="263"/>
      <c r="I272" s="263"/>
      <c r="J272" s="393">
        <f>J76</f>
        <v>6964468</v>
      </c>
      <c r="K272" s="393">
        <f t="shared" ref="K272:AA272" si="317">K76</f>
        <v>1900000</v>
      </c>
      <c r="L272" s="393">
        <f t="shared" si="317"/>
        <v>1336384</v>
      </c>
      <c r="M272" s="393">
        <f t="shared" si="317"/>
        <v>0</v>
      </c>
      <c r="N272" s="393">
        <f t="shared" si="317"/>
        <v>0</v>
      </c>
      <c r="O272" s="393">
        <f t="shared" si="317"/>
        <v>0</v>
      </c>
      <c r="P272" s="393">
        <f t="shared" si="317"/>
        <v>1200000</v>
      </c>
      <c r="Q272" s="393">
        <f t="shared" si="317"/>
        <v>0</v>
      </c>
      <c r="R272" s="393">
        <f t="shared" si="317"/>
        <v>11400852</v>
      </c>
      <c r="S272" s="393"/>
      <c r="T272" s="393">
        <f t="shared" si="317"/>
        <v>-102597</v>
      </c>
      <c r="U272" s="402">
        <f t="shared" si="317"/>
        <v>1900000</v>
      </c>
      <c r="V272" s="402">
        <f t="shared" si="317"/>
        <v>0</v>
      </c>
      <c r="W272" s="403">
        <f t="shared" si="301"/>
        <v>1</v>
      </c>
      <c r="X272" s="402"/>
      <c r="Y272" s="402">
        <f t="shared" si="317"/>
        <v>1900000</v>
      </c>
      <c r="Z272" s="402">
        <f t="shared" si="317"/>
        <v>1509624</v>
      </c>
      <c r="AA272" s="402">
        <f t="shared" si="317"/>
        <v>1111681.83</v>
      </c>
      <c r="AB272" s="403">
        <f t="shared" si="302"/>
        <v>0.5850957</v>
      </c>
      <c r="AC272" s="403">
        <f t="shared" si="303"/>
        <v>1</v>
      </c>
      <c r="AD272" s="402"/>
    </row>
    <row r="273" spans="1:32">
      <c r="A273" s="392"/>
      <c r="B273" s="263" t="s">
        <v>398</v>
      </c>
      <c r="C273" s="263"/>
      <c r="D273" s="263"/>
      <c r="E273" s="263"/>
      <c r="F273" s="263"/>
      <c r="G273" s="263"/>
      <c r="H273" s="263"/>
      <c r="I273" s="263"/>
      <c r="J273" s="393">
        <f>J173</f>
        <v>77630998.909999996</v>
      </c>
      <c r="K273" s="393">
        <f t="shared" ref="K273:AA273" si="318">K173</f>
        <v>26830099</v>
      </c>
      <c r="L273" s="393">
        <f t="shared" si="318"/>
        <v>26907917</v>
      </c>
      <c r="M273" s="393">
        <f t="shared" si="318"/>
        <v>15343701</v>
      </c>
      <c r="N273" s="393">
        <f t="shared" si="318"/>
        <v>0</v>
      </c>
      <c r="O273" s="393">
        <f t="shared" si="318"/>
        <v>4383192</v>
      </c>
      <c r="P273" s="393">
        <f t="shared" si="318"/>
        <v>8472635</v>
      </c>
      <c r="Q273" s="393">
        <f t="shared" si="318"/>
        <v>9316709</v>
      </c>
      <c r="R273" s="393">
        <f t="shared" si="318"/>
        <v>168885251.91</v>
      </c>
      <c r="S273" s="393"/>
      <c r="T273" s="393">
        <f t="shared" si="318"/>
        <v>540608.80000001192</v>
      </c>
      <c r="U273" s="402">
        <f t="shared" si="318"/>
        <v>32056252</v>
      </c>
      <c r="V273" s="402">
        <f t="shared" si="318"/>
        <v>5226153</v>
      </c>
      <c r="W273" s="403">
        <f t="shared" si="301"/>
        <v>0.83696930633063404</v>
      </c>
      <c r="X273" s="402"/>
      <c r="Y273" s="402">
        <f t="shared" si="318"/>
        <v>27500867</v>
      </c>
      <c r="Z273" s="402">
        <f t="shared" si="318"/>
        <v>20886195</v>
      </c>
      <c r="AA273" s="402">
        <f t="shared" si="318"/>
        <v>19057987.920000002</v>
      </c>
      <c r="AB273" s="403">
        <f t="shared" si="302"/>
        <v>0.69299589427489694</v>
      </c>
      <c r="AC273" s="403">
        <f t="shared" si="303"/>
        <v>0.97560920533887163</v>
      </c>
      <c r="AD273" s="402"/>
    </row>
    <row r="274" spans="1:32" s="279" customFormat="1">
      <c r="A274" s="397" t="s">
        <v>856</v>
      </c>
      <c r="B274" s="398" t="s">
        <v>398</v>
      </c>
      <c r="C274" s="398"/>
      <c r="D274" s="398"/>
      <c r="E274" s="398"/>
      <c r="F274" s="398"/>
      <c r="G274" s="398"/>
      <c r="H274" s="398"/>
      <c r="I274" s="398"/>
      <c r="J274" s="399">
        <f>J225</f>
        <v>6380917.8800000008</v>
      </c>
      <c r="K274" s="399">
        <f t="shared" ref="K274:AA274" si="319">K225</f>
        <v>5752836</v>
      </c>
      <c r="L274" s="399">
        <f t="shared" si="319"/>
        <v>5594196</v>
      </c>
      <c r="M274" s="399">
        <f t="shared" si="319"/>
        <v>2514347</v>
      </c>
      <c r="N274" s="399">
        <f t="shared" si="319"/>
        <v>1305322</v>
      </c>
      <c r="O274" s="399">
        <f t="shared" si="319"/>
        <v>2064470</v>
      </c>
      <c r="P274" s="399">
        <f t="shared" si="319"/>
        <v>10341544</v>
      </c>
      <c r="Q274" s="399">
        <f t="shared" si="319"/>
        <v>3826497</v>
      </c>
      <c r="R274" s="399">
        <f t="shared" si="319"/>
        <v>37780129.880000003</v>
      </c>
      <c r="S274" s="399"/>
      <c r="T274" s="399">
        <f t="shared" si="319"/>
        <v>3320122.6499999985</v>
      </c>
      <c r="U274" s="400">
        <f t="shared" si="319"/>
        <v>5956443</v>
      </c>
      <c r="V274" s="400">
        <f t="shared" si="319"/>
        <v>203607</v>
      </c>
      <c r="W274" s="401">
        <f t="shared" si="301"/>
        <v>0.9658173510600202</v>
      </c>
      <c r="X274" s="400"/>
      <c r="Y274" s="400">
        <f t="shared" si="319"/>
        <v>5158603</v>
      </c>
      <c r="Z274" s="400">
        <f t="shared" si="319"/>
        <v>3258454</v>
      </c>
      <c r="AA274" s="400">
        <f t="shared" si="319"/>
        <v>3155408.9699999997</v>
      </c>
      <c r="AB274" s="401">
        <f t="shared" si="302"/>
        <v>0.61167897006224359</v>
      </c>
      <c r="AC274" s="401">
        <f t="shared" si="303"/>
        <v>1.1151926209479581</v>
      </c>
      <c r="AD274" s="400"/>
      <c r="AF274" s="260"/>
    </row>
    <row r="275" spans="1:32" s="279" customFormat="1">
      <c r="A275" s="397" t="s">
        <v>762</v>
      </c>
      <c r="B275" s="398"/>
      <c r="C275" s="398"/>
      <c r="D275" s="398"/>
      <c r="E275" s="398"/>
      <c r="F275" s="398"/>
      <c r="G275" s="398"/>
      <c r="H275" s="398"/>
      <c r="I275" s="398"/>
      <c r="J275" s="399">
        <f>J276+J277</f>
        <v>149923614.25000012</v>
      </c>
      <c r="K275" s="399">
        <f t="shared" ref="K275:AA275" si="320">K276+K277</f>
        <v>32893597</v>
      </c>
      <c r="L275" s="399">
        <f t="shared" si="320"/>
        <v>31150910.890000001</v>
      </c>
      <c r="M275" s="399">
        <f t="shared" si="320"/>
        <v>11376201</v>
      </c>
      <c r="N275" s="399">
        <f t="shared" si="320"/>
        <v>3120542</v>
      </c>
      <c r="O275" s="399">
        <f t="shared" si="320"/>
        <v>3291755</v>
      </c>
      <c r="P275" s="399">
        <f t="shared" si="320"/>
        <v>1595100</v>
      </c>
      <c r="Q275" s="399">
        <f t="shared" si="320"/>
        <v>9963</v>
      </c>
      <c r="R275" s="399">
        <f t="shared" si="320"/>
        <v>233361683.1400001</v>
      </c>
      <c r="S275" s="399"/>
      <c r="T275" s="399">
        <f t="shared" si="320"/>
        <v>-2295510.1600001198</v>
      </c>
      <c r="U275" s="400">
        <f t="shared" si="320"/>
        <v>19852972</v>
      </c>
      <c r="V275" s="400">
        <f t="shared" si="320"/>
        <v>-13040625</v>
      </c>
      <c r="W275" s="401">
        <f t="shared" si="301"/>
        <v>1.6568600912749991</v>
      </c>
      <c r="X275" s="400"/>
      <c r="Y275" s="400">
        <f t="shared" si="320"/>
        <v>34811965</v>
      </c>
      <c r="Z275" s="400">
        <f t="shared" si="320"/>
        <v>25624139</v>
      </c>
      <c r="AA275" s="400">
        <f t="shared" si="320"/>
        <v>25583157.329999998</v>
      </c>
      <c r="AB275" s="401">
        <f t="shared" si="302"/>
        <v>0.73489552600664743</v>
      </c>
      <c r="AC275" s="401">
        <f t="shared" si="303"/>
        <v>0.94489342960100065</v>
      </c>
      <c r="AD275" s="400"/>
      <c r="AF275" s="260"/>
    </row>
    <row r="276" spans="1:32">
      <c r="A276" s="263"/>
      <c r="B276" s="263" t="s">
        <v>230</v>
      </c>
      <c r="C276" s="263"/>
      <c r="D276" s="263"/>
      <c r="E276" s="263"/>
      <c r="F276" s="263"/>
      <c r="G276" s="263"/>
      <c r="H276" s="263"/>
      <c r="I276" s="263"/>
      <c r="J276" s="393">
        <f>J62+J64+J67+J70+J71+J72+J73+J74+J80+J46</f>
        <v>140364649.15000013</v>
      </c>
      <c r="K276" s="393">
        <f t="shared" ref="K276:AA276" si="321">K62+K64+K67+K70+K71+K72+K73+K74+K80+K46</f>
        <v>31281900</v>
      </c>
      <c r="L276" s="393">
        <f t="shared" si="321"/>
        <v>30674252.890000001</v>
      </c>
      <c r="M276" s="393">
        <f t="shared" si="321"/>
        <v>11376201</v>
      </c>
      <c r="N276" s="393">
        <f t="shared" si="321"/>
        <v>3120542</v>
      </c>
      <c r="O276" s="393">
        <f t="shared" si="321"/>
        <v>2688897</v>
      </c>
      <c r="P276" s="393">
        <f t="shared" si="321"/>
        <v>1595100</v>
      </c>
      <c r="Q276" s="393">
        <f t="shared" si="321"/>
        <v>9963</v>
      </c>
      <c r="R276" s="393">
        <f t="shared" si="321"/>
        <v>221111505.04000011</v>
      </c>
      <c r="S276" s="393"/>
      <c r="T276" s="393">
        <f t="shared" si="321"/>
        <v>-2066545.6900001206</v>
      </c>
      <c r="U276" s="402">
        <f t="shared" si="321"/>
        <v>17149999</v>
      </c>
      <c r="V276" s="402">
        <f t="shared" si="321"/>
        <v>-14131901</v>
      </c>
      <c r="W276" s="403">
        <f t="shared" si="301"/>
        <v>1.8240175990680816</v>
      </c>
      <c r="X276" s="402"/>
      <c r="Y276" s="402">
        <f t="shared" si="321"/>
        <v>32055645</v>
      </c>
      <c r="Z276" s="402">
        <f t="shared" si="321"/>
        <v>23977193</v>
      </c>
      <c r="AA276" s="402">
        <f t="shared" si="321"/>
        <v>23937291.369999997</v>
      </c>
      <c r="AB276" s="403">
        <f t="shared" si="302"/>
        <v>0.74674184125760057</v>
      </c>
      <c r="AC276" s="403">
        <f t="shared" si="303"/>
        <v>0.97586244170098591</v>
      </c>
      <c r="AD276" s="402"/>
    </row>
    <row r="277" spans="1:32">
      <c r="A277" s="392"/>
      <c r="B277" s="263" t="s">
        <v>398</v>
      </c>
      <c r="C277" s="263"/>
      <c r="D277" s="263"/>
      <c r="E277" s="263"/>
      <c r="F277" s="263"/>
      <c r="G277" s="263"/>
      <c r="H277" s="263"/>
      <c r="I277" s="263"/>
      <c r="J277" s="393">
        <f>J164+J170</f>
        <v>9558965.0999999996</v>
      </c>
      <c r="K277" s="393">
        <f t="shared" ref="K277:AA277" si="322">K164+K170</f>
        <v>1611697</v>
      </c>
      <c r="L277" s="393">
        <f t="shared" si="322"/>
        <v>476658</v>
      </c>
      <c r="M277" s="393">
        <f t="shared" si="322"/>
        <v>0</v>
      </c>
      <c r="N277" s="393">
        <f t="shared" si="322"/>
        <v>0</v>
      </c>
      <c r="O277" s="393">
        <f t="shared" si="322"/>
        <v>602858</v>
      </c>
      <c r="P277" s="393">
        <f t="shared" si="322"/>
        <v>0</v>
      </c>
      <c r="Q277" s="393">
        <f t="shared" si="322"/>
        <v>0</v>
      </c>
      <c r="R277" s="393">
        <f t="shared" si="322"/>
        <v>12250178.1</v>
      </c>
      <c r="S277" s="393"/>
      <c r="T277" s="393">
        <f t="shared" si="322"/>
        <v>-228964.46999999927</v>
      </c>
      <c r="U277" s="402">
        <f t="shared" si="322"/>
        <v>2702973</v>
      </c>
      <c r="V277" s="402">
        <f t="shared" si="322"/>
        <v>1091276</v>
      </c>
      <c r="W277" s="403">
        <f t="shared" si="301"/>
        <v>0.59626825721159626</v>
      </c>
      <c r="X277" s="402"/>
      <c r="Y277" s="402">
        <f t="shared" si="322"/>
        <v>2756320</v>
      </c>
      <c r="Z277" s="402">
        <f t="shared" si="322"/>
        <v>1646946</v>
      </c>
      <c r="AA277" s="402">
        <f t="shared" si="322"/>
        <v>1645865.96</v>
      </c>
      <c r="AB277" s="403">
        <f t="shared" si="302"/>
        <v>0.59712441225982471</v>
      </c>
      <c r="AC277" s="403">
        <f t="shared" si="303"/>
        <v>0.5847278255064724</v>
      </c>
      <c r="AD277" s="402"/>
    </row>
    <row r="278" spans="1:32" s="279" customFormat="1">
      <c r="A278" s="397" t="s">
        <v>837</v>
      </c>
      <c r="B278" s="398"/>
      <c r="C278" s="398"/>
      <c r="D278" s="398"/>
      <c r="E278" s="398"/>
      <c r="F278" s="398"/>
      <c r="G278" s="398"/>
      <c r="H278" s="398"/>
      <c r="I278" s="398"/>
      <c r="J278" s="399">
        <f>J279+J280</f>
        <v>32975684.429999996</v>
      </c>
      <c r="K278" s="399">
        <f t="shared" ref="K278:AA278" si="323">K279+K280</f>
        <v>11324522</v>
      </c>
      <c r="L278" s="399">
        <f t="shared" si="323"/>
        <v>13834265</v>
      </c>
      <c r="M278" s="399">
        <f t="shared" si="323"/>
        <v>8479655</v>
      </c>
      <c r="N278" s="399">
        <f t="shared" si="323"/>
        <v>3688910</v>
      </c>
      <c r="O278" s="399">
        <f t="shared" si="323"/>
        <v>1696885</v>
      </c>
      <c r="P278" s="399">
        <f t="shared" si="323"/>
        <v>3583847</v>
      </c>
      <c r="Q278" s="399">
        <f t="shared" si="323"/>
        <v>5262234</v>
      </c>
      <c r="R278" s="399">
        <f t="shared" si="323"/>
        <v>80846002.429999992</v>
      </c>
      <c r="S278" s="399"/>
      <c r="T278" s="399">
        <f t="shared" si="323"/>
        <v>0.61000000219792128</v>
      </c>
      <c r="U278" s="400">
        <f t="shared" si="323"/>
        <v>13318880</v>
      </c>
      <c r="V278" s="400">
        <f t="shared" si="323"/>
        <v>1994358</v>
      </c>
      <c r="W278" s="401">
        <f t="shared" si="301"/>
        <v>0.85026083274269304</v>
      </c>
      <c r="X278" s="400"/>
      <c r="Y278" s="400">
        <f t="shared" si="323"/>
        <v>13763901</v>
      </c>
      <c r="Z278" s="400">
        <f t="shared" si="323"/>
        <v>9470631</v>
      </c>
      <c r="AA278" s="400">
        <f t="shared" si="323"/>
        <v>8495785.1000000015</v>
      </c>
      <c r="AB278" s="401">
        <f t="shared" si="302"/>
        <v>0.61725125020878902</v>
      </c>
      <c r="AC278" s="401">
        <f t="shared" si="303"/>
        <v>0.82276979469701217</v>
      </c>
      <c r="AD278" s="400"/>
      <c r="AF278" s="260"/>
    </row>
    <row r="279" spans="1:32">
      <c r="A279" s="263"/>
      <c r="B279" s="263" t="s">
        <v>230</v>
      </c>
      <c r="C279" s="263"/>
      <c r="D279" s="263"/>
      <c r="E279" s="263"/>
      <c r="F279" s="263"/>
      <c r="G279" s="263"/>
      <c r="H279" s="263"/>
      <c r="I279" s="263"/>
      <c r="J279" s="393">
        <f>J92</f>
        <v>865995.74</v>
      </c>
      <c r="K279" s="393">
        <f t="shared" ref="K279:AA279" si="324">K92</f>
        <v>644609</v>
      </c>
      <c r="L279" s="393">
        <f t="shared" si="324"/>
        <v>754087</v>
      </c>
      <c r="M279" s="393">
        <f t="shared" si="324"/>
        <v>0</v>
      </c>
      <c r="N279" s="393">
        <f t="shared" si="324"/>
        <v>0</v>
      </c>
      <c r="O279" s="393">
        <f t="shared" si="324"/>
        <v>516782</v>
      </c>
      <c r="P279" s="393">
        <f t="shared" si="324"/>
        <v>0</v>
      </c>
      <c r="Q279" s="393">
        <f t="shared" si="324"/>
        <v>0</v>
      </c>
      <c r="R279" s="393">
        <f t="shared" si="324"/>
        <v>2781473.74</v>
      </c>
      <c r="S279" s="393"/>
      <c r="T279" s="393">
        <f t="shared" si="324"/>
        <v>0.29999999981373549</v>
      </c>
      <c r="U279" s="402">
        <f t="shared" si="324"/>
        <v>802185</v>
      </c>
      <c r="V279" s="402">
        <f t="shared" si="324"/>
        <v>157576</v>
      </c>
      <c r="W279" s="403">
        <f t="shared" si="301"/>
        <v>0.80356650897236925</v>
      </c>
      <c r="X279" s="402"/>
      <c r="Y279" s="402">
        <f t="shared" si="324"/>
        <v>1122369</v>
      </c>
      <c r="Z279" s="402">
        <f t="shared" si="324"/>
        <v>727868</v>
      </c>
      <c r="AA279" s="402">
        <f t="shared" si="324"/>
        <v>535376.42000000004</v>
      </c>
      <c r="AB279" s="403">
        <f t="shared" si="302"/>
        <v>0.4770057084612993</v>
      </c>
      <c r="AC279" s="403">
        <f t="shared" si="303"/>
        <v>0.57432894172950255</v>
      </c>
      <c r="AD279" s="402"/>
    </row>
    <row r="280" spans="1:32">
      <c r="A280" s="392"/>
      <c r="B280" s="263" t="s">
        <v>1116</v>
      </c>
      <c r="C280" s="263"/>
      <c r="D280" s="263"/>
      <c r="E280" s="263"/>
      <c r="F280" s="263"/>
      <c r="G280" s="263"/>
      <c r="H280" s="263"/>
      <c r="I280" s="263"/>
      <c r="J280" s="393">
        <f>J254</f>
        <v>32109688.689999998</v>
      </c>
      <c r="K280" s="393">
        <f t="shared" ref="K280:AA280" si="325">K254</f>
        <v>10679913</v>
      </c>
      <c r="L280" s="393">
        <f t="shared" si="325"/>
        <v>13080178</v>
      </c>
      <c r="M280" s="393">
        <f t="shared" si="325"/>
        <v>8479655</v>
      </c>
      <c r="N280" s="393">
        <f t="shared" si="325"/>
        <v>3688910</v>
      </c>
      <c r="O280" s="393">
        <f t="shared" si="325"/>
        <v>1180103</v>
      </c>
      <c r="P280" s="393">
        <f t="shared" si="325"/>
        <v>3583847</v>
      </c>
      <c r="Q280" s="393">
        <f t="shared" si="325"/>
        <v>5262234</v>
      </c>
      <c r="R280" s="393">
        <f t="shared" si="325"/>
        <v>78064528.689999998</v>
      </c>
      <c r="S280" s="393"/>
      <c r="T280" s="393">
        <f t="shared" si="325"/>
        <v>0.31000000238418579</v>
      </c>
      <c r="U280" s="402">
        <f t="shared" si="325"/>
        <v>12516695</v>
      </c>
      <c r="V280" s="402">
        <f t="shared" si="325"/>
        <v>1836782</v>
      </c>
      <c r="W280" s="403">
        <f t="shared" si="301"/>
        <v>0.85325343471259785</v>
      </c>
      <c r="X280" s="402"/>
      <c r="Y280" s="402">
        <f t="shared" si="325"/>
        <v>12641532</v>
      </c>
      <c r="Z280" s="402">
        <f t="shared" si="325"/>
        <v>8742763</v>
      </c>
      <c r="AA280" s="402">
        <f t="shared" si="325"/>
        <v>7960408.6800000006</v>
      </c>
      <c r="AB280" s="403">
        <f t="shared" si="302"/>
        <v>0.62970284614238214</v>
      </c>
      <c r="AC280" s="403">
        <f t="shared" si="303"/>
        <v>0.84482743072595945</v>
      </c>
      <c r="AD280" s="402"/>
    </row>
    <row r="281" spans="1:32" s="279" customFormat="1">
      <c r="A281" s="397" t="s">
        <v>1117</v>
      </c>
      <c r="B281" s="398" t="s">
        <v>230</v>
      </c>
      <c r="C281" s="398"/>
      <c r="D281" s="398"/>
      <c r="E281" s="398"/>
      <c r="F281" s="398"/>
      <c r="G281" s="398"/>
      <c r="H281" s="398"/>
      <c r="I281" s="398"/>
      <c r="J281" s="399">
        <f>J98+J93+J94+J95</f>
        <v>3883898.9400000004</v>
      </c>
      <c r="K281" s="399">
        <f t="shared" ref="K281:AA281" si="326">K98+K93+K94+K95</f>
        <v>2199579</v>
      </c>
      <c r="L281" s="399">
        <f t="shared" si="326"/>
        <v>1387157</v>
      </c>
      <c r="M281" s="399">
        <f t="shared" si="326"/>
        <v>403737</v>
      </c>
      <c r="N281" s="399">
        <f t="shared" si="326"/>
        <v>0</v>
      </c>
      <c r="O281" s="399">
        <f t="shared" si="326"/>
        <v>720101</v>
      </c>
      <c r="P281" s="399">
        <f t="shared" si="326"/>
        <v>282724</v>
      </c>
      <c r="Q281" s="399">
        <f t="shared" si="326"/>
        <v>33059</v>
      </c>
      <c r="R281" s="399">
        <f t="shared" si="326"/>
        <v>8910255.9399999995</v>
      </c>
      <c r="S281" s="399"/>
      <c r="T281" s="399">
        <f>T98+T93+T94+T95</f>
        <v>167187.93999999878</v>
      </c>
      <c r="U281" s="400">
        <f t="shared" si="326"/>
        <v>2307591</v>
      </c>
      <c r="V281" s="400">
        <f t="shared" si="326"/>
        <v>108012</v>
      </c>
      <c r="W281" s="401">
        <f t="shared" si="301"/>
        <v>0.95319274516151264</v>
      </c>
      <c r="X281" s="400"/>
      <c r="Y281" s="400">
        <f t="shared" si="326"/>
        <v>3056270</v>
      </c>
      <c r="Z281" s="400">
        <f t="shared" si="326"/>
        <v>2366408</v>
      </c>
      <c r="AA281" s="400">
        <f t="shared" si="326"/>
        <v>1849637.2000000002</v>
      </c>
      <c r="AB281" s="401">
        <f t="shared" si="302"/>
        <v>0.60519430547693764</v>
      </c>
      <c r="AC281" s="401">
        <f t="shared" si="303"/>
        <v>0.71969394065314907</v>
      </c>
      <c r="AD281" s="400"/>
      <c r="AF281" s="260"/>
    </row>
    <row r="282" spans="1:32">
      <c r="A282" s="392"/>
      <c r="B282" s="263"/>
      <c r="C282" s="263"/>
      <c r="D282" s="263"/>
      <c r="E282" s="263"/>
      <c r="F282" s="263"/>
      <c r="G282" s="263"/>
      <c r="H282" s="263"/>
      <c r="I282" s="263"/>
      <c r="J282" s="395"/>
      <c r="K282" s="395"/>
      <c r="L282" s="395"/>
      <c r="M282" s="395"/>
      <c r="N282" s="395"/>
      <c r="O282" s="395"/>
      <c r="P282" s="395"/>
      <c r="Q282" s="395"/>
      <c r="R282" s="263"/>
      <c r="S282" s="295"/>
      <c r="T282" s="263"/>
      <c r="W282" s="401"/>
      <c r="AB282" s="401"/>
      <c r="AC282" s="401"/>
    </row>
    <row r="283" spans="1:32">
      <c r="A283" s="405" t="s">
        <v>149</v>
      </c>
      <c r="B283" s="263"/>
      <c r="C283" s="263"/>
      <c r="D283" s="263"/>
      <c r="E283" s="263"/>
      <c r="F283" s="263"/>
      <c r="G283" s="263"/>
      <c r="H283" s="263"/>
      <c r="I283" s="263"/>
      <c r="J283" s="393">
        <f>J284+J285+J286+J287</f>
        <v>1610686804.3600001</v>
      </c>
      <c r="K283" s="393">
        <f t="shared" ref="K283:AA283" si="327">K284+K285+K286+K287</f>
        <v>425567085.51999998</v>
      </c>
      <c r="L283" s="393">
        <f t="shared" si="327"/>
        <v>482841118.49000001</v>
      </c>
      <c r="M283" s="393">
        <f t="shared" si="327"/>
        <v>217698923</v>
      </c>
      <c r="N283" s="393">
        <f t="shared" si="327"/>
        <v>64302439</v>
      </c>
      <c r="O283" s="393">
        <f t="shared" si="327"/>
        <v>118510674.40000001</v>
      </c>
      <c r="P283" s="393">
        <f t="shared" si="327"/>
        <v>395779939.44999999</v>
      </c>
      <c r="Q283" s="393">
        <f t="shared" si="327"/>
        <v>386416133.47000003</v>
      </c>
      <c r="R283" s="393">
        <f t="shared" si="327"/>
        <v>3701803117.6900001</v>
      </c>
      <c r="S283" s="393"/>
      <c r="T283" s="393">
        <f>T284+T285+T286+T287</f>
        <v>32420957.433695994</v>
      </c>
      <c r="U283" s="402">
        <f t="shared" si="327"/>
        <v>536611907</v>
      </c>
      <c r="V283" s="402">
        <f t="shared" si="327"/>
        <v>111044821.48</v>
      </c>
      <c r="W283" s="403">
        <f>K283/U283</f>
        <v>0.79306306842721619</v>
      </c>
      <c r="X283" s="402"/>
      <c r="Y283" s="402">
        <f t="shared" si="327"/>
        <v>501075333</v>
      </c>
      <c r="Z283" s="402">
        <f t="shared" si="327"/>
        <v>351830142</v>
      </c>
      <c r="AA283" s="402">
        <f t="shared" si="327"/>
        <v>330113770.97999996</v>
      </c>
      <c r="AB283" s="403">
        <f>AA283/Y283</f>
        <v>0.65881066027251423</v>
      </c>
      <c r="AC283" s="403">
        <f>K283/Y283</f>
        <v>0.84930759407388345</v>
      </c>
      <c r="AD283" s="402"/>
    </row>
    <row r="284" spans="1:32">
      <c r="A284" s="392"/>
      <c r="B284" s="263" t="s">
        <v>230</v>
      </c>
      <c r="C284" s="263"/>
      <c r="D284" s="263"/>
      <c r="E284" s="263"/>
      <c r="F284" s="263"/>
      <c r="G284" s="263"/>
      <c r="H284" s="263"/>
      <c r="I284" s="263"/>
      <c r="J284" s="393">
        <f>J258+J265+J268+J272+J276+J279+J281</f>
        <v>287508469.81000012</v>
      </c>
      <c r="K284" s="393">
        <f t="shared" ref="K284:AA284" si="328">K258+K265+K268+K272+K276+K279+K281</f>
        <v>72639231</v>
      </c>
      <c r="L284" s="393">
        <f t="shared" si="328"/>
        <v>57938986.890000001</v>
      </c>
      <c r="M284" s="393">
        <f t="shared" si="328"/>
        <v>16529617</v>
      </c>
      <c r="N284" s="393">
        <f t="shared" si="328"/>
        <v>4956850</v>
      </c>
      <c r="O284" s="393">
        <f t="shared" si="328"/>
        <v>8834926</v>
      </c>
      <c r="P284" s="393">
        <f t="shared" si="328"/>
        <v>11596998</v>
      </c>
      <c r="Q284" s="393">
        <f t="shared" si="328"/>
        <v>9347293</v>
      </c>
      <c r="R284" s="393">
        <f t="shared" si="328"/>
        <v>469352371.70000011</v>
      </c>
      <c r="S284" s="393"/>
      <c r="T284" s="393">
        <f>T258+T265+T268+T272+T276+T279+T281</f>
        <v>1115155.4071358868</v>
      </c>
      <c r="U284" s="402">
        <f t="shared" si="328"/>
        <v>58145014</v>
      </c>
      <c r="V284" s="402">
        <f t="shared" si="328"/>
        <v>-14494217</v>
      </c>
      <c r="W284" s="403">
        <f t="shared" si="301"/>
        <v>1.2492770403322975</v>
      </c>
      <c r="X284" s="402"/>
      <c r="Y284" s="402">
        <f t="shared" si="328"/>
        <v>77816769</v>
      </c>
      <c r="Z284" s="402">
        <f t="shared" si="328"/>
        <v>61468248</v>
      </c>
      <c r="AA284" s="402">
        <f t="shared" si="328"/>
        <v>57399116.289999999</v>
      </c>
      <c r="AB284" s="403">
        <f t="shared" si="302"/>
        <v>0.73761885808957195</v>
      </c>
      <c r="AC284" s="403">
        <f t="shared" si="303"/>
        <v>0.93346500932209098</v>
      </c>
      <c r="AD284" s="402"/>
    </row>
    <row r="285" spans="1:32">
      <c r="A285" s="392"/>
      <c r="B285" s="263" t="s">
        <v>931</v>
      </c>
      <c r="C285" s="263"/>
      <c r="D285" s="263"/>
      <c r="E285" s="263"/>
      <c r="F285" s="263"/>
      <c r="G285" s="263"/>
      <c r="H285" s="263"/>
      <c r="I285" s="263"/>
      <c r="J285" s="393">
        <f>J259+J263+J269</f>
        <v>488806262.81999999</v>
      </c>
      <c r="K285" s="393">
        <f t="shared" ref="K285:AA285" si="329">K259+K263+K269</f>
        <v>109951214</v>
      </c>
      <c r="L285" s="393">
        <f t="shared" si="329"/>
        <v>179578888</v>
      </c>
      <c r="M285" s="393">
        <f t="shared" si="329"/>
        <v>113089454</v>
      </c>
      <c r="N285" s="393">
        <f t="shared" si="329"/>
        <v>34996472</v>
      </c>
      <c r="O285" s="393">
        <f t="shared" si="329"/>
        <v>12764231</v>
      </c>
      <c r="P285" s="393">
        <f t="shared" si="329"/>
        <v>118107045.45</v>
      </c>
      <c r="Q285" s="393">
        <f t="shared" si="329"/>
        <v>126548645.47</v>
      </c>
      <c r="R285" s="393">
        <f t="shared" si="329"/>
        <v>1183842212.7399998</v>
      </c>
      <c r="S285" s="393"/>
      <c r="T285" s="393">
        <f t="shared" si="329"/>
        <v>3.750000037252903</v>
      </c>
      <c r="U285" s="402">
        <f t="shared" si="329"/>
        <v>175808640</v>
      </c>
      <c r="V285" s="402">
        <f t="shared" si="329"/>
        <v>65857426</v>
      </c>
      <c r="W285" s="403">
        <f t="shared" si="301"/>
        <v>0.62540279021554346</v>
      </c>
      <c r="X285" s="402"/>
      <c r="Y285" s="402">
        <f t="shared" si="329"/>
        <v>142450898</v>
      </c>
      <c r="Z285" s="402">
        <f t="shared" si="329"/>
        <v>98247602</v>
      </c>
      <c r="AA285" s="402">
        <f t="shared" si="329"/>
        <v>96646379.559999987</v>
      </c>
      <c r="AB285" s="403">
        <f t="shared" si="302"/>
        <v>0.67845398601839624</v>
      </c>
      <c r="AC285" s="403">
        <f t="shared" si="303"/>
        <v>0.77185342840028992</v>
      </c>
      <c r="AD285" s="402"/>
    </row>
    <row r="286" spans="1:32">
      <c r="A286" s="392"/>
      <c r="B286" s="263" t="s">
        <v>398</v>
      </c>
      <c r="C286" s="263"/>
      <c r="D286" s="263"/>
      <c r="E286" s="263"/>
      <c r="F286" s="263"/>
      <c r="G286" s="263"/>
      <c r="H286" s="263"/>
      <c r="I286" s="263"/>
      <c r="J286" s="393">
        <f>J260+J262+J266+J270+J273+J274+J277</f>
        <v>802262383.03999996</v>
      </c>
      <c r="K286" s="393">
        <f t="shared" ref="K286:AA286" si="330">K260+K262+K266+K270+K273+K274+K277</f>
        <v>232296727.51999998</v>
      </c>
      <c r="L286" s="393">
        <f t="shared" si="330"/>
        <v>232243065.59999999</v>
      </c>
      <c r="M286" s="393">
        <f>M260+M262+M266+M270+M273+M274+M277</f>
        <v>79600197</v>
      </c>
      <c r="N286" s="393">
        <f t="shared" si="330"/>
        <v>20660207</v>
      </c>
      <c r="O286" s="393">
        <f t="shared" si="330"/>
        <v>95731414.400000006</v>
      </c>
      <c r="P286" s="393">
        <f t="shared" si="330"/>
        <v>262492049</v>
      </c>
      <c r="Q286" s="393">
        <f t="shared" si="330"/>
        <v>245257961</v>
      </c>
      <c r="R286" s="393">
        <f t="shared" si="330"/>
        <v>1970544004.5599999</v>
      </c>
      <c r="S286" s="393"/>
      <c r="T286" s="393">
        <f t="shared" si="330"/>
        <v>31305797.966560069</v>
      </c>
      <c r="U286" s="402">
        <f t="shared" si="330"/>
        <v>290141558</v>
      </c>
      <c r="V286" s="402">
        <f t="shared" si="330"/>
        <v>57844830.480000004</v>
      </c>
      <c r="W286" s="403">
        <f t="shared" si="301"/>
        <v>0.80063238483057975</v>
      </c>
      <c r="X286" s="402"/>
      <c r="Y286" s="402">
        <f t="shared" si="330"/>
        <v>268166134</v>
      </c>
      <c r="Z286" s="402">
        <f t="shared" si="330"/>
        <v>183371529</v>
      </c>
      <c r="AA286" s="402">
        <f t="shared" si="330"/>
        <v>168107866.44999999</v>
      </c>
      <c r="AB286" s="403">
        <f t="shared" si="302"/>
        <v>0.62687955388878447</v>
      </c>
      <c r="AC286" s="403">
        <f t="shared" si="303"/>
        <v>0.86624184812240301</v>
      </c>
      <c r="AD286" s="402"/>
    </row>
    <row r="287" spans="1:32">
      <c r="A287" s="392"/>
      <c r="B287" s="263" t="s">
        <v>1116</v>
      </c>
      <c r="C287" s="263"/>
      <c r="D287" s="263"/>
      <c r="E287" s="263"/>
      <c r="F287" s="263"/>
      <c r="G287" s="263"/>
      <c r="H287" s="263"/>
      <c r="I287" s="263"/>
      <c r="J287" s="393">
        <f>J280</f>
        <v>32109688.689999998</v>
      </c>
      <c r="K287" s="393">
        <f t="shared" ref="K287:AA287" si="331">K280</f>
        <v>10679913</v>
      </c>
      <c r="L287" s="393">
        <f t="shared" si="331"/>
        <v>13080178</v>
      </c>
      <c r="M287" s="393">
        <f t="shared" si="331"/>
        <v>8479655</v>
      </c>
      <c r="N287" s="393">
        <f t="shared" si="331"/>
        <v>3688910</v>
      </c>
      <c r="O287" s="393">
        <f t="shared" si="331"/>
        <v>1180103</v>
      </c>
      <c r="P287" s="393">
        <f t="shared" si="331"/>
        <v>3583847</v>
      </c>
      <c r="Q287" s="393">
        <f t="shared" si="331"/>
        <v>5262234</v>
      </c>
      <c r="R287" s="393">
        <f t="shared" si="331"/>
        <v>78064528.689999998</v>
      </c>
      <c r="S287" s="393"/>
      <c r="T287" s="393">
        <f t="shared" si="331"/>
        <v>0.31000000238418579</v>
      </c>
      <c r="U287" s="402">
        <f t="shared" si="331"/>
        <v>12516695</v>
      </c>
      <c r="V287" s="402">
        <f t="shared" si="331"/>
        <v>1836782</v>
      </c>
      <c r="W287" s="403">
        <f t="shared" si="301"/>
        <v>0.85325343471259785</v>
      </c>
      <c r="X287" s="402"/>
      <c r="Y287" s="402">
        <f t="shared" si="331"/>
        <v>12641532</v>
      </c>
      <c r="Z287" s="402">
        <f t="shared" si="331"/>
        <v>8742763</v>
      </c>
      <c r="AA287" s="402">
        <f t="shared" si="331"/>
        <v>7960408.6800000006</v>
      </c>
      <c r="AB287" s="403">
        <f t="shared" si="302"/>
        <v>0.62970284614238214</v>
      </c>
      <c r="AC287" s="403">
        <f t="shared" si="303"/>
        <v>0.84482743072595945</v>
      </c>
      <c r="AD287" s="402"/>
    </row>
  </sheetData>
  <mergeCells count="25">
    <mergeCell ref="X3:X4"/>
    <mergeCell ref="Y2:AB2"/>
    <mergeCell ref="A3:A4"/>
    <mergeCell ref="B3:B4"/>
    <mergeCell ref="G3:G4"/>
    <mergeCell ref="H3:H4"/>
    <mergeCell ref="I3:I4"/>
    <mergeCell ref="J3:J4"/>
    <mergeCell ref="L3:N3"/>
    <mergeCell ref="O3:Q3"/>
    <mergeCell ref="R3:R4"/>
    <mergeCell ref="S3:S4"/>
    <mergeCell ref="T3:T4"/>
    <mergeCell ref="U3:U4"/>
    <mergeCell ref="V3:V4"/>
    <mergeCell ref="W3:W4"/>
    <mergeCell ref="AF3:AF5"/>
    <mergeCell ref="AG3:AG5"/>
    <mergeCell ref="AI3:AI5"/>
    <mergeCell ref="Y3:Y4"/>
    <mergeCell ref="Z3:Z4"/>
    <mergeCell ref="AA3:AA4"/>
    <mergeCell ref="AB3:AB4"/>
    <mergeCell ref="AC3:AC4"/>
    <mergeCell ref="AD3:AD4"/>
  </mergeCells>
  <pageMargins left="0.23622047244094491" right="0.23622047244094491" top="0" bottom="0" header="0.31496062992125984" footer="0.31496062992125984"/>
  <pageSetup paperSize="9" scale="6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Tabula</vt:lpstr>
      <vt:lpstr>Sheet1</vt:lpstr>
      <vt:lpstr>Sheet1 (2)</vt:lpstr>
      <vt:lpstr>'Sheet1 (2)'!Print_Area</vt:lpstr>
      <vt:lpstr>Tabula!Print_Area</vt:lpstr>
      <vt:lpstr>'Sheet1 (2)'!Print_Titles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2017.gada plāns maksājumiem Eiropas Ekonomikas zonas finanšu instrumenta un Norvēģijas finanšu instrumenta programmās</dc:title>
  <dc:subject>Informatīvā ziņojuma pielikums</dc:subject>
  <dc:creator>Lauma Lazdiņa</dc:creator>
  <dc:description>67083928, lauma.lazdina@fm.gov.lv</dc:description>
  <cp:lastModifiedBy>Ieva Ziepniece</cp:lastModifiedBy>
  <cp:lastPrinted>2017-01-20T11:01:36Z</cp:lastPrinted>
  <dcterms:created xsi:type="dcterms:W3CDTF">2009-08-28T08:44:59Z</dcterms:created>
  <dcterms:modified xsi:type="dcterms:W3CDTF">2017-02-14T13:52:36Z</dcterms:modified>
</cp:coreProperties>
</file>