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20730" windowHeight="11760"/>
  </bookViews>
  <sheets>
    <sheet name="5_Prioritate-1_Pielikums" sheetId="5" r:id="rId1"/>
    <sheet name="5_Prioritāte-2_Pielikums-1d" sheetId="7" r:id="rId2"/>
    <sheet name="5_Prioritāte-2_Pielikums-2d" sheetId="16" r:id="rId3"/>
    <sheet name="5_Prioritāte-3_Pielikums-1d" sheetId="12" r:id="rId4"/>
    <sheet name="5_Prioritāte-3_Pielikums-2d" sheetId="13" r:id="rId5"/>
    <sheet name="5_Prioritāte-3_Pielikums-3d" sheetId="14" r:id="rId6"/>
    <sheet name="5_Prioritāte-4_Pielikums" sheetId="15" r:id="rId7"/>
    <sheet name="5_Prioritāte-5_Pielikums" sheetId="17" r:id="rId8"/>
    <sheet name="R-NPV-IRR-BC-5_Prioritāte" sheetId="10" r:id="rId9"/>
    <sheet name="Sheet3" sheetId="3" state="hidden" r:id="rId10"/>
    <sheet name="Sheet2" sheetId="2" state="hidden" r:id="rId11"/>
  </sheets>
  <externalReferences>
    <externalReference r:id="rId12"/>
  </externalReferences>
  <definedNames>
    <definedName name="_xlnm._FilterDatabase" localSheetId="0" hidden="1">'5_Prioritate-1_Pielikums'!$B$4:$R$301</definedName>
    <definedName name="a" localSheetId="2" hidden="1">[1]Sheet1!#REF!</definedName>
    <definedName name="a" localSheetId="3" hidden="1">[1]Sheet1!#REF!</definedName>
    <definedName name="a" localSheetId="4" hidden="1">[1]Sheet1!#REF!</definedName>
    <definedName name="a" localSheetId="5" hidden="1">[1]Sheet1!#REF!</definedName>
    <definedName name="a" localSheetId="6" hidden="1">[1]Sheet1!#REF!</definedName>
    <definedName name="a" localSheetId="7" hidden="1">[1]Sheet1!#REF!</definedName>
    <definedName name="a" localSheetId="8" hidden="1">[1]Sheet1!#REF!</definedName>
    <definedName name="a" hidden="1">[1]Sheet1!#REF!</definedName>
    <definedName name="anscount" hidden="1">2</definedName>
    <definedName name="_xlnm.Print_Area" localSheetId="0">'5_Prioritate-1_Pielikums'!$A$2:$R$55</definedName>
    <definedName name="_xlnm.Print_Area" localSheetId="1">'5_Prioritāte-2_Pielikums-1d'!$A$5:$T$42</definedName>
    <definedName name="_xlnm.Print_Area" localSheetId="2">'5_Prioritāte-2_Pielikums-2d'!$V$5:$AK$61</definedName>
    <definedName name="_xlnm.Print_Area" localSheetId="3">'5_Prioritāte-3_Pielikums-1d'!$B$2:$K$41</definedName>
    <definedName name="_xlnm.Print_Area" localSheetId="4">'5_Prioritāte-3_Pielikums-2d'!$A$2:$I$13</definedName>
    <definedName name="_xlnm.Print_Area" localSheetId="5">'5_Prioritāte-3_Pielikums-3d'!$B$2:$I$15</definedName>
    <definedName name="_xlnm.Print_Area" localSheetId="6">'5_Prioritāte-4_Pielikums'!$A$6:$E$18</definedName>
    <definedName name="_xlnm.Print_Area" localSheetId="7">'5_Prioritāte-5_Pielikums'!$V$3:$Y$60</definedName>
    <definedName name="_xlnm.Print_Area" localSheetId="8">'R-NPV-IRR-BC-5_Prioritāte'!$A$3:$AG$47</definedName>
    <definedName name="_xlnm.Print_Titles" localSheetId="0">'5_Prioritate-1_Pielikums'!$1:$4</definedName>
    <definedName name="sencount" hidden="1">1</definedName>
    <definedName name="wrn.loandepr." localSheetId="3" hidden="1">{"depr",#N/A,FALSE,"basebalance";"ebrdloan",#N/A,FALSE,"basebalance";"eibloan",#N/A,FALSE,"basebalance";"financiers",#N/A,FALSE,"basebalance"}</definedName>
    <definedName name="wrn.loandepr." localSheetId="4" hidden="1">{"depr",#N/A,FALSE,"basebalance";"ebrdloan",#N/A,FALSE,"basebalance";"eibloan",#N/A,FALSE,"basebalance";"financiers",#N/A,FALSE,"basebalance"}</definedName>
    <definedName name="wrn.loandepr." localSheetId="5" hidden="1">{"depr",#N/A,FALSE,"basebalance";"ebrdloan",#N/A,FALSE,"basebalance";"eibloan",#N/A,FALSE,"basebalance";"financiers",#N/A,FALSE,"basebalance"}</definedName>
    <definedName name="wrn.loandepr." localSheetId="6" hidden="1">{"depr",#N/A,FALSE,"basebalance";"ebrdloan",#N/A,FALSE,"basebalance";"eibloan",#N/A,FALSE,"basebalance";"financiers",#N/A,FALSE,"basebalance"}</definedName>
    <definedName name="wrn.loandepr." localSheetId="8" hidden="1">{"depr",#N/A,FALSE,"basebalance";"ebrdloan",#N/A,FALSE,"basebalance";"eibloan",#N/A,FALSE,"basebalance";"financiers",#N/A,FALSE,"basebalance"}</definedName>
    <definedName name="wrn.loandepr." hidden="1">{"depr",#N/A,FALSE,"basebalance";"ebrdloan",#N/A,FALSE,"basebalance";"eibloan",#N/A,FALSE,"basebalance";"financiers",#N/A,FALSE,"basebalance"}</definedName>
    <definedName name="wrn.profbalcash." localSheetId="3" hidden="1">{"balance",#N/A,FALSE,"revbal";"cashflo",#N/A,FALSE,"revbal"}</definedName>
    <definedName name="wrn.profbalcash." localSheetId="4" hidden="1">{"balance",#N/A,FALSE,"revbal";"cashflo",#N/A,FALSE,"revbal"}</definedName>
    <definedName name="wrn.profbalcash." localSheetId="5" hidden="1">{"balance",#N/A,FALSE,"revbal";"cashflo",#N/A,FALSE,"revbal"}</definedName>
    <definedName name="wrn.profbalcash." localSheetId="6" hidden="1">{"balance",#N/A,FALSE,"revbal";"cashflo",#N/A,FALSE,"revbal"}</definedName>
    <definedName name="wrn.profbalcash." localSheetId="8" hidden="1">{"balance",#N/A,FALSE,"revbal";"cashflo",#N/A,FALSE,"revbal"}</definedName>
    <definedName name="wrn.profbalcash." hidden="1">{"balance",#N/A,FALSE,"revbal";"cashflo",#N/A,FALSE,"revbal"}</definedName>
  </definedNames>
  <calcPr calcId="145621"/>
</workbook>
</file>

<file path=xl/calcChain.xml><?xml version="1.0" encoding="utf-8"?>
<calcChain xmlns="http://schemas.openxmlformats.org/spreadsheetml/2006/main">
  <c r="W8" i="17" l="1"/>
  <c r="X8" i="17" s="1"/>
  <c r="W58" i="17"/>
  <c r="X58" i="17" s="1"/>
  <c r="V58" i="17"/>
  <c r="W57" i="17"/>
  <c r="X57" i="17" s="1"/>
  <c r="V57" i="17"/>
  <c r="W56" i="17"/>
  <c r="X56" i="17" s="1"/>
  <c r="V56" i="17"/>
  <c r="W55" i="17"/>
  <c r="X55" i="17" s="1"/>
  <c r="V55" i="17"/>
  <c r="W54" i="17"/>
  <c r="X54" i="17" s="1"/>
  <c r="V54" i="17"/>
  <c r="W53" i="17"/>
  <c r="X53" i="17" s="1"/>
  <c r="V53" i="17"/>
  <c r="W52" i="17"/>
  <c r="X52" i="17" s="1"/>
  <c r="V52" i="17"/>
  <c r="W51" i="17"/>
  <c r="X51" i="17" s="1"/>
  <c r="V51" i="17"/>
  <c r="W50" i="17"/>
  <c r="X50" i="17" s="1"/>
  <c r="V50" i="17"/>
  <c r="W49" i="17"/>
  <c r="X49" i="17" s="1"/>
  <c r="V49" i="17"/>
  <c r="W48" i="17"/>
  <c r="X48" i="17" s="1"/>
  <c r="V48" i="17"/>
  <c r="W47" i="17"/>
  <c r="X47" i="17" s="1"/>
  <c r="V47" i="17"/>
  <c r="W46" i="17"/>
  <c r="X46" i="17" s="1"/>
  <c r="V46" i="17"/>
  <c r="W45" i="17"/>
  <c r="X45" i="17" s="1"/>
  <c r="V45" i="17"/>
  <c r="W44" i="17"/>
  <c r="X44" i="17" s="1"/>
  <c r="V44" i="17"/>
  <c r="W43" i="17"/>
  <c r="X43" i="17" s="1"/>
  <c r="V43" i="17"/>
  <c r="W42" i="17"/>
  <c r="X42" i="17" s="1"/>
  <c r="V42" i="17"/>
  <c r="W41" i="17"/>
  <c r="X41" i="17" s="1"/>
  <c r="V41" i="17"/>
  <c r="W40" i="17"/>
  <c r="X40" i="17" s="1"/>
  <c r="V40" i="17"/>
  <c r="W39" i="17"/>
  <c r="X39" i="17" s="1"/>
  <c r="V39" i="17"/>
  <c r="W38" i="17"/>
  <c r="X38" i="17" s="1"/>
  <c r="V38" i="17"/>
  <c r="W37" i="17"/>
  <c r="X37" i="17" s="1"/>
  <c r="V37" i="17"/>
  <c r="G37" i="17"/>
  <c r="W36" i="17"/>
  <c r="X36" i="17" s="1"/>
  <c r="V36" i="17"/>
  <c r="W35" i="17"/>
  <c r="X35" i="17" s="1"/>
  <c r="V35" i="17"/>
  <c r="W34" i="17"/>
  <c r="X34" i="17" s="1"/>
  <c r="V34" i="17"/>
  <c r="W33" i="17"/>
  <c r="X33" i="17" s="1"/>
  <c r="V33" i="17"/>
  <c r="W32" i="17"/>
  <c r="X32" i="17" s="1"/>
  <c r="V32" i="17"/>
  <c r="W31" i="17"/>
  <c r="X31" i="17" s="1"/>
  <c r="V31" i="17"/>
  <c r="F31" i="17"/>
  <c r="G31" i="17" s="1"/>
  <c r="T31" i="17" s="1"/>
  <c r="C31" i="17"/>
  <c r="W30" i="17"/>
  <c r="X30" i="17" s="1"/>
  <c r="V30" i="17"/>
  <c r="F30" i="17"/>
  <c r="G30" i="17" s="1"/>
  <c r="T30" i="17" s="1"/>
  <c r="C30" i="17"/>
  <c r="W29" i="17"/>
  <c r="X29" i="17" s="1"/>
  <c r="V29" i="17"/>
  <c r="F29" i="17"/>
  <c r="G29" i="17" s="1"/>
  <c r="T29" i="17" s="1"/>
  <c r="C29" i="17"/>
  <c r="V28" i="17"/>
  <c r="F28" i="17"/>
  <c r="G28" i="17" s="1"/>
  <c r="T28" i="17" s="1"/>
  <c r="C28" i="17"/>
  <c r="W27" i="17"/>
  <c r="X27" i="17" s="1"/>
  <c r="V27" i="17"/>
  <c r="F27" i="17"/>
  <c r="G27" i="17" s="1"/>
  <c r="T27" i="17" s="1"/>
  <c r="C27" i="17"/>
  <c r="W26" i="17"/>
  <c r="X26" i="17" s="1"/>
  <c r="V26" i="17"/>
  <c r="F26" i="17"/>
  <c r="G26" i="17" s="1"/>
  <c r="T26" i="17" s="1"/>
  <c r="C26" i="17"/>
  <c r="W25" i="17"/>
  <c r="X25" i="17" s="1"/>
  <c r="V25" i="17"/>
  <c r="F25" i="17"/>
  <c r="M25" i="17" s="1"/>
  <c r="T25" i="17" s="1"/>
  <c r="C25" i="17"/>
  <c r="W24" i="17"/>
  <c r="X24" i="17" s="1"/>
  <c r="V24" i="17"/>
  <c r="F24" i="17"/>
  <c r="G24" i="17" s="1"/>
  <c r="T24" i="17" s="1"/>
  <c r="C24" i="17"/>
  <c r="W23" i="17"/>
  <c r="X23" i="17" s="1"/>
  <c r="V23" i="17"/>
  <c r="M23" i="17"/>
  <c r="T23" i="17" s="1"/>
  <c r="F23" i="17"/>
  <c r="C23" i="17"/>
  <c r="W22" i="17"/>
  <c r="X22" i="17" s="1"/>
  <c r="V22" i="17"/>
  <c r="F22" i="17"/>
  <c r="K22" i="17" s="1"/>
  <c r="T22" i="17" s="1"/>
  <c r="C22" i="17"/>
  <c r="W21" i="17"/>
  <c r="X21" i="17" s="1"/>
  <c r="V21" i="17"/>
  <c r="F21" i="17"/>
  <c r="N21" i="17" s="1"/>
  <c r="T21" i="17" s="1"/>
  <c r="C21" i="17"/>
  <c r="W20" i="17"/>
  <c r="X20" i="17" s="1"/>
  <c r="V20" i="17"/>
  <c r="F20" i="17"/>
  <c r="K20" i="17" s="1"/>
  <c r="T20" i="17" s="1"/>
  <c r="C20" i="17"/>
  <c r="W19" i="17"/>
  <c r="X19" i="17" s="1"/>
  <c r="V19" i="17"/>
  <c r="F19" i="17"/>
  <c r="K19" i="17" s="1"/>
  <c r="T19" i="17" s="1"/>
  <c r="C19" i="17"/>
  <c r="W18" i="17"/>
  <c r="X18" i="17" s="1"/>
  <c r="V18" i="17"/>
  <c r="F18" i="17"/>
  <c r="M18" i="17" s="1"/>
  <c r="T18" i="17" s="1"/>
  <c r="C18" i="17"/>
  <c r="W17" i="17"/>
  <c r="X17" i="17" s="1"/>
  <c r="V17" i="17"/>
  <c r="K17" i="17"/>
  <c r="T17" i="17" s="1"/>
  <c r="F17" i="17"/>
  <c r="C17" i="17"/>
  <c r="W16" i="17"/>
  <c r="X16" i="17" s="1"/>
  <c r="V16" i="17"/>
  <c r="F16" i="17"/>
  <c r="M16" i="17" s="1"/>
  <c r="T16" i="17" s="1"/>
  <c r="C16" i="17"/>
  <c r="W15" i="17"/>
  <c r="X15" i="17" s="1"/>
  <c r="V15" i="17"/>
  <c r="K15" i="17"/>
  <c r="T15" i="17" s="1"/>
  <c r="F15" i="17"/>
  <c r="C15" i="17"/>
  <c r="W14" i="17"/>
  <c r="X14" i="17" s="1"/>
  <c r="V14" i="17"/>
  <c r="F14" i="17"/>
  <c r="K14" i="17" s="1"/>
  <c r="T14" i="17" s="1"/>
  <c r="C14" i="17"/>
  <c r="W13" i="17"/>
  <c r="X13" i="17" s="1"/>
  <c r="V13" i="17"/>
  <c r="K13" i="17"/>
  <c r="T13" i="17" s="1"/>
  <c r="F13" i="17"/>
  <c r="D13" i="17"/>
  <c r="D14" i="17" s="1"/>
  <c r="D15" i="17" s="1"/>
  <c r="D17" i="17" s="1"/>
  <c r="D19" i="17" s="1"/>
  <c r="D20" i="17" s="1"/>
  <c r="D22" i="17" s="1"/>
  <c r="C13" i="17"/>
  <c r="W12" i="17"/>
  <c r="X12" i="17" s="1"/>
  <c r="V12" i="17"/>
  <c r="F12" i="17"/>
  <c r="M12" i="17" s="1"/>
  <c r="T12" i="17" s="1"/>
  <c r="D12" i="17"/>
  <c r="D16" i="17" s="1"/>
  <c r="D18" i="17" s="1"/>
  <c r="D25" i="17" s="1"/>
  <c r="C12" i="17"/>
  <c r="W11" i="17"/>
  <c r="X11" i="17" s="1"/>
  <c r="V11" i="17"/>
  <c r="K11" i="17"/>
  <c r="T11" i="17" s="1"/>
  <c r="F11" i="17"/>
  <c r="C11" i="17"/>
  <c r="W10" i="17"/>
  <c r="X10" i="17" s="1"/>
  <c r="V10" i="17"/>
  <c r="F10" i="17"/>
  <c r="K10" i="17" s="1"/>
  <c r="T10" i="17" s="1"/>
  <c r="C10" i="17"/>
  <c r="W9" i="17"/>
  <c r="X9" i="17" s="1"/>
  <c r="V9" i="17"/>
  <c r="K9" i="17"/>
  <c r="T9" i="17" s="1"/>
  <c r="F9" i="17"/>
  <c r="C9" i="17"/>
  <c r="V8" i="17"/>
  <c r="F8" i="17"/>
  <c r="M8" i="17" s="1"/>
  <c r="T8" i="17" s="1"/>
  <c r="C8" i="17"/>
  <c r="T7" i="17"/>
  <c r="S7" i="17"/>
  <c r="R7" i="17"/>
  <c r="Q7" i="17"/>
  <c r="P7" i="17"/>
  <c r="O7" i="17"/>
  <c r="N7" i="17"/>
  <c r="M7" i="17"/>
  <c r="L7" i="17"/>
  <c r="K7" i="17"/>
  <c r="J7" i="17"/>
  <c r="I7" i="17"/>
  <c r="H7" i="17"/>
  <c r="G7" i="17"/>
  <c r="AB58" i="16"/>
  <c r="AC58" i="16" s="1"/>
  <c r="V58" i="16"/>
  <c r="AB57" i="16"/>
  <c r="AC57" i="16" s="1"/>
  <c r="V57" i="16"/>
  <c r="AB56" i="16"/>
  <c r="AC56" i="16" s="1"/>
  <c r="V56" i="16"/>
  <c r="AB55" i="16"/>
  <c r="AC55" i="16" s="1"/>
  <c r="V55" i="16"/>
  <c r="AB54" i="16"/>
  <c r="AC54" i="16" s="1"/>
  <c r="V54" i="16"/>
  <c r="AB53" i="16"/>
  <c r="AC53" i="16" s="1"/>
  <c r="V53" i="16"/>
  <c r="AB52" i="16"/>
  <c r="AC52" i="16" s="1"/>
  <c r="V52" i="16"/>
  <c r="AB51" i="16"/>
  <c r="AC51" i="16" s="1"/>
  <c r="V51" i="16"/>
  <c r="AB50" i="16"/>
  <c r="AC50" i="16" s="1"/>
  <c r="V50" i="16"/>
  <c r="AB49" i="16"/>
  <c r="AC49" i="16" s="1"/>
  <c r="V49" i="16"/>
  <c r="AB48" i="16"/>
  <c r="AC48" i="16" s="1"/>
  <c r="V48" i="16"/>
  <c r="AB47" i="16"/>
  <c r="AC47" i="16" s="1"/>
  <c r="V47" i="16"/>
  <c r="AB46" i="16"/>
  <c r="AC46" i="16" s="1"/>
  <c r="V46" i="16"/>
  <c r="AB45" i="16"/>
  <c r="AC45" i="16" s="1"/>
  <c r="V45" i="16"/>
  <c r="AB44" i="16"/>
  <c r="AC44" i="16" s="1"/>
  <c r="V44" i="16"/>
  <c r="AB43" i="16"/>
  <c r="AC43" i="16" s="1"/>
  <c r="V43" i="16"/>
  <c r="AB42" i="16"/>
  <c r="AC42" i="16" s="1"/>
  <c r="V42" i="16"/>
  <c r="AB41" i="16"/>
  <c r="AC41" i="16" s="1"/>
  <c r="V41" i="16"/>
  <c r="AB40" i="16"/>
  <c r="AC40" i="16" s="1"/>
  <c r="V40" i="16"/>
  <c r="AB39" i="16"/>
  <c r="AC39" i="16" s="1"/>
  <c r="V39" i="16"/>
  <c r="AB38" i="16"/>
  <c r="AC38" i="16" s="1"/>
  <c r="V38" i="16"/>
  <c r="AB37" i="16"/>
  <c r="AC37" i="16" s="1"/>
  <c r="V37" i="16"/>
  <c r="G37" i="16"/>
  <c r="AB36" i="16"/>
  <c r="AC36" i="16" s="1"/>
  <c r="V36" i="16"/>
  <c r="AB35" i="16"/>
  <c r="AC35" i="16" s="1"/>
  <c r="V35" i="16"/>
  <c r="AB34" i="16"/>
  <c r="AC34" i="16" s="1"/>
  <c r="V34" i="16"/>
  <c r="AB33" i="16"/>
  <c r="AC33" i="16" s="1"/>
  <c r="V33" i="16"/>
  <c r="AB32" i="16"/>
  <c r="AC32" i="16" s="1"/>
  <c r="V32" i="16"/>
  <c r="AB31" i="16"/>
  <c r="AC31" i="16" s="1"/>
  <c r="V31" i="16"/>
  <c r="F31" i="16"/>
  <c r="G31" i="16" s="1"/>
  <c r="T31" i="16" s="1"/>
  <c r="C31" i="16"/>
  <c r="AB30" i="16"/>
  <c r="AC30" i="16" s="1"/>
  <c r="V30" i="16"/>
  <c r="F30" i="16"/>
  <c r="G30" i="16" s="1"/>
  <c r="T30" i="16" s="1"/>
  <c r="C30" i="16"/>
  <c r="AB29" i="16"/>
  <c r="AC29" i="16" s="1"/>
  <c r="V29" i="16"/>
  <c r="F29" i="16"/>
  <c r="G29" i="16" s="1"/>
  <c r="T29" i="16" s="1"/>
  <c r="C29" i="16"/>
  <c r="V28" i="16"/>
  <c r="F28" i="16"/>
  <c r="G28" i="16" s="1"/>
  <c r="T28" i="16" s="1"/>
  <c r="C28" i="16"/>
  <c r="AB27" i="16"/>
  <c r="AC27" i="16" s="1"/>
  <c r="V27" i="16"/>
  <c r="F27" i="16"/>
  <c r="G27" i="16" s="1"/>
  <c r="T27" i="16" s="1"/>
  <c r="C27" i="16"/>
  <c r="AB26" i="16"/>
  <c r="AC26" i="16" s="1"/>
  <c r="V26" i="16"/>
  <c r="G26" i="16"/>
  <c r="T26" i="16" s="1"/>
  <c r="F26" i="16"/>
  <c r="C26" i="16"/>
  <c r="AB25" i="16"/>
  <c r="AC25" i="16" s="1"/>
  <c r="V25" i="16"/>
  <c r="F25" i="16"/>
  <c r="M25" i="16" s="1"/>
  <c r="T25" i="16" s="1"/>
  <c r="C25" i="16"/>
  <c r="AB24" i="16"/>
  <c r="AC24" i="16" s="1"/>
  <c r="V24" i="16"/>
  <c r="F24" i="16"/>
  <c r="G24" i="16" s="1"/>
  <c r="T24" i="16" s="1"/>
  <c r="C24" i="16"/>
  <c r="AB23" i="16"/>
  <c r="AC23" i="16" s="1"/>
  <c r="V23" i="16"/>
  <c r="M23" i="16"/>
  <c r="T23" i="16" s="1"/>
  <c r="F23" i="16"/>
  <c r="C23" i="16"/>
  <c r="AB22" i="16"/>
  <c r="AC22" i="16" s="1"/>
  <c r="V22" i="16"/>
  <c r="F22" i="16"/>
  <c r="K22" i="16" s="1"/>
  <c r="T22" i="16" s="1"/>
  <c r="C22" i="16"/>
  <c r="AB21" i="16"/>
  <c r="AC21" i="16" s="1"/>
  <c r="V21" i="16"/>
  <c r="F21" i="16"/>
  <c r="N21" i="16" s="1"/>
  <c r="T21" i="16" s="1"/>
  <c r="C21" i="16"/>
  <c r="AB20" i="16"/>
  <c r="AC20" i="16" s="1"/>
  <c r="V20" i="16"/>
  <c r="K20" i="16"/>
  <c r="T20" i="16" s="1"/>
  <c r="F20" i="16"/>
  <c r="C20" i="16"/>
  <c r="AB19" i="16"/>
  <c r="AC19" i="16" s="1"/>
  <c r="V19" i="16"/>
  <c r="F19" i="16"/>
  <c r="K19" i="16" s="1"/>
  <c r="T19" i="16" s="1"/>
  <c r="C19" i="16"/>
  <c r="AB18" i="16"/>
  <c r="AC18" i="16" s="1"/>
  <c r="V18" i="16"/>
  <c r="M18" i="16"/>
  <c r="T18" i="16" s="1"/>
  <c r="F18" i="16"/>
  <c r="C18" i="16"/>
  <c r="AB17" i="16"/>
  <c r="AC17" i="16" s="1"/>
  <c r="V17" i="16"/>
  <c r="F17" i="16"/>
  <c r="K17" i="16" s="1"/>
  <c r="T17" i="16" s="1"/>
  <c r="C17" i="16"/>
  <c r="AB16" i="16"/>
  <c r="AC16" i="16" s="1"/>
  <c r="V16" i="16"/>
  <c r="M16" i="16"/>
  <c r="T16" i="16" s="1"/>
  <c r="F16" i="16"/>
  <c r="C16" i="16"/>
  <c r="AB15" i="16"/>
  <c r="AC15" i="16" s="1"/>
  <c r="V15" i="16"/>
  <c r="F15" i="16"/>
  <c r="K15" i="16" s="1"/>
  <c r="T15" i="16" s="1"/>
  <c r="C15" i="16"/>
  <c r="AB14" i="16"/>
  <c r="AC14" i="16" s="1"/>
  <c r="V14" i="16"/>
  <c r="K14" i="16"/>
  <c r="T14" i="16" s="1"/>
  <c r="F14" i="16"/>
  <c r="C14" i="16"/>
  <c r="AB13" i="16"/>
  <c r="AC13" i="16" s="1"/>
  <c r="V13" i="16"/>
  <c r="F13" i="16"/>
  <c r="K13" i="16" s="1"/>
  <c r="T13" i="16" s="1"/>
  <c r="D13" i="16"/>
  <c r="D14" i="16" s="1"/>
  <c r="D15" i="16" s="1"/>
  <c r="D17" i="16" s="1"/>
  <c r="D19" i="16" s="1"/>
  <c r="D20" i="16" s="1"/>
  <c r="D22" i="16" s="1"/>
  <c r="C13" i="16"/>
  <c r="AB12" i="16"/>
  <c r="AC12" i="16" s="1"/>
  <c r="V12" i="16"/>
  <c r="F12" i="16"/>
  <c r="M12" i="16" s="1"/>
  <c r="T12" i="16" s="1"/>
  <c r="D12" i="16"/>
  <c r="D16" i="16" s="1"/>
  <c r="D18" i="16" s="1"/>
  <c r="D25" i="16" s="1"/>
  <c r="C12" i="16"/>
  <c r="AB11" i="16"/>
  <c r="AC11" i="16" s="1"/>
  <c r="V11" i="16"/>
  <c r="F11" i="16"/>
  <c r="K11" i="16" s="1"/>
  <c r="T11" i="16" s="1"/>
  <c r="C11" i="16"/>
  <c r="AB10" i="16"/>
  <c r="AC10" i="16" s="1"/>
  <c r="V10" i="16"/>
  <c r="T10" i="16"/>
  <c r="F10" i="16"/>
  <c r="K10" i="16" s="1"/>
  <c r="C10" i="16"/>
  <c r="AB9" i="16"/>
  <c r="AC9" i="16" s="1"/>
  <c r="V9" i="16"/>
  <c r="F9" i="16"/>
  <c r="K9" i="16" s="1"/>
  <c r="T9" i="16" s="1"/>
  <c r="C9" i="16"/>
  <c r="AB8" i="16"/>
  <c r="V8" i="16"/>
  <c r="T8" i="16"/>
  <c r="F8" i="16"/>
  <c r="M8" i="16" s="1"/>
  <c r="C8" i="16"/>
  <c r="T7" i="16"/>
  <c r="S7" i="16"/>
  <c r="R7" i="16"/>
  <c r="Q7" i="16"/>
  <c r="P7" i="16"/>
  <c r="O7" i="16"/>
  <c r="N7" i="16"/>
  <c r="M7" i="16"/>
  <c r="L7" i="16"/>
  <c r="K7" i="16"/>
  <c r="J7" i="16"/>
  <c r="I7" i="16"/>
  <c r="H7" i="16"/>
  <c r="G7" i="16"/>
  <c r="G37" i="7"/>
  <c r="AI3" i="16" l="1"/>
  <c r="BO3" i="17"/>
  <c r="BN3" i="17"/>
  <c r="BM2" i="17"/>
  <c r="BM3" i="17"/>
  <c r="BN2" i="17"/>
  <c r="AK3" i="16"/>
  <c r="AJ3" i="16"/>
  <c r="AI2" i="16"/>
  <c r="AC8" i="16"/>
  <c r="AC63" i="16" s="1"/>
  <c r="AI9" i="7" l="1"/>
  <c r="AI10" i="7"/>
  <c r="AI11" i="7"/>
  <c r="AI12" i="7"/>
  <c r="AI13" i="7"/>
  <c r="AI14" i="7"/>
  <c r="AI15" i="7"/>
  <c r="AI16" i="7"/>
  <c r="AI17" i="7"/>
  <c r="AI18" i="7"/>
  <c r="AI19" i="7"/>
  <c r="AI20" i="7"/>
  <c r="AI21" i="7"/>
  <c r="AI22" i="7"/>
  <c r="AI23" i="7"/>
  <c r="AI24" i="7"/>
  <c r="AI25" i="7"/>
  <c r="AI26" i="7"/>
  <c r="AI27" i="7"/>
  <c r="AI29" i="7"/>
  <c r="AI30" i="7"/>
  <c r="AI31" i="7"/>
  <c r="AI32" i="7"/>
  <c r="AI33" i="7"/>
  <c r="AI34" i="7"/>
  <c r="AI35" i="7"/>
  <c r="AI36" i="7"/>
  <c r="AI37" i="7"/>
  <c r="AI38" i="7"/>
  <c r="AI39" i="7"/>
  <c r="AI40" i="7"/>
  <c r="AI41" i="7"/>
  <c r="AI42" i="7"/>
  <c r="AI43" i="7"/>
  <c r="AI44" i="7"/>
  <c r="AI45" i="7"/>
  <c r="AI46" i="7"/>
  <c r="AI47" i="7"/>
  <c r="AI48" i="7"/>
  <c r="AI49" i="7"/>
  <c r="AI50" i="7"/>
  <c r="AI51" i="7"/>
  <c r="AI52" i="7"/>
  <c r="AI53" i="7"/>
  <c r="AI54" i="7"/>
  <c r="AI55" i="7"/>
  <c r="AI56" i="7"/>
  <c r="AI57" i="7"/>
  <c r="AI58" i="7"/>
  <c r="AC16" i="7"/>
  <c r="AC17" i="7"/>
  <c r="AC18" i="7"/>
  <c r="AC19" i="7"/>
  <c r="AC20" i="7"/>
  <c r="AC21" i="7"/>
  <c r="AC22" i="7"/>
  <c r="AC23" i="7"/>
  <c r="AC24" i="7"/>
  <c r="AC25" i="7"/>
  <c r="AC26" i="7"/>
  <c r="AC27" i="7"/>
  <c r="AC28" i="7"/>
  <c r="AC29" i="7"/>
  <c r="AC30" i="7"/>
  <c r="AC31" i="7"/>
  <c r="AC32" i="7"/>
  <c r="AC33" i="7"/>
  <c r="AC34" i="7"/>
  <c r="AC35" i="7"/>
  <c r="AC36" i="7"/>
  <c r="AC37" i="7"/>
  <c r="AC38" i="7"/>
  <c r="AC39" i="7"/>
  <c r="AC40" i="7"/>
  <c r="AC41" i="7"/>
  <c r="AC42" i="7"/>
  <c r="AC43" i="7"/>
  <c r="AC44" i="7"/>
  <c r="AC45" i="7"/>
  <c r="AC46" i="7"/>
  <c r="AC47" i="7"/>
  <c r="AC48" i="7"/>
  <c r="AC49" i="7"/>
  <c r="AC50" i="7"/>
  <c r="AC51" i="7"/>
  <c r="AC52" i="7"/>
  <c r="AC53" i="7"/>
  <c r="AC54" i="7"/>
  <c r="AC55" i="7"/>
  <c r="AC56" i="7"/>
  <c r="AC57" i="7"/>
  <c r="AC58" i="7"/>
  <c r="A6" i="5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E13" i="14"/>
  <c r="D13" i="14"/>
  <c r="C41" i="14"/>
  <c r="D41" i="14" s="1"/>
  <c r="C33" i="14"/>
  <c r="D33" i="14" s="1"/>
  <c r="E33" i="14" s="1"/>
  <c r="F33" i="14" s="1"/>
  <c r="G33" i="14" s="1"/>
  <c r="H33" i="14" s="1"/>
  <c r="I33" i="14" s="1"/>
  <c r="J33" i="14" s="1"/>
  <c r="C25" i="14"/>
  <c r="D25" i="14" s="1"/>
  <c r="E25" i="14" s="1"/>
  <c r="F25" i="14" s="1"/>
  <c r="G25" i="14" s="1"/>
  <c r="H25" i="14" s="1"/>
  <c r="I25" i="14" s="1"/>
  <c r="J25" i="14" s="1"/>
  <c r="D40" i="14" s="1"/>
  <c r="E24" i="14"/>
  <c r="F24" i="14" s="1"/>
  <c r="G24" i="14" s="1"/>
  <c r="H24" i="14" s="1"/>
  <c r="I24" i="14" s="1"/>
  <c r="J24" i="14" s="1"/>
  <c r="K23" i="13"/>
  <c r="J23" i="13"/>
  <c r="I23" i="13"/>
  <c r="I24" i="13" s="1"/>
  <c r="H21" i="13"/>
  <c r="I21" i="13" s="1"/>
  <c r="J21" i="13" s="1"/>
  <c r="K21" i="13" s="1"/>
  <c r="E28" i="12"/>
  <c r="H24" i="12"/>
  <c r="K21" i="12"/>
  <c r="C27" i="14" l="1"/>
  <c r="D27" i="14" s="1"/>
  <c r="E27" i="14" s="1"/>
  <c r="J24" i="13"/>
  <c r="K24" i="13" s="1"/>
  <c r="H14" i="13"/>
  <c r="F27" i="14"/>
  <c r="G27" i="14" s="1"/>
  <c r="H15" i="13"/>
  <c r="L21" i="13"/>
  <c r="G14" i="13"/>
  <c r="G15" i="13" s="1"/>
  <c r="I10" i="13" l="1"/>
  <c r="I15" i="13"/>
  <c r="H27" i="14"/>
  <c r="L15" i="13" l="1"/>
  <c r="I27" i="14"/>
  <c r="J27" i="14" l="1"/>
  <c r="AA25" i="5" l="1"/>
  <c r="AB25" i="5"/>
  <c r="C20" i="7" l="1"/>
  <c r="C21" i="7"/>
  <c r="C22" i="7"/>
  <c r="C23" i="7"/>
  <c r="C24" i="7"/>
  <c r="C25" i="7"/>
  <c r="F21" i="7"/>
  <c r="N21" i="7" s="1"/>
  <c r="T21" i="7" s="1"/>
  <c r="F23" i="7"/>
  <c r="M23" i="7" s="1"/>
  <c r="T23" i="7" s="1"/>
  <c r="F9" i="7"/>
  <c r="F10" i="7"/>
  <c r="F11" i="7"/>
  <c r="F12" i="7"/>
  <c r="F13" i="7"/>
  <c r="F14" i="7"/>
  <c r="F15" i="7"/>
  <c r="F16" i="7"/>
  <c r="F17" i="7"/>
  <c r="F18" i="7"/>
  <c r="F19" i="7"/>
  <c r="F20" i="7"/>
  <c r="F22" i="7"/>
  <c r="F24" i="7"/>
  <c r="F25" i="7"/>
  <c r="M25" i="7" s="1"/>
  <c r="T25" i="7" s="1"/>
  <c r="F26" i="7"/>
  <c r="F27" i="7"/>
  <c r="F28" i="7"/>
  <c r="F29" i="7"/>
  <c r="F30" i="7"/>
  <c r="F31" i="7"/>
  <c r="F8" i="7"/>
  <c r="K13" i="7"/>
  <c r="AJ27" i="7"/>
  <c r="AJ29" i="7"/>
  <c r="AJ30" i="7"/>
  <c r="AJ31" i="7"/>
  <c r="AC9" i="7"/>
  <c r="AC10" i="7"/>
  <c r="AC11" i="7"/>
  <c r="AC12" i="7"/>
  <c r="AC13" i="7"/>
  <c r="AC14" i="7"/>
  <c r="AC15" i="7"/>
  <c r="Y55" i="5"/>
  <c r="Y54" i="5"/>
  <c r="Y53" i="5"/>
  <c r="Y52" i="5"/>
  <c r="Y51" i="5"/>
  <c r="Y50" i="5"/>
  <c r="Y49" i="5"/>
  <c r="Y48" i="5"/>
  <c r="Y47" i="5"/>
  <c r="Y46" i="5"/>
  <c r="Y45" i="5"/>
  <c r="Y44" i="5"/>
  <c r="Y43" i="5"/>
  <c r="Y42" i="5"/>
  <c r="Y41" i="5"/>
  <c r="Y40" i="5"/>
  <c r="Y39" i="5"/>
  <c r="Y38" i="5"/>
  <c r="Y37" i="5"/>
  <c r="Y36" i="5"/>
  <c r="Y35" i="5"/>
  <c r="AB35" i="5" s="1"/>
  <c r="Y34" i="5"/>
  <c r="AB34" i="5" s="1"/>
  <c r="Y33" i="5"/>
  <c r="AB33" i="5" s="1"/>
  <c r="Y32" i="5"/>
  <c r="AB32" i="5" s="1"/>
  <c r="Y31" i="5"/>
  <c r="AB31" i="5" s="1"/>
  <c r="Y30" i="5"/>
  <c r="AB30" i="5" s="1"/>
  <c r="Y29" i="5"/>
  <c r="AB29" i="5" s="1"/>
  <c r="Y28" i="5"/>
  <c r="AB28" i="5" s="1"/>
  <c r="Y27" i="5"/>
  <c r="AB27" i="5" s="1"/>
  <c r="Y26" i="5"/>
  <c r="AB26" i="5" s="1"/>
  <c r="Y24" i="5"/>
  <c r="Y23" i="5"/>
  <c r="Y22" i="5"/>
  <c r="Y21" i="5"/>
  <c r="Y20" i="5"/>
  <c r="Y19" i="5"/>
  <c r="Y18" i="5"/>
  <c r="Y17" i="5"/>
  <c r="Y16" i="5"/>
  <c r="Y15" i="5"/>
  <c r="Y14" i="5"/>
  <c r="Y13" i="5"/>
  <c r="Y12" i="5"/>
  <c r="Y11" i="5"/>
  <c r="Y10" i="5"/>
  <c r="Y9" i="5"/>
  <c r="Y8" i="5"/>
  <c r="Y7" i="5"/>
  <c r="Y6" i="5"/>
  <c r="Y5" i="5"/>
  <c r="Y57" i="5" l="1"/>
  <c r="AJ9" i="7" l="1"/>
  <c r="AJ10" i="7"/>
  <c r="AJ11" i="7"/>
  <c r="AJ12" i="7"/>
  <c r="AJ13" i="7"/>
  <c r="AJ14" i="7"/>
  <c r="AJ15" i="7"/>
  <c r="AJ16" i="7"/>
  <c r="AJ17" i="7"/>
  <c r="AJ18" i="7"/>
  <c r="AJ19" i="7"/>
  <c r="AJ20" i="7"/>
  <c r="AJ21" i="7"/>
  <c r="AJ22" i="7"/>
  <c r="AJ23" i="7"/>
  <c r="AJ24" i="7"/>
  <c r="AJ25" i="7"/>
  <c r="AJ26" i="7"/>
  <c r="AJ32" i="7"/>
  <c r="AJ33" i="7"/>
  <c r="AJ34" i="7"/>
  <c r="AJ35" i="7"/>
  <c r="AJ36" i="7"/>
  <c r="AJ37" i="7"/>
  <c r="AJ38" i="7"/>
  <c r="AJ39" i="7"/>
  <c r="AJ40" i="7"/>
  <c r="AJ41" i="7"/>
  <c r="AJ42" i="7"/>
  <c r="AJ43" i="7"/>
  <c r="AJ44" i="7"/>
  <c r="AJ45" i="7"/>
  <c r="AJ46" i="7"/>
  <c r="AJ47" i="7"/>
  <c r="AJ48" i="7"/>
  <c r="AJ49" i="7"/>
  <c r="AJ50" i="7"/>
  <c r="AJ51" i="7"/>
  <c r="AJ52" i="7"/>
  <c r="AJ53" i="7"/>
  <c r="AJ54" i="7"/>
  <c r="AJ55" i="7"/>
  <c r="AJ56" i="7"/>
  <c r="AJ57" i="7"/>
  <c r="AJ58" i="7"/>
  <c r="AI8" i="7"/>
  <c r="E39" i="10"/>
  <c r="F39" i="10" s="1"/>
  <c r="C35" i="10"/>
  <c r="E34" i="10"/>
  <c r="F34" i="10" s="1"/>
  <c r="G34" i="10" s="1"/>
  <c r="H34" i="10" s="1"/>
  <c r="I34" i="10" s="1"/>
  <c r="J34" i="10" s="1"/>
  <c r="K34" i="10" s="1"/>
  <c r="L34" i="10" s="1"/>
  <c r="M34" i="10" s="1"/>
  <c r="N34" i="10" s="1"/>
  <c r="O34" i="10" s="1"/>
  <c r="P34" i="10" s="1"/>
  <c r="Q34" i="10" s="1"/>
  <c r="R34" i="10" s="1"/>
  <c r="S34" i="10" s="1"/>
  <c r="T34" i="10" s="1"/>
  <c r="U34" i="10" s="1"/>
  <c r="V34" i="10" s="1"/>
  <c r="W34" i="10" s="1"/>
  <c r="X34" i="10" s="1"/>
  <c r="Y34" i="10" s="1"/>
  <c r="Z34" i="10" s="1"/>
  <c r="AA34" i="10" s="1"/>
  <c r="AB34" i="10" s="1"/>
  <c r="AC34" i="10" s="1"/>
  <c r="AD34" i="10" s="1"/>
  <c r="AE34" i="10" s="1"/>
  <c r="AF34" i="10" s="1"/>
  <c r="AG34" i="10" s="1"/>
  <c r="E33" i="10"/>
  <c r="F33" i="10" s="1"/>
  <c r="G33" i="10" s="1"/>
  <c r="H33" i="10" s="1"/>
  <c r="I33" i="10" s="1"/>
  <c r="J33" i="10" s="1"/>
  <c r="K33" i="10" s="1"/>
  <c r="L33" i="10" s="1"/>
  <c r="M33" i="10" s="1"/>
  <c r="N33" i="10" s="1"/>
  <c r="O33" i="10" s="1"/>
  <c r="P33" i="10" s="1"/>
  <c r="Q33" i="10" s="1"/>
  <c r="R33" i="10" s="1"/>
  <c r="S33" i="10" s="1"/>
  <c r="T33" i="10" s="1"/>
  <c r="U33" i="10" s="1"/>
  <c r="V33" i="10" s="1"/>
  <c r="W33" i="10" s="1"/>
  <c r="X33" i="10" s="1"/>
  <c r="Y33" i="10" s="1"/>
  <c r="Z33" i="10" s="1"/>
  <c r="AA33" i="10" s="1"/>
  <c r="AB33" i="10" s="1"/>
  <c r="AC33" i="10" s="1"/>
  <c r="AD33" i="10" s="1"/>
  <c r="AE33" i="10" s="1"/>
  <c r="AF33" i="10" s="1"/>
  <c r="AG33" i="10" s="1"/>
  <c r="D28" i="10"/>
  <c r="D29" i="10" s="1"/>
  <c r="F17" i="10"/>
  <c r="E17" i="10"/>
  <c r="C13" i="10"/>
  <c r="E12" i="10"/>
  <c r="F12" i="10" s="1"/>
  <c r="G12" i="10" s="1"/>
  <c r="H12" i="10" s="1"/>
  <c r="I12" i="10" s="1"/>
  <c r="J12" i="10" s="1"/>
  <c r="K12" i="10" s="1"/>
  <c r="L12" i="10" s="1"/>
  <c r="M12" i="10" s="1"/>
  <c r="N12" i="10" s="1"/>
  <c r="O12" i="10" s="1"/>
  <c r="P12" i="10" s="1"/>
  <c r="Q12" i="10" s="1"/>
  <c r="R12" i="10" s="1"/>
  <c r="S12" i="10" s="1"/>
  <c r="T12" i="10" s="1"/>
  <c r="U12" i="10" s="1"/>
  <c r="V12" i="10" s="1"/>
  <c r="W12" i="10" s="1"/>
  <c r="X12" i="10" s="1"/>
  <c r="Y12" i="10" s="1"/>
  <c r="Z12" i="10" s="1"/>
  <c r="AA12" i="10" s="1"/>
  <c r="AB12" i="10" s="1"/>
  <c r="AC12" i="10" s="1"/>
  <c r="AD12" i="10" s="1"/>
  <c r="AE12" i="10" s="1"/>
  <c r="AF12" i="10" s="1"/>
  <c r="AG12" i="10" s="1"/>
  <c r="E11" i="10"/>
  <c r="F11" i="10" s="1"/>
  <c r="G11" i="10" s="1"/>
  <c r="H11" i="10" s="1"/>
  <c r="I11" i="10" s="1"/>
  <c r="J11" i="10" s="1"/>
  <c r="K11" i="10" s="1"/>
  <c r="L11" i="10" s="1"/>
  <c r="M11" i="10" s="1"/>
  <c r="N11" i="10" s="1"/>
  <c r="D6" i="10"/>
  <c r="E6" i="10" s="1"/>
  <c r="E28" i="10" l="1"/>
  <c r="F28" i="10" s="1"/>
  <c r="AI63" i="7"/>
  <c r="AI64" i="7" s="1"/>
  <c r="AJ8" i="7"/>
  <c r="AJ63" i="7" s="1"/>
  <c r="E7" i="10"/>
  <c r="F6" i="10"/>
  <c r="D7" i="10"/>
  <c r="O11" i="10"/>
  <c r="F29" i="10"/>
  <c r="G28" i="10"/>
  <c r="G17" i="10"/>
  <c r="E29" i="10"/>
  <c r="G39" i="10"/>
  <c r="D10" i="10" l="1"/>
  <c r="H17" i="10"/>
  <c r="H28" i="10"/>
  <c r="G29" i="10"/>
  <c r="P11" i="10"/>
  <c r="H39" i="10"/>
  <c r="F7" i="10"/>
  <c r="G6" i="10"/>
  <c r="D32" i="10" l="1"/>
  <c r="E10" i="10"/>
  <c r="E13" i="10" s="1"/>
  <c r="G7" i="10"/>
  <c r="H6" i="10"/>
  <c r="I39" i="10"/>
  <c r="P13" i="10"/>
  <c r="Q11" i="10"/>
  <c r="I17" i="10"/>
  <c r="H29" i="10"/>
  <c r="I28" i="10"/>
  <c r="F10" i="10" l="1"/>
  <c r="F13" i="10" s="1"/>
  <c r="E32" i="10"/>
  <c r="E35" i="10" s="1"/>
  <c r="J28" i="10"/>
  <c r="I29" i="10"/>
  <c r="J17" i="10"/>
  <c r="Q13" i="10"/>
  <c r="R11" i="10"/>
  <c r="J39" i="10"/>
  <c r="I6" i="10"/>
  <c r="H7" i="10"/>
  <c r="G10" i="10" l="1"/>
  <c r="G13" i="10" s="1"/>
  <c r="F32" i="10"/>
  <c r="G32" i="10" s="1"/>
  <c r="I7" i="10"/>
  <c r="J6" i="10"/>
  <c r="J29" i="10"/>
  <c r="K28" i="10"/>
  <c r="K39" i="10"/>
  <c r="R13" i="10"/>
  <c r="S11" i="10"/>
  <c r="K17" i="10"/>
  <c r="H10" i="10" l="1"/>
  <c r="F35" i="10"/>
  <c r="H13" i="10"/>
  <c r="I10" i="10"/>
  <c r="H32" i="10"/>
  <c r="G35" i="10"/>
  <c r="L17" i="10"/>
  <c r="S13" i="10"/>
  <c r="T11" i="10"/>
  <c r="L39" i="10"/>
  <c r="L28" i="10"/>
  <c r="K29" i="10"/>
  <c r="J7" i="10"/>
  <c r="K6" i="10"/>
  <c r="J10" i="10" l="1"/>
  <c r="I13" i="10"/>
  <c r="I32" i="10"/>
  <c r="H35" i="10"/>
  <c r="L29" i="10"/>
  <c r="M28" i="10"/>
  <c r="K7" i="10"/>
  <c r="L6" i="10"/>
  <c r="M39" i="10"/>
  <c r="T13" i="10"/>
  <c r="U11" i="10"/>
  <c r="M17" i="10"/>
  <c r="J32" i="10" l="1"/>
  <c r="I35" i="10"/>
  <c r="J13" i="10"/>
  <c r="K10" i="10"/>
  <c r="N17" i="10"/>
  <c r="U13" i="10"/>
  <c r="V11" i="10"/>
  <c r="N39" i="10"/>
  <c r="M6" i="10"/>
  <c r="L7" i="10"/>
  <c r="N28" i="10"/>
  <c r="M29" i="10"/>
  <c r="L10" i="10" l="1"/>
  <c r="K13" i="10"/>
  <c r="K32" i="10"/>
  <c r="J35" i="10"/>
  <c r="N29" i="10"/>
  <c r="O28" i="10"/>
  <c r="M7" i="10"/>
  <c r="N6" i="10"/>
  <c r="O39" i="10"/>
  <c r="V13" i="10"/>
  <c r="W11" i="10"/>
  <c r="O17" i="10"/>
  <c r="L32" i="10" l="1"/>
  <c r="K35" i="10"/>
  <c r="L13" i="10"/>
  <c r="M10" i="10"/>
  <c r="P17" i="10"/>
  <c r="W13" i="10"/>
  <c r="X11" i="10"/>
  <c r="P39" i="10"/>
  <c r="N7" i="10"/>
  <c r="O6" i="10"/>
  <c r="P28" i="10"/>
  <c r="O29" i="10"/>
  <c r="M32" i="10" l="1"/>
  <c r="L35" i="10"/>
  <c r="M13" i="10"/>
  <c r="N10" i="10"/>
  <c r="P29" i="10"/>
  <c r="Q28" i="10"/>
  <c r="O7" i="10"/>
  <c r="P6" i="10"/>
  <c r="Q39" i="10"/>
  <c r="X13" i="10"/>
  <c r="Y11" i="10"/>
  <c r="P19" i="10"/>
  <c r="P21" i="10" s="1"/>
  <c r="Q17" i="10"/>
  <c r="O10" i="10" l="1"/>
  <c r="O13" i="10" s="1"/>
  <c r="N13" i="10"/>
  <c r="N32" i="10"/>
  <c r="M35" i="10"/>
  <c r="R17" i="10"/>
  <c r="Y13" i="10"/>
  <c r="Z11" i="10"/>
  <c r="R39" i="10"/>
  <c r="S39" i="10" s="1"/>
  <c r="Q6" i="10"/>
  <c r="P7" i="10"/>
  <c r="R28" i="10"/>
  <c r="Q29" i="10"/>
  <c r="S17" i="10" l="1"/>
  <c r="O32" i="10"/>
  <c r="N35" i="10"/>
  <c r="R29" i="10"/>
  <c r="S28" i="10"/>
  <c r="Q7" i="10"/>
  <c r="R6" i="10"/>
  <c r="T39" i="10"/>
  <c r="Z13" i="10"/>
  <c r="AA11" i="10"/>
  <c r="T17" i="10" l="1"/>
  <c r="P32" i="10"/>
  <c r="O35" i="10"/>
  <c r="U17" i="10"/>
  <c r="AA13" i="10"/>
  <c r="AB11" i="10"/>
  <c r="U39" i="10"/>
  <c r="R7" i="10"/>
  <c r="S6" i="10"/>
  <c r="T28" i="10"/>
  <c r="S29" i="10"/>
  <c r="Q32" i="10" l="1"/>
  <c r="P35" i="10"/>
  <c r="T29" i="10"/>
  <c r="U28" i="10"/>
  <c r="S7" i="10"/>
  <c r="T6" i="10"/>
  <c r="V39" i="10"/>
  <c r="AB13" i="10"/>
  <c r="AC11" i="10"/>
  <c r="V17" i="10"/>
  <c r="R32" i="10" l="1"/>
  <c r="Q35" i="10"/>
  <c r="W17" i="10"/>
  <c r="AC13" i="10"/>
  <c r="AD11" i="10"/>
  <c r="W39" i="10"/>
  <c r="U6" i="10"/>
  <c r="T7" i="10"/>
  <c r="V28" i="10"/>
  <c r="U29" i="10"/>
  <c r="S32" i="10" l="1"/>
  <c r="R35" i="10"/>
  <c r="V29" i="10"/>
  <c r="W28" i="10"/>
  <c r="U7" i="10"/>
  <c r="V6" i="10"/>
  <c r="X39" i="10"/>
  <c r="AD13" i="10"/>
  <c r="AE11" i="10"/>
  <c r="X17" i="10"/>
  <c r="T32" i="10" l="1"/>
  <c r="S35" i="10"/>
  <c r="Y17" i="10"/>
  <c r="AE13" i="10"/>
  <c r="AF11" i="10"/>
  <c r="Y39" i="10"/>
  <c r="W6" i="10"/>
  <c r="V7" i="10"/>
  <c r="X28" i="10"/>
  <c r="W29" i="10"/>
  <c r="U32" i="10" l="1"/>
  <c r="T35" i="10"/>
  <c r="X29" i="10"/>
  <c r="Y28" i="10"/>
  <c r="W7" i="10"/>
  <c r="X6" i="10"/>
  <c r="Z39" i="10"/>
  <c r="AF13" i="10"/>
  <c r="AG11" i="10"/>
  <c r="AG13" i="10" s="1"/>
  <c r="Z17" i="10"/>
  <c r="V32" i="10" l="1"/>
  <c r="U35" i="10"/>
  <c r="AA17" i="10"/>
  <c r="AA39" i="10"/>
  <c r="Y6" i="10"/>
  <c r="X7" i="10"/>
  <c r="Z28" i="10"/>
  <c r="Y29" i="10"/>
  <c r="W32" i="10" l="1"/>
  <c r="V35" i="10"/>
  <c r="Z29" i="10"/>
  <c r="AA28" i="10"/>
  <c r="Y7" i="10"/>
  <c r="Z6" i="10"/>
  <c r="AB39" i="10"/>
  <c r="AB17" i="10"/>
  <c r="X32" i="10" l="1"/>
  <c r="W35" i="10"/>
  <c r="AC17" i="10"/>
  <c r="AC39" i="10"/>
  <c r="AA6" i="10"/>
  <c r="Z7" i="10"/>
  <c r="AB28" i="10"/>
  <c r="AA29" i="10"/>
  <c r="Y32" i="10" l="1"/>
  <c r="X35" i="10"/>
  <c r="AB29" i="10"/>
  <c r="AC28" i="10"/>
  <c r="AA7" i="10"/>
  <c r="AB6" i="10"/>
  <c r="AD39" i="10"/>
  <c r="AD17" i="10"/>
  <c r="Z32" i="10" l="1"/>
  <c r="Y35" i="10"/>
  <c r="AE17" i="10"/>
  <c r="AE39" i="10"/>
  <c r="AC6" i="10"/>
  <c r="AB7" i="10"/>
  <c r="AD28" i="10"/>
  <c r="AC29" i="10"/>
  <c r="AA32" i="10" l="1"/>
  <c r="Z35" i="10"/>
  <c r="AD29" i="10"/>
  <c r="AE28" i="10"/>
  <c r="AC7" i="10"/>
  <c r="AD6" i="10"/>
  <c r="AF39" i="10"/>
  <c r="AF17" i="10"/>
  <c r="AB32" i="10" l="1"/>
  <c r="AA35" i="10"/>
  <c r="AG17" i="10"/>
  <c r="AG39" i="10"/>
  <c r="AE6" i="10"/>
  <c r="AD7" i="10"/>
  <c r="AF28" i="10"/>
  <c r="AE29" i="10"/>
  <c r="AC32" i="10" l="1"/>
  <c r="AB35" i="10"/>
  <c r="AF29" i="10"/>
  <c r="AG28" i="10"/>
  <c r="AG29" i="10" s="1"/>
  <c r="AE7" i="10"/>
  <c r="AF6" i="10"/>
  <c r="AD32" i="10" l="1"/>
  <c r="AC35" i="10"/>
  <c r="AG6" i="10"/>
  <c r="AG7" i="10" s="1"/>
  <c r="AF7" i="10"/>
  <c r="AE32" i="10" l="1"/>
  <c r="AD35" i="10"/>
  <c r="C9" i="7"/>
  <c r="C10" i="7"/>
  <c r="C11" i="7"/>
  <c r="C12" i="7"/>
  <c r="C13" i="7"/>
  <c r="C14" i="7"/>
  <c r="C15" i="7"/>
  <c r="C16" i="7"/>
  <c r="C17" i="7"/>
  <c r="C18" i="7"/>
  <c r="C19" i="7"/>
  <c r="C26" i="7"/>
  <c r="C27" i="7"/>
  <c r="C28" i="7"/>
  <c r="C29" i="7"/>
  <c r="C30" i="7"/>
  <c r="C31" i="7"/>
  <c r="C8" i="7"/>
  <c r="AC8" i="7"/>
  <c r="D13" i="7"/>
  <c r="D14" i="7" s="1"/>
  <c r="D15" i="7" s="1"/>
  <c r="D17" i="7" s="1"/>
  <c r="D19" i="7" s="1"/>
  <c r="D20" i="7" s="1"/>
  <c r="D22" i="7" s="1"/>
  <c r="D12" i="7"/>
  <c r="D16" i="7" s="1"/>
  <c r="D18" i="7" s="1"/>
  <c r="D25" i="7" s="1"/>
  <c r="K22" i="7"/>
  <c r="T22" i="7" s="1"/>
  <c r="K20" i="7"/>
  <c r="T20" i="7" s="1"/>
  <c r="M18" i="7"/>
  <c r="T18" i="7" s="1"/>
  <c r="K17" i="7"/>
  <c r="T17" i="7" s="1"/>
  <c r="M16" i="7"/>
  <c r="T16" i="7" s="1"/>
  <c r="K15" i="7"/>
  <c r="T15" i="7" s="1"/>
  <c r="K14" i="7"/>
  <c r="T14" i="7" s="1"/>
  <c r="T13" i="7"/>
  <c r="M12" i="7"/>
  <c r="T12" i="7" s="1"/>
  <c r="K11" i="7"/>
  <c r="T11" i="7" s="1"/>
  <c r="K10" i="7"/>
  <c r="T10" i="7" s="1"/>
  <c r="K9" i="7"/>
  <c r="T9" i="7" s="1"/>
  <c r="M8" i="7"/>
  <c r="T8" i="7" s="1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AF32" i="10" l="1"/>
  <c r="AE35" i="10"/>
  <c r="G26" i="7"/>
  <c r="T26" i="7" s="1"/>
  <c r="G24" i="7"/>
  <c r="G27" i="7"/>
  <c r="T27" i="7" s="1"/>
  <c r="G28" i="7"/>
  <c r="T28" i="7" s="1"/>
  <c r="G29" i="7"/>
  <c r="T29" i="7" s="1"/>
  <c r="G30" i="7"/>
  <c r="T30" i="7" s="1"/>
  <c r="G31" i="7"/>
  <c r="T31" i="7" s="1"/>
  <c r="K19" i="7"/>
  <c r="T19" i="7" s="1"/>
  <c r="E5" i="3"/>
  <c r="W34" i="5" s="1"/>
  <c r="E6" i="3"/>
  <c r="W15" i="5" s="1"/>
  <c r="E7" i="3"/>
  <c r="W17" i="5" s="1"/>
  <c r="E8" i="3"/>
  <c r="W44" i="5" s="1"/>
  <c r="E9" i="3"/>
  <c r="E10" i="3"/>
  <c r="E11" i="3"/>
  <c r="W46" i="5" s="1"/>
  <c r="E12" i="3"/>
  <c r="E13" i="3"/>
  <c r="E14" i="3"/>
  <c r="E15" i="3"/>
  <c r="W25" i="5" s="1"/>
  <c r="E16" i="3"/>
  <c r="E4" i="3"/>
  <c r="V1" i="5" s="1"/>
  <c r="V52" i="5" s="1"/>
  <c r="G15" i="2"/>
  <c r="U55" i="5"/>
  <c r="U54" i="5"/>
  <c r="U53" i="5"/>
  <c r="U52" i="5"/>
  <c r="U51" i="5"/>
  <c r="U50" i="5"/>
  <c r="U49" i="5"/>
  <c r="U48" i="5"/>
  <c r="U47" i="5"/>
  <c r="U46" i="5"/>
  <c r="U45" i="5"/>
  <c r="U44" i="5"/>
  <c r="U43" i="5"/>
  <c r="U42" i="5"/>
  <c r="U41" i="5"/>
  <c r="U40" i="5"/>
  <c r="U39" i="5"/>
  <c r="U38" i="5"/>
  <c r="U37" i="5"/>
  <c r="U36" i="5"/>
  <c r="U35" i="5"/>
  <c r="U34" i="5"/>
  <c r="U33" i="5"/>
  <c r="U32" i="5"/>
  <c r="U31" i="5"/>
  <c r="U30" i="5"/>
  <c r="U29" i="5"/>
  <c r="U28" i="5"/>
  <c r="U27" i="5"/>
  <c r="U26" i="5"/>
  <c r="U25" i="5"/>
  <c r="U24" i="5"/>
  <c r="U23" i="5"/>
  <c r="U22" i="5"/>
  <c r="U21" i="5"/>
  <c r="U20" i="5"/>
  <c r="U19" i="5"/>
  <c r="U18" i="5"/>
  <c r="U17" i="5"/>
  <c r="U16" i="5"/>
  <c r="U15" i="5"/>
  <c r="U14" i="5"/>
  <c r="U13" i="5"/>
  <c r="U12" i="5"/>
  <c r="U11" i="5"/>
  <c r="U10" i="5"/>
  <c r="U9" i="5"/>
  <c r="U8" i="5"/>
  <c r="U7" i="5"/>
  <c r="U6" i="5"/>
  <c r="U5" i="5"/>
  <c r="T55" i="5"/>
  <c r="BD58" i="17" s="1"/>
  <c r="T54" i="5"/>
  <c r="T53" i="5"/>
  <c r="T52" i="5"/>
  <c r="T51" i="5"/>
  <c r="T50" i="5"/>
  <c r="T49" i="5"/>
  <c r="T48" i="5"/>
  <c r="T47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1" i="5"/>
  <c r="T10" i="5"/>
  <c r="T9" i="5"/>
  <c r="T8" i="5"/>
  <c r="T7" i="5"/>
  <c r="T6" i="5"/>
  <c r="T5" i="5"/>
  <c r="BD8" i="17" s="1"/>
  <c r="S55" i="5"/>
  <c r="S54" i="5"/>
  <c r="S53" i="5"/>
  <c r="S52" i="5"/>
  <c r="S51" i="5"/>
  <c r="S50" i="5"/>
  <c r="S49" i="5"/>
  <c r="S48" i="5"/>
  <c r="S47" i="5"/>
  <c r="S46" i="5"/>
  <c r="S45" i="5"/>
  <c r="S44" i="5"/>
  <c r="S43" i="5"/>
  <c r="S42" i="5"/>
  <c r="S41" i="5"/>
  <c r="S40" i="5"/>
  <c r="S39" i="5"/>
  <c r="S38" i="5"/>
  <c r="S37" i="5"/>
  <c r="S36" i="5"/>
  <c r="S35" i="5"/>
  <c r="S34" i="5"/>
  <c r="S33" i="5"/>
  <c r="S32" i="5"/>
  <c r="S31" i="5"/>
  <c r="S30" i="5"/>
  <c r="S29" i="5"/>
  <c r="S28" i="5"/>
  <c r="S27" i="5"/>
  <c r="S26" i="5"/>
  <c r="S25" i="5"/>
  <c r="S24" i="5"/>
  <c r="S23" i="5"/>
  <c r="S22" i="5"/>
  <c r="S21" i="5"/>
  <c r="S20" i="5"/>
  <c r="S19" i="5"/>
  <c r="S18" i="5"/>
  <c r="S17" i="5"/>
  <c r="S16" i="5"/>
  <c r="S15" i="5"/>
  <c r="S14" i="5"/>
  <c r="S13" i="5"/>
  <c r="S12" i="5"/>
  <c r="S11" i="5"/>
  <c r="S10" i="5"/>
  <c r="S9" i="5"/>
  <c r="S8" i="5"/>
  <c r="S7" i="5"/>
  <c r="S6" i="5"/>
  <c r="S5" i="5"/>
  <c r="BG8" i="17" l="1"/>
  <c r="BE8" i="17"/>
  <c r="W12" i="16"/>
  <c r="BD12" i="17"/>
  <c r="W16" i="16"/>
  <c r="BD16" i="17"/>
  <c r="W20" i="16"/>
  <c r="BD20" i="17"/>
  <c r="W24" i="16"/>
  <c r="BD24" i="17"/>
  <c r="W32" i="16"/>
  <c r="BD32" i="17"/>
  <c r="W36" i="16"/>
  <c r="BD36" i="17"/>
  <c r="W40" i="16"/>
  <c r="BD40" i="17"/>
  <c r="W44" i="16"/>
  <c r="BD44" i="17"/>
  <c r="W48" i="16"/>
  <c r="BD48" i="17"/>
  <c r="W52" i="16"/>
  <c r="BD52" i="17"/>
  <c r="W56" i="16"/>
  <c r="BD56" i="17"/>
  <c r="W23" i="5"/>
  <c r="W36" i="5"/>
  <c r="W53" i="5"/>
  <c r="W9" i="16"/>
  <c r="BD9" i="17"/>
  <c r="W13" i="16"/>
  <c r="BD13" i="17"/>
  <c r="W17" i="16"/>
  <c r="BD17" i="17"/>
  <c r="W21" i="16"/>
  <c r="BD21" i="17"/>
  <c r="W25" i="16"/>
  <c r="BD25" i="17"/>
  <c r="W29" i="16"/>
  <c r="BD29" i="17"/>
  <c r="W33" i="16"/>
  <c r="BD33" i="17"/>
  <c r="W37" i="16"/>
  <c r="BD37" i="17"/>
  <c r="W41" i="16"/>
  <c r="BD41" i="17"/>
  <c r="W45" i="16"/>
  <c r="BD45" i="17"/>
  <c r="W49" i="16"/>
  <c r="BD49" i="17"/>
  <c r="W53" i="16"/>
  <c r="BD53" i="17"/>
  <c r="W57" i="16"/>
  <c r="BD57" i="17"/>
  <c r="W7" i="5"/>
  <c r="W37" i="5"/>
  <c r="W51" i="5"/>
  <c r="W10" i="16"/>
  <c r="BD10" i="17"/>
  <c r="W14" i="16"/>
  <c r="BD14" i="17"/>
  <c r="W18" i="16"/>
  <c r="BD18" i="17"/>
  <c r="W22" i="16"/>
  <c r="BD22" i="17"/>
  <c r="W26" i="16"/>
  <c r="BD26" i="17"/>
  <c r="W30" i="16"/>
  <c r="BD30" i="17"/>
  <c r="W34" i="16"/>
  <c r="BD34" i="17"/>
  <c r="W38" i="16"/>
  <c r="BD38" i="17"/>
  <c r="W42" i="16"/>
  <c r="BD42" i="17"/>
  <c r="W46" i="16"/>
  <c r="BD46" i="17"/>
  <c r="W50" i="16"/>
  <c r="BD50" i="17"/>
  <c r="W54" i="16"/>
  <c r="BD54" i="17"/>
  <c r="BG58" i="17"/>
  <c r="BE58" i="17"/>
  <c r="W35" i="5"/>
  <c r="W11" i="16"/>
  <c r="BD11" i="17"/>
  <c r="W15" i="16"/>
  <c r="Z15" i="16" s="1"/>
  <c r="BD15" i="17"/>
  <c r="W19" i="16"/>
  <c r="BD19" i="17"/>
  <c r="W23" i="16"/>
  <c r="Z23" i="16" s="1"/>
  <c r="BD23" i="17"/>
  <c r="W27" i="16"/>
  <c r="BD27" i="17"/>
  <c r="W31" i="16"/>
  <c r="Z31" i="16" s="1"/>
  <c r="BD31" i="17"/>
  <c r="W35" i="16"/>
  <c r="BD35" i="17"/>
  <c r="W39" i="16"/>
  <c r="Z39" i="16" s="1"/>
  <c r="BD39" i="17"/>
  <c r="W43" i="16"/>
  <c r="BD43" i="17"/>
  <c r="W47" i="16"/>
  <c r="Z47" i="16" s="1"/>
  <c r="BD47" i="17"/>
  <c r="W51" i="16"/>
  <c r="BD51" i="17"/>
  <c r="W55" i="16"/>
  <c r="Z55" i="16" s="1"/>
  <c r="BD55" i="17"/>
  <c r="Z12" i="16"/>
  <c r="X12" i="16"/>
  <c r="Z9" i="16"/>
  <c r="X9" i="16"/>
  <c r="Z11" i="16"/>
  <c r="X11" i="16"/>
  <c r="Z13" i="16"/>
  <c r="X13" i="16"/>
  <c r="X15" i="16"/>
  <c r="Z17" i="16"/>
  <c r="X17" i="16"/>
  <c r="Z19" i="16"/>
  <c r="X19" i="16"/>
  <c r="Z21" i="16"/>
  <c r="X21" i="16"/>
  <c r="X23" i="16"/>
  <c r="Z25" i="16"/>
  <c r="X25" i="16"/>
  <c r="Z27" i="16"/>
  <c r="X27" i="16"/>
  <c r="Z29" i="16"/>
  <c r="X29" i="16"/>
  <c r="X31" i="16"/>
  <c r="Z33" i="16"/>
  <c r="X33" i="16"/>
  <c r="Z35" i="16"/>
  <c r="X35" i="16"/>
  <c r="Z37" i="16"/>
  <c r="X37" i="16"/>
  <c r="X39" i="16"/>
  <c r="Z41" i="16"/>
  <c r="X41" i="16"/>
  <c r="Z43" i="16"/>
  <c r="X43" i="16"/>
  <c r="Z45" i="16"/>
  <c r="X45" i="16"/>
  <c r="X47" i="16"/>
  <c r="Z49" i="16"/>
  <c r="X49" i="16"/>
  <c r="Z51" i="16"/>
  <c r="X51" i="16"/>
  <c r="Z53" i="16"/>
  <c r="X53" i="16"/>
  <c r="X55" i="16"/>
  <c r="Z57" i="16"/>
  <c r="X57" i="16"/>
  <c r="AD8" i="7"/>
  <c r="AG8" i="7" s="1"/>
  <c r="AO8" i="7" s="1"/>
  <c r="W8" i="16"/>
  <c r="Z10" i="16"/>
  <c r="X10" i="16"/>
  <c r="Z14" i="16"/>
  <c r="X14" i="16"/>
  <c r="Z16" i="16"/>
  <c r="X16" i="16"/>
  <c r="Z18" i="16"/>
  <c r="X18" i="16"/>
  <c r="Z20" i="16"/>
  <c r="X20" i="16"/>
  <c r="Z22" i="16"/>
  <c r="X22" i="16"/>
  <c r="Z24" i="16"/>
  <c r="X24" i="16"/>
  <c r="Z26" i="16"/>
  <c r="X26" i="16"/>
  <c r="Z30" i="16"/>
  <c r="X30" i="16"/>
  <c r="Z32" i="16"/>
  <c r="X32" i="16"/>
  <c r="Z34" i="16"/>
  <c r="X34" i="16"/>
  <c r="Z36" i="16"/>
  <c r="X36" i="16"/>
  <c r="Z38" i="16"/>
  <c r="X38" i="16"/>
  <c r="Z40" i="16"/>
  <c r="X40" i="16"/>
  <c r="Z42" i="16"/>
  <c r="X42" i="16"/>
  <c r="Z44" i="16"/>
  <c r="X44" i="16"/>
  <c r="Z46" i="16"/>
  <c r="X46" i="16"/>
  <c r="Z48" i="16"/>
  <c r="X48" i="16"/>
  <c r="Z50" i="16"/>
  <c r="X50" i="16"/>
  <c r="Z52" i="16"/>
  <c r="X52" i="16"/>
  <c r="Z54" i="16"/>
  <c r="X54" i="16"/>
  <c r="Z56" i="16"/>
  <c r="X56" i="16"/>
  <c r="AD58" i="7"/>
  <c r="W58" i="16"/>
  <c r="AD10" i="7"/>
  <c r="AG10" i="7" s="1"/>
  <c r="AD12" i="7"/>
  <c r="AG12" i="7" s="1"/>
  <c r="AD14" i="7"/>
  <c r="AG14" i="7" s="1"/>
  <c r="AD16" i="7"/>
  <c r="AG16" i="7" s="1"/>
  <c r="AD18" i="7"/>
  <c r="AG18" i="7" s="1"/>
  <c r="AD20" i="7"/>
  <c r="AG20" i="7" s="1"/>
  <c r="AD22" i="7"/>
  <c r="AG22" i="7" s="1"/>
  <c r="AD24" i="7"/>
  <c r="AG24" i="7" s="1"/>
  <c r="AD26" i="7"/>
  <c r="AG26" i="7" s="1"/>
  <c r="AD30" i="7"/>
  <c r="AG30" i="7" s="1"/>
  <c r="AD32" i="7"/>
  <c r="AG32" i="7" s="1"/>
  <c r="AD34" i="7"/>
  <c r="AG34" i="7" s="1"/>
  <c r="AD36" i="7"/>
  <c r="AG36" i="7" s="1"/>
  <c r="AD38" i="7"/>
  <c r="AG38" i="7" s="1"/>
  <c r="AD40" i="7"/>
  <c r="AG40" i="7" s="1"/>
  <c r="AD42" i="7"/>
  <c r="AG42" i="7" s="1"/>
  <c r="AD44" i="7"/>
  <c r="AG44" i="7" s="1"/>
  <c r="AD46" i="7"/>
  <c r="AG46" i="7" s="1"/>
  <c r="AD48" i="7"/>
  <c r="AG48" i="7" s="1"/>
  <c r="AD50" i="7"/>
  <c r="AG50" i="7" s="1"/>
  <c r="AD52" i="7"/>
  <c r="AG52" i="7" s="1"/>
  <c r="AD54" i="7"/>
  <c r="AG54" i="7" s="1"/>
  <c r="AD56" i="7"/>
  <c r="AG56" i="7" s="1"/>
  <c r="AD9" i="7"/>
  <c r="AG9" i="7" s="1"/>
  <c r="AD11" i="7"/>
  <c r="AG11" i="7" s="1"/>
  <c r="AD13" i="7"/>
  <c r="AG13" i="7" s="1"/>
  <c r="AD15" i="7"/>
  <c r="AG15" i="7" s="1"/>
  <c r="AD17" i="7"/>
  <c r="AG17" i="7" s="1"/>
  <c r="AD19" i="7"/>
  <c r="AG19" i="7" s="1"/>
  <c r="AD21" i="7"/>
  <c r="AG21" i="7" s="1"/>
  <c r="AD23" i="7"/>
  <c r="AG23" i="7" s="1"/>
  <c r="AD25" i="7"/>
  <c r="AG25" i="7" s="1"/>
  <c r="AD27" i="7"/>
  <c r="AG27" i="7" s="1"/>
  <c r="AD29" i="7"/>
  <c r="AG29" i="7" s="1"/>
  <c r="AD31" i="7"/>
  <c r="AG31" i="7" s="1"/>
  <c r="AD33" i="7"/>
  <c r="AG33" i="7" s="1"/>
  <c r="AD35" i="7"/>
  <c r="AG35" i="7" s="1"/>
  <c r="AD37" i="7"/>
  <c r="AG37" i="7" s="1"/>
  <c r="AD39" i="7"/>
  <c r="AG39" i="7" s="1"/>
  <c r="AD41" i="7"/>
  <c r="AG41" i="7" s="1"/>
  <c r="AD43" i="7"/>
  <c r="AG43" i="7" s="1"/>
  <c r="AD45" i="7"/>
  <c r="AG45" i="7" s="1"/>
  <c r="AD47" i="7"/>
  <c r="AG47" i="7" s="1"/>
  <c r="AD49" i="7"/>
  <c r="AG49" i="7" s="1"/>
  <c r="AD51" i="7"/>
  <c r="AG51" i="7" s="1"/>
  <c r="AD53" i="7"/>
  <c r="AG53" i="7" s="1"/>
  <c r="AD55" i="7"/>
  <c r="AG55" i="7" s="1"/>
  <c r="AG58" i="7"/>
  <c r="AH58" i="7" s="1"/>
  <c r="AD57" i="7"/>
  <c r="AG57" i="7" s="1"/>
  <c r="V5" i="5"/>
  <c r="V10" i="5"/>
  <c r="V14" i="5"/>
  <c r="V20" i="5"/>
  <c r="V26" i="5"/>
  <c r="V30" i="5"/>
  <c r="V38" i="5"/>
  <c r="V8" i="5"/>
  <c r="V12" i="5"/>
  <c r="V18" i="5"/>
  <c r="V22" i="5"/>
  <c r="V28" i="5"/>
  <c r="V32" i="5"/>
  <c r="V40" i="5"/>
  <c r="AH45" i="7"/>
  <c r="V42" i="5"/>
  <c r="V45" i="5"/>
  <c r="V48" i="5"/>
  <c r="V50" i="5"/>
  <c r="V54" i="5"/>
  <c r="V55" i="5"/>
  <c r="V6" i="5"/>
  <c r="V9" i="5"/>
  <c r="V11" i="5"/>
  <c r="V13" i="5"/>
  <c r="V16" i="5"/>
  <c r="V19" i="5"/>
  <c r="V21" i="5"/>
  <c r="V24" i="5"/>
  <c r="V27" i="5"/>
  <c r="V29" i="5"/>
  <c r="V31" i="5"/>
  <c r="V33" i="5"/>
  <c r="V39" i="5"/>
  <c r="V41" i="5"/>
  <c r="V43" i="5"/>
  <c r="V47" i="5"/>
  <c r="V49" i="5"/>
  <c r="T24" i="7"/>
  <c r="AR2" i="7" s="1"/>
  <c r="AG32" i="10"/>
  <c r="AG35" i="10" s="1"/>
  <c r="AF35" i="10"/>
  <c r="AE44" i="7"/>
  <c r="AE41" i="7"/>
  <c r="AE42" i="7"/>
  <c r="AE19" i="7"/>
  <c r="AE55" i="7"/>
  <c r="AE39" i="7" l="1"/>
  <c r="AE11" i="7"/>
  <c r="AE9" i="7"/>
  <c r="AE31" i="7"/>
  <c r="AE50" i="7"/>
  <c r="AE49" i="7"/>
  <c r="AE17" i="7"/>
  <c r="BG54" i="17"/>
  <c r="BE54" i="17"/>
  <c r="BG46" i="17"/>
  <c r="BE46" i="17"/>
  <c r="BG38" i="17"/>
  <c r="BE38" i="17"/>
  <c r="BG30" i="17"/>
  <c r="BE30" i="17"/>
  <c r="BG22" i="17"/>
  <c r="BE22" i="17"/>
  <c r="BG14" i="17"/>
  <c r="BE14" i="17"/>
  <c r="BG56" i="17"/>
  <c r="BE56" i="17"/>
  <c r="BG48" i="17"/>
  <c r="BE48" i="17"/>
  <c r="BG40" i="17"/>
  <c r="BE40" i="17"/>
  <c r="BG32" i="17"/>
  <c r="BE32" i="17"/>
  <c r="BG20" i="17"/>
  <c r="BE20" i="17"/>
  <c r="BG12" i="17"/>
  <c r="BE12" i="17"/>
  <c r="BG55" i="17"/>
  <c r="BE55" i="17"/>
  <c r="BG47" i="17"/>
  <c r="BE47" i="17"/>
  <c r="BG39" i="17"/>
  <c r="BE39" i="17"/>
  <c r="BG31" i="17"/>
  <c r="BE31" i="17"/>
  <c r="BG23" i="17"/>
  <c r="BE23" i="17"/>
  <c r="BG15" i="17"/>
  <c r="BE15" i="17"/>
  <c r="BG53" i="17"/>
  <c r="BE53" i="17"/>
  <c r="BG45" i="17"/>
  <c r="BE45" i="17"/>
  <c r="BG37" i="17"/>
  <c r="BE37" i="17"/>
  <c r="BG29" i="17"/>
  <c r="BE29" i="17"/>
  <c r="BG21" i="17"/>
  <c r="BE21" i="17"/>
  <c r="BG13" i="17"/>
  <c r="BE13" i="17"/>
  <c r="AE47" i="7"/>
  <c r="AE16" i="7"/>
  <c r="AE34" i="7"/>
  <c r="AE33" i="7"/>
  <c r="AE20" i="7"/>
  <c r="BG50" i="17"/>
  <c r="BE50" i="17"/>
  <c r="BG42" i="17"/>
  <c r="BE42" i="17"/>
  <c r="BG34" i="17"/>
  <c r="BE34" i="17"/>
  <c r="BG26" i="17"/>
  <c r="BE26" i="17"/>
  <c r="BG18" i="17"/>
  <c r="BE18" i="17"/>
  <c r="BG10" i="17"/>
  <c r="BE10" i="17"/>
  <c r="BG52" i="17"/>
  <c r="BE52" i="17"/>
  <c r="BG44" i="17"/>
  <c r="BE44" i="17"/>
  <c r="BG36" i="17"/>
  <c r="BE36" i="17"/>
  <c r="BG24" i="17"/>
  <c r="BE24" i="17"/>
  <c r="BG16" i="17"/>
  <c r="BE16" i="17"/>
  <c r="AE8" i="7"/>
  <c r="AE58" i="7"/>
  <c r="AE25" i="7"/>
  <c r="BG51" i="17"/>
  <c r="BE51" i="17"/>
  <c r="BG43" i="17"/>
  <c r="BE43" i="17"/>
  <c r="BG35" i="17"/>
  <c r="BE35" i="17"/>
  <c r="BG27" i="17"/>
  <c r="BE27" i="17"/>
  <c r="BG19" i="17"/>
  <c r="BE19" i="17"/>
  <c r="BG11" i="17"/>
  <c r="BE11" i="17"/>
  <c r="BL58" i="17"/>
  <c r="BH58" i="17"/>
  <c r="BN58" i="17"/>
  <c r="BM58" i="17"/>
  <c r="BG57" i="17"/>
  <c r="BE57" i="17"/>
  <c r="BG49" i="17"/>
  <c r="BE49" i="17"/>
  <c r="BG41" i="17"/>
  <c r="BE41" i="17"/>
  <c r="BG33" i="17"/>
  <c r="BE33" i="17"/>
  <c r="BG25" i="17"/>
  <c r="BE25" i="17"/>
  <c r="BG17" i="17"/>
  <c r="BE17" i="17"/>
  <c r="BG9" i="17"/>
  <c r="BE9" i="17"/>
  <c r="BE59" i="17" s="1"/>
  <c r="BL8" i="17"/>
  <c r="BH8" i="17"/>
  <c r="BM8" i="17"/>
  <c r="BN8" i="17"/>
  <c r="Z58" i="16"/>
  <c r="X58" i="16"/>
  <c r="Z8" i="16"/>
  <c r="X8" i="16"/>
  <c r="X63" i="16" s="1"/>
  <c r="AA56" i="16"/>
  <c r="AH56" i="16"/>
  <c r="AI56" i="16"/>
  <c r="AA54" i="16"/>
  <c r="AH54" i="16"/>
  <c r="AI54" i="16"/>
  <c r="AA52" i="16"/>
  <c r="AH52" i="16"/>
  <c r="AI52" i="16"/>
  <c r="AA50" i="16"/>
  <c r="AH50" i="16"/>
  <c r="AI50" i="16"/>
  <c r="AA48" i="16"/>
  <c r="AH48" i="16"/>
  <c r="AI48" i="16"/>
  <c r="AA46" i="16"/>
  <c r="AH46" i="16"/>
  <c r="AI46" i="16"/>
  <c r="AA44" i="16"/>
  <c r="AH44" i="16"/>
  <c r="AI44" i="16"/>
  <c r="AA42" i="16"/>
  <c r="AH42" i="16"/>
  <c r="AI42" i="16"/>
  <c r="AA40" i="16"/>
  <c r="AH40" i="16"/>
  <c r="AI40" i="16"/>
  <c r="AA38" i="16"/>
  <c r="AH38" i="16"/>
  <c r="AI38" i="16"/>
  <c r="AH36" i="16"/>
  <c r="AA36" i="16"/>
  <c r="AI36" i="16"/>
  <c r="AH34" i="16"/>
  <c r="AA34" i="16"/>
  <c r="AI34" i="16"/>
  <c r="AH32" i="16"/>
  <c r="AA32" i="16"/>
  <c r="AI32" i="16"/>
  <c r="AH30" i="16"/>
  <c r="AA30" i="16"/>
  <c r="AI30" i="16"/>
  <c r="AH26" i="16"/>
  <c r="AA26" i="16"/>
  <c r="AI26" i="16"/>
  <c r="AA24" i="16"/>
  <c r="AH24" i="16"/>
  <c r="AI24" i="16"/>
  <c r="AA22" i="16"/>
  <c r="AH22" i="16"/>
  <c r="AI22" i="16"/>
  <c r="AA20" i="16"/>
  <c r="AH20" i="16"/>
  <c r="AI20" i="16"/>
  <c r="AA18" i="16"/>
  <c r="AH18" i="16"/>
  <c r="AI18" i="16"/>
  <c r="AH16" i="16"/>
  <c r="AA16" i="16"/>
  <c r="AI16" i="16"/>
  <c r="AH14" i="16"/>
  <c r="AI14" i="16"/>
  <c r="AA14" i="16"/>
  <c r="AH10" i="16"/>
  <c r="AA10" i="16"/>
  <c r="AI10" i="16"/>
  <c r="AH57" i="16"/>
  <c r="AA57" i="16"/>
  <c r="AI57" i="16"/>
  <c r="AH55" i="16"/>
  <c r="AA55" i="16"/>
  <c r="AI55" i="16"/>
  <c r="AH53" i="16"/>
  <c r="AA53" i="16"/>
  <c r="AI53" i="16"/>
  <c r="AH51" i="16"/>
  <c r="AA51" i="16"/>
  <c r="AI51" i="16"/>
  <c r="AH49" i="16"/>
  <c r="AA49" i="16"/>
  <c r="AI49" i="16"/>
  <c r="AH47" i="16"/>
  <c r="AA47" i="16"/>
  <c r="AI47" i="16"/>
  <c r="AH45" i="16"/>
  <c r="AA45" i="16"/>
  <c r="AI45" i="16"/>
  <c r="AH43" i="16"/>
  <c r="AA43" i="16"/>
  <c r="AI43" i="16"/>
  <c r="AH41" i="16"/>
  <c r="AA41" i="16"/>
  <c r="AI41" i="16"/>
  <c r="AH39" i="16"/>
  <c r="AA39" i="16"/>
  <c r="AI39" i="16"/>
  <c r="AH37" i="16"/>
  <c r="AA37" i="16"/>
  <c r="AI37" i="16"/>
  <c r="AA35" i="16"/>
  <c r="AH35" i="16"/>
  <c r="AI35" i="16"/>
  <c r="AA33" i="16"/>
  <c r="AH33" i="16"/>
  <c r="AI33" i="16"/>
  <c r="AA31" i="16"/>
  <c r="AH31" i="16"/>
  <c r="AI31" i="16"/>
  <c r="AA29" i="16"/>
  <c r="AH29" i="16"/>
  <c r="AI29" i="16"/>
  <c r="AA27" i="16"/>
  <c r="AH27" i="16"/>
  <c r="AI27" i="16"/>
  <c r="AA25" i="16"/>
  <c r="AH25" i="16"/>
  <c r="AI25" i="16"/>
  <c r="AH23" i="16"/>
  <c r="AA23" i="16"/>
  <c r="AI23" i="16"/>
  <c r="AA21" i="16"/>
  <c r="AH21" i="16"/>
  <c r="AI21" i="16"/>
  <c r="AA19" i="16"/>
  <c r="AH19" i="16"/>
  <c r="AI19" i="16"/>
  <c r="AH17" i="16"/>
  <c r="AA17" i="16"/>
  <c r="AI17" i="16"/>
  <c r="AA15" i="16"/>
  <c r="AH15" i="16"/>
  <c r="AI15" i="16"/>
  <c r="AH13" i="16"/>
  <c r="AA13" i="16"/>
  <c r="AI13" i="16"/>
  <c r="AH11" i="16"/>
  <c r="AA11" i="16"/>
  <c r="AI11" i="16"/>
  <c r="AH9" i="16"/>
  <c r="AI9" i="16"/>
  <c r="AA9" i="16"/>
  <c r="AH12" i="16"/>
  <c r="AI12" i="16"/>
  <c r="AA12" i="16"/>
  <c r="AE13" i="7"/>
  <c r="AE12" i="7"/>
  <c r="AE54" i="7"/>
  <c r="AE46" i="7"/>
  <c r="AE38" i="7"/>
  <c r="AE30" i="7"/>
  <c r="AE53" i="7"/>
  <c r="AE45" i="7"/>
  <c r="AE37" i="7"/>
  <c r="AE29" i="7"/>
  <c r="AE21" i="7"/>
  <c r="AE22" i="7"/>
  <c r="AE10" i="7"/>
  <c r="AE24" i="7"/>
  <c r="AH8" i="7"/>
  <c r="AE27" i="7"/>
  <c r="AE51" i="7"/>
  <c r="AE43" i="7"/>
  <c r="AE35" i="7"/>
  <c r="AE23" i="7"/>
  <c r="AE26" i="7"/>
  <c r="AE15" i="7"/>
  <c r="AE57" i="7"/>
  <c r="AE52" i="7"/>
  <c r="AE36" i="7"/>
  <c r="AE14" i="7"/>
  <c r="AE56" i="7"/>
  <c r="AE48" i="7"/>
  <c r="AE40" i="7"/>
  <c r="AE32" i="7"/>
  <c r="AE18" i="7"/>
  <c r="AR3" i="7"/>
  <c r="AR8" i="7" s="1"/>
  <c r="AP3" i="7"/>
  <c r="AP2" i="7"/>
  <c r="AO57" i="7"/>
  <c r="AH57" i="7"/>
  <c r="AO55" i="7"/>
  <c r="AH55" i="7"/>
  <c r="AO51" i="7"/>
  <c r="AH51" i="7"/>
  <c r="AO47" i="7"/>
  <c r="AH47" i="7"/>
  <c r="AO43" i="7"/>
  <c r="AH43" i="7"/>
  <c r="AO39" i="7"/>
  <c r="AH39" i="7"/>
  <c r="AO35" i="7"/>
  <c r="AH35" i="7"/>
  <c r="AO31" i="7"/>
  <c r="AH31" i="7"/>
  <c r="AO27" i="7"/>
  <c r="AH27" i="7"/>
  <c r="AO23" i="7"/>
  <c r="AH23" i="7"/>
  <c r="AO19" i="7"/>
  <c r="AH19" i="7"/>
  <c r="AO15" i="7"/>
  <c r="AH15" i="7"/>
  <c r="AO11" i="7"/>
  <c r="AH11" i="7"/>
  <c r="AO56" i="7"/>
  <c r="AO52" i="7"/>
  <c r="AH52" i="7"/>
  <c r="AO48" i="7"/>
  <c r="AH48" i="7"/>
  <c r="AO44" i="7"/>
  <c r="AH44" i="7"/>
  <c r="AO40" i="7"/>
  <c r="AH40" i="7"/>
  <c r="AO36" i="7"/>
  <c r="AH36" i="7"/>
  <c r="AO32" i="7"/>
  <c r="AR32" i="7" s="1"/>
  <c r="AH32" i="7"/>
  <c r="AO26" i="7"/>
  <c r="AH26" i="7"/>
  <c r="AO22" i="7"/>
  <c r="AR22" i="7" s="1"/>
  <c r="AH22" i="7"/>
  <c r="AO18" i="7"/>
  <c r="AH18" i="7"/>
  <c r="AO14" i="7"/>
  <c r="AR14" i="7" s="1"/>
  <c r="AH14" i="7"/>
  <c r="AO10" i="7"/>
  <c r="AH10" i="7"/>
  <c r="AO53" i="7"/>
  <c r="AR53" i="7" s="1"/>
  <c r="AH53" i="7"/>
  <c r="AO49" i="7"/>
  <c r="AH49" i="7"/>
  <c r="AO41" i="7"/>
  <c r="AR41" i="7" s="1"/>
  <c r="AH41" i="7"/>
  <c r="AO37" i="7"/>
  <c r="AH37" i="7"/>
  <c r="AR33" i="7"/>
  <c r="AO33" i="7"/>
  <c r="AH33" i="7"/>
  <c r="AO29" i="7"/>
  <c r="AH29" i="7"/>
  <c r="AO25" i="7"/>
  <c r="AH25" i="7"/>
  <c r="AO21" i="7"/>
  <c r="AH21" i="7"/>
  <c r="AO17" i="7"/>
  <c r="AH17" i="7"/>
  <c r="AO13" i="7"/>
  <c r="AH13" i="7"/>
  <c r="AO9" i="7"/>
  <c r="AH9" i="7"/>
  <c r="AO54" i="7"/>
  <c r="AH54" i="7"/>
  <c r="AO50" i="7"/>
  <c r="AH50" i="7"/>
  <c r="AO46" i="7"/>
  <c r="AH46" i="7"/>
  <c r="AO42" i="7"/>
  <c r="AH42" i="7"/>
  <c r="AO38" i="7"/>
  <c r="AH38" i="7"/>
  <c r="AO34" i="7"/>
  <c r="AH34" i="7"/>
  <c r="AO30" i="7"/>
  <c r="AH30" i="7"/>
  <c r="AO24" i="7"/>
  <c r="AH24" i="7"/>
  <c r="AO20" i="7"/>
  <c r="AH20" i="7"/>
  <c r="AO16" i="7"/>
  <c r="AH16" i="7"/>
  <c r="AO12" i="7"/>
  <c r="AH12" i="7"/>
  <c r="AO58" i="7"/>
  <c r="AO45" i="7"/>
  <c r="AR45" i="7" s="1"/>
  <c r="AH56" i="7"/>
  <c r="BL21" i="17" l="1"/>
  <c r="BH21" i="17"/>
  <c r="BM21" i="17"/>
  <c r="BN21" i="17"/>
  <c r="BH37" i="17"/>
  <c r="BL37" i="17"/>
  <c r="BN37" i="17"/>
  <c r="BM37" i="17"/>
  <c r="BH53" i="17"/>
  <c r="BL53" i="17"/>
  <c r="BN53" i="17"/>
  <c r="BM53" i="17"/>
  <c r="BL23" i="17"/>
  <c r="BH23" i="17"/>
  <c r="BN23" i="17"/>
  <c r="BM23" i="17"/>
  <c r="BL39" i="17"/>
  <c r="BH39" i="17"/>
  <c r="BM39" i="17"/>
  <c r="BN39" i="17"/>
  <c r="BL55" i="17"/>
  <c r="BH55" i="17"/>
  <c r="BM55" i="17"/>
  <c r="BN55" i="17"/>
  <c r="BL20" i="17"/>
  <c r="BH20" i="17"/>
  <c r="BM20" i="17"/>
  <c r="BN20" i="17"/>
  <c r="BL40" i="17"/>
  <c r="BH40" i="17"/>
  <c r="BM40" i="17"/>
  <c r="BN40" i="17"/>
  <c r="BL56" i="17"/>
  <c r="BH56" i="17"/>
  <c r="BM56" i="17"/>
  <c r="BN56" i="17"/>
  <c r="BL22" i="17"/>
  <c r="BH22" i="17"/>
  <c r="BM22" i="17"/>
  <c r="BN22" i="17"/>
  <c r="BL38" i="17"/>
  <c r="BH38" i="17"/>
  <c r="BM38" i="17"/>
  <c r="BN38" i="17"/>
  <c r="BL54" i="17"/>
  <c r="BH54" i="17"/>
  <c r="BM54" i="17"/>
  <c r="BN54" i="17"/>
  <c r="BH9" i="17"/>
  <c r="BH59" i="17" s="1"/>
  <c r="BH63" i="17" s="1"/>
  <c r="BL9" i="17"/>
  <c r="BN9" i="17"/>
  <c r="BN59" i="17" s="1"/>
  <c r="BN60" i="17" s="1"/>
  <c r="BM9" i="17"/>
  <c r="BM59" i="17" s="1"/>
  <c r="BM60" i="17" s="1"/>
  <c r="BH25" i="17"/>
  <c r="BL25" i="17"/>
  <c r="BN25" i="17"/>
  <c r="BM25" i="17"/>
  <c r="BL41" i="17"/>
  <c r="BH41" i="17"/>
  <c r="BN41" i="17"/>
  <c r="BM41" i="17"/>
  <c r="BH57" i="17"/>
  <c r="BL57" i="17"/>
  <c r="BN57" i="17"/>
  <c r="BM57" i="17"/>
  <c r="BL19" i="17"/>
  <c r="BH19" i="17"/>
  <c r="BN19" i="17"/>
  <c r="BM19" i="17"/>
  <c r="BH35" i="17"/>
  <c r="BL35" i="17"/>
  <c r="BM35" i="17"/>
  <c r="BN35" i="17"/>
  <c r="BL51" i="17"/>
  <c r="BH51" i="17"/>
  <c r="BN51" i="17"/>
  <c r="BM51" i="17"/>
  <c r="BL24" i="17"/>
  <c r="BH24" i="17"/>
  <c r="BM24" i="17"/>
  <c r="BN24" i="17"/>
  <c r="BL44" i="17"/>
  <c r="BH44" i="17"/>
  <c r="BM44" i="17"/>
  <c r="BN44" i="17"/>
  <c r="BH10" i="17"/>
  <c r="BL10" i="17"/>
  <c r="BN10" i="17"/>
  <c r="BM10" i="17"/>
  <c r="BH26" i="17"/>
  <c r="BL26" i="17"/>
  <c r="BN26" i="17"/>
  <c r="BM26" i="17"/>
  <c r="BL42" i="17"/>
  <c r="BH42" i="17"/>
  <c r="BN42" i="17"/>
  <c r="BM42" i="17"/>
  <c r="AR49" i="7"/>
  <c r="AR18" i="7"/>
  <c r="AR26" i="7"/>
  <c r="BH13" i="17"/>
  <c r="BL13" i="17"/>
  <c r="BN13" i="17"/>
  <c r="BM13" i="17"/>
  <c r="BH29" i="17"/>
  <c r="BL29" i="17"/>
  <c r="BM29" i="17"/>
  <c r="BN29" i="17"/>
  <c r="BH45" i="17"/>
  <c r="BL45" i="17"/>
  <c r="BN45" i="17"/>
  <c r="BM45" i="17"/>
  <c r="BL15" i="17"/>
  <c r="BH15" i="17"/>
  <c r="BN15" i="17"/>
  <c r="BM15" i="17"/>
  <c r="BH31" i="17"/>
  <c r="BL31" i="17"/>
  <c r="BM31" i="17"/>
  <c r="BN31" i="17"/>
  <c r="BL47" i="17"/>
  <c r="BH47" i="17"/>
  <c r="BM47" i="17"/>
  <c r="BN47" i="17"/>
  <c r="BL12" i="17"/>
  <c r="BH12" i="17"/>
  <c r="BM12" i="17"/>
  <c r="BN12" i="17"/>
  <c r="BH32" i="17"/>
  <c r="BL32" i="17"/>
  <c r="BM32" i="17"/>
  <c r="BN32" i="17"/>
  <c r="BL48" i="17"/>
  <c r="BH48" i="17"/>
  <c r="BM48" i="17"/>
  <c r="BN48" i="17"/>
  <c r="BH14" i="17"/>
  <c r="BL14" i="17"/>
  <c r="BN14" i="17"/>
  <c r="BM14" i="17"/>
  <c r="BH30" i="17"/>
  <c r="BL30" i="17"/>
  <c r="BN30" i="17"/>
  <c r="BM30" i="17"/>
  <c r="BL46" i="17"/>
  <c r="BH46" i="17"/>
  <c r="BM46" i="17"/>
  <c r="BN46" i="17"/>
  <c r="AR37" i="7"/>
  <c r="AR10" i="7"/>
  <c r="AR36" i="7"/>
  <c r="BH17" i="17"/>
  <c r="BL17" i="17"/>
  <c r="BN17" i="17"/>
  <c r="BM17" i="17"/>
  <c r="BH33" i="17"/>
  <c r="BL33" i="17"/>
  <c r="BN33" i="17"/>
  <c r="BM33" i="17"/>
  <c r="BH49" i="17"/>
  <c r="BL49" i="17"/>
  <c r="BN49" i="17"/>
  <c r="BM49" i="17"/>
  <c r="BH11" i="17"/>
  <c r="BL11" i="17"/>
  <c r="BN11" i="17"/>
  <c r="BM11" i="17"/>
  <c r="BH27" i="17"/>
  <c r="BL27" i="17"/>
  <c r="BM27" i="17"/>
  <c r="BN27" i="17"/>
  <c r="BL43" i="17"/>
  <c r="BH43" i="17"/>
  <c r="BN43" i="17"/>
  <c r="BM43" i="17"/>
  <c r="BL16" i="17"/>
  <c r="BH16" i="17"/>
  <c r="BM16" i="17"/>
  <c r="BN16" i="17"/>
  <c r="BH36" i="17"/>
  <c r="BL36" i="17"/>
  <c r="BN36" i="17"/>
  <c r="BM36" i="17"/>
  <c r="BL52" i="17"/>
  <c r="BH52" i="17"/>
  <c r="BM52" i="17"/>
  <c r="BN52" i="17"/>
  <c r="BH18" i="17"/>
  <c r="BL18" i="17"/>
  <c r="BN18" i="17"/>
  <c r="BM18" i="17"/>
  <c r="BH34" i="17"/>
  <c r="BL34" i="17"/>
  <c r="BN34" i="17"/>
  <c r="BM34" i="17"/>
  <c r="BL50" i="17"/>
  <c r="BH50" i="17"/>
  <c r="BN50" i="17"/>
  <c r="BM50" i="17"/>
  <c r="AH8" i="16"/>
  <c r="AA8" i="16"/>
  <c r="AI8" i="16"/>
  <c r="AA58" i="16"/>
  <c r="AH58" i="16"/>
  <c r="AI58" i="16"/>
  <c r="AR40" i="7"/>
  <c r="AR44" i="7"/>
  <c r="AR48" i="7"/>
  <c r="AR52" i="7"/>
  <c r="AR58" i="7"/>
  <c r="AR12" i="7"/>
  <c r="AR16" i="7"/>
  <c r="AR20" i="7"/>
  <c r="AR24" i="7"/>
  <c r="AR30" i="7"/>
  <c r="AR34" i="7"/>
  <c r="AR38" i="7"/>
  <c r="AR42" i="7"/>
  <c r="AR46" i="7"/>
  <c r="AR50" i="7"/>
  <c r="AR54" i="7"/>
  <c r="AR9" i="7"/>
  <c r="AR13" i="7"/>
  <c r="AR17" i="7"/>
  <c r="AR21" i="7"/>
  <c r="AR25" i="7"/>
  <c r="AR29" i="7"/>
  <c r="AE63" i="7"/>
  <c r="AR56" i="7"/>
  <c r="AR11" i="7"/>
  <c r="AR15" i="7"/>
  <c r="AR19" i="7"/>
  <c r="AR23" i="7"/>
  <c r="AR27" i="7"/>
  <c r="AR31" i="7"/>
  <c r="AR35" i="7"/>
  <c r="AR39" i="7"/>
  <c r="AR43" i="7"/>
  <c r="AR47" i="7"/>
  <c r="AR51" i="7"/>
  <c r="AR55" i="7"/>
  <c r="AR57" i="7"/>
  <c r="AP57" i="7"/>
  <c r="AP8" i="7"/>
  <c r="AP45" i="7"/>
  <c r="AP58" i="7"/>
  <c r="AP16" i="7"/>
  <c r="AP20" i="7"/>
  <c r="AP24" i="7"/>
  <c r="AP30" i="7"/>
  <c r="AP34" i="7"/>
  <c r="AP38" i="7"/>
  <c r="AP42" i="7"/>
  <c r="AP46" i="7"/>
  <c r="AP50" i="7"/>
  <c r="AP54" i="7"/>
  <c r="AP9" i="7"/>
  <c r="AP13" i="7"/>
  <c r="AP17" i="7"/>
  <c r="AP25" i="7"/>
  <c r="AP33" i="7"/>
  <c r="AP37" i="7"/>
  <c r="AP41" i="7"/>
  <c r="AP10" i="7"/>
  <c r="AP14" i="7"/>
  <c r="AP18" i="7"/>
  <c r="AP26" i="7"/>
  <c r="AP32" i="7"/>
  <c r="AP36" i="7"/>
  <c r="AP40" i="7"/>
  <c r="AP44" i="7"/>
  <c r="AP48" i="7"/>
  <c r="AP56" i="7"/>
  <c r="AP27" i="7"/>
  <c r="AP47" i="7"/>
  <c r="AP55" i="7"/>
  <c r="AP12" i="7"/>
  <c r="AP21" i="7"/>
  <c r="AP29" i="7"/>
  <c r="AP49" i="7"/>
  <c r="AP53" i="7"/>
  <c r="AP22" i="7"/>
  <c r="AP52" i="7"/>
  <c r="AP11" i="7"/>
  <c r="AP15" i="7"/>
  <c r="AP19" i="7"/>
  <c r="AP23" i="7"/>
  <c r="AP31" i="7"/>
  <c r="AP35" i="7"/>
  <c r="AP39" i="7"/>
  <c r="AP43" i="7"/>
  <c r="AP51" i="7"/>
  <c r="AH63" i="7"/>
  <c r="C16" i="10" s="1"/>
  <c r="C38" i="10" s="1"/>
  <c r="AR62" i="7"/>
  <c r="AR63" i="7"/>
  <c r="AP62" i="7" l="1"/>
  <c r="AI60" i="16"/>
  <c r="AI62" i="16"/>
  <c r="AI63" i="16"/>
  <c r="AI64" i="16" s="1"/>
  <c r="AA63" i="16"/>
  <c r="AR60" i="7"/>
  <c r="AP60" i="7"/>
  <c r="AH67" i="7"/>
  <c r="C19" i="10"/>
  <c r="C21" i="10" s="1"/>
  <c r="AP63" i="7"/>
  <c r="AP64" i="7" s="1"/>
  <c r="AR64" i="7"/>
  <c r="C41" i="10"/>
  <c r="C43" i="10" l="1"/>
  <c r="Q18" i="10" l="1"/>
  <c r="AQ2" i="7"/>
  <c r="AQ3" i="7"/>
  <c r="R18" i="10" l="1"/>
  <c r="Q19" i="10"/>
  <c r="Q21" i="10" s="1"/>
  <c r="AQ10" i="7"/>
  <c r="AQ16" i="7"/>
  <c r="AQ22" i="7"/>
  <c r="AQ9" i="7"/>
  <c r="AQ15" i="7"/>
  <c r="AQ50" i="7"/>
  <c r="AQ31" i="7"/>
  <c r="AQ58" i="7"/>
  <c r="AQ38" i="7"/>
  <c r="AQ29" i="7"/>
  <c r="AQ32" i="7"/>
  <c r="AQ24" i="7"/>
  <c r="AQ33" i="7"/>
  <c r="AQ40" i="7"/>
  <c r="AQ43" i="7"/>
  <c r="AQ52" i="7"/>
  <c r="AQ51" i="7"/>
  <c r="AQ46" i="7"/>
  <c r="AQ17" i="7"/>
  <c r="AQ41" i="7"/>
  <c r="AQ18" i="7"/>
  <c r="AQ56" i="7"/>
  <c r="AQ27" i="7"/>
  <c r="AQ57" i="7"/>
  <c r="AQ12" i="7"/>
  <c r="AQ30" i="7"/>
  <c r="AQ42" i="7"/>
  <c r="AQ25" i="7"/>
  <c r="AQ49" i="7"/>
  <c r="AQ26" i="7"/>
  <c r="AQ44" i="7"/>
  <c r="AQ23" i="7"/>
  <c r="AQ39" i="7"/>
  <c r="AQ20" i="7"/>
  <c r="AQ34" i="7"/>
  <c r="AQ54" i="7"/>
  <c r="AQ13" i="7"/>
  <c r="AQ21" i="7"/>
  <c r="AQ37" i="7"/>
  <c r="AQ53" i="7"/>
  <c r="AQ14" i="7"/>
  <c r="AQ36" i="7"/>
  <c r="AQ48" i="7"/>
  <c r="AQ11" i="7"/>
  <c r="AQ19" i="7"/>
  <c r="AQ35" i="7"/>
  <c r="AQ47" i="7"/>
  <c r="AQ8" i="7"/>
  <c r="AQ55" i="7"/>
  <c r="AQ45" i="7"/>
  <c r="S18" i="10" l="1"/>
  <c r="R19" i="10"/>
  <c r="R21" i="10" s="1"/>
  <c r="AQ60" i="7"/>
  <c r="G14" i="12" s="1"/>
  <c r="D8" i="15" s="1"/>
  <c r="AQ62" i="7"/>
  <c r="AQ63" i="7"/>
  <c r="D14" i="15" l="1"/>
  <c r="T18" i="10"/>
  <c r="S19" i="10"/>
  <c r="S21" i="10" s="1"/>
  <c r="D11" i="15"/>
  <c r="G13" i="12"/>
  <c r="G19" i="12" s="1"/>
  <c r="F21" i="12" s="1"/>
  <c r="J21" i="12" s="1"/>
  <c r="D18" i="15"/>
  <c r="D18" i="10" s="1"/>
  <c r="D19" i="10" s="1"/>
  <c r="AQ64" i="7"/>
  <c r="U18" i="10" l="1"/>
  <c r="T19" i="10"/>
  <c r="T21" i="10" s="1"/>
  <c r="J14" i="15"/>
  <c r="D40" i="10"/>
  <c r="D41" i="10" s="1"/>
  <c r="E18" i="10"/>
  <c r="F18" i="10" s="1"/>
  <c r="M16" i="10"/>
  <c r="M38" i="10"/>
  <c r="J24" i="12"/>
  <c r="I37" i="12" s="1"/>
  <c r="J37" i="12" s="1"/>
  <c r="G8" i="15"/>
  <c r="G9" i="15"/>
  <c r="J9" i="15" s="1"/>
  <c r="E24" i="12"/>
  <c r="V18" i="10" l="1"/>
  <c r="U19" i="10"/>
  <c r="U21" i="10" s="1"/>
  <c r="E40" i="10"/>
  <c r="E19" i="10"/>
  <c r="E21" i="10" s="1"/>
  <c r="E31" i="12"/>
  <c r="D31" i="12" s="1"/>
  <c r="G18" i="10"/>
  <c r="F19" i="10"/>
  <c r="F21" i="10" s="1"/>
  <c r="J8" i="15"/>
  <c r="J10" i="15" s="1"/>
  <c r="G10" i="15"/>
  <c r="H8" i="15" s="1"/>
  <c r="H9" i="15" s="1"/>
  <c r="W38" i="10"/>
  <c r="G24" i="12"/>
  <c r="V19" i="10" l="1"/>
  <c r="V21" i="10" s="1"/>
  <c r="W18" i="10"/>
  <c r="E41" i="10"/>
  <c r="E43" i="10" s="1"/>
  <c r="F40" i="10"/>
  <c r="K10" i="15"/>
  <c r="E34" i="12"/>
  <c r="F37" i="12" s="1"/>
  <c r="AG38" i="10"/>
  <c r="G19" i="10"/>
  <c r="G21" i="10" s="1"/>
  <c r="H18" i="10"/>
  <c r="D34" i="12"/>
  <c r="X18" i="10" l="1"/>
  <c r="W19" i="10"/>
  <c r="W21" i="10" s="1"/>
  <c r="G40" i="10"/>
  <c r="F41" i="10"/>
  <c r="F43" i="10" s="1"/>
  <c r="G40" i="12"/>
  <c r="E37" i="12"/>
  <c r="I18" i="10"/>
  <c r="H19" i="10"/>
  <c r="H21" i="10" s="1"/>
  <c r="Y18" i="10" l="1"/>
  <c r="X19" i="10"/>
  <c r="X21" i="10" s="1"/>
  <c r="H40" i="10"/>
  <c r="G41" i="10"/>
  <c r="G43" i="10" s="1"/>
  <c r="J18" i="10"/>
  <c r="I19" i="10"/>
  <c r="I21" i="10" s="1"/>
  <c r="C16" i="14"/>
  <c r="G41" i="12"/>
  <c r="Z18" i="10" l="1"/>
  <c r="Y19" i="10"/>
  <c r="Y21" i="10" s="1"/>
  <c r="H41" i="10"/>
  <c r="H43" i="10" s="1"/>
  <c r="I40" i="10"/>
  <c r="C29" i="14"/>
  <c r="G29" i="14"/>
  <c r="C9" i="14"/>
  <c r="D29" i="14"/>
  <c r="J29" i="14"/>
  <c r="C10" i="14" s="1"/>
  <c r="E29" i="14"/>
  <c r="I29" i="14"/>
  <c r="F29" i="14"/>
  <c r="H29" i="14"/>
  <c r="K18" i="10"/>
  <c r="J19" i="10"/>
  <c r="J21" i="10" s="1"/>
  <c r="AA18" i="10" l="1"/>
  <c r="Z19" i="10"/>
  <c r="Z21" i="10" s="1"/>
  <c r="I41" i="10"/>
  <c r="I43" i="10" s="1"/>
  <c r="J40" i="10"/>
  <c r="D9" i="14"/>
  <c r="D10" i="14" s="1"/>
  <c r="E9" i="14"/>
  <c r="E10" i="14" s="1"/>
  <c r="L18" i="10"/>
  <c r="K19" i="10"/>
  <c r="K21" i="10" s="1"/>
  <c r="AB18" i="10" l="1"/>
  <c r="AA19" i="10"/>
  <c r="AA21" i="10" s="1"/>
  <c r="K40" i="10"/>
  <c r="J41" i="10"/>
  <c r="J43" i="10" s="1"/>
  <c r="F10" i="14"/>
  <c r="F9" i="14"/>
  <c r="M18" i="10"/>
  <c r="L19" i="10"/>
  <c r="L21" i="10" s="1"/>
  <c r="AC18" i="10" l="1"/>
  <c r="AB19" i="10"/>
  <c r="AB21" i="10" s="1"/>
  <c r="L40" i="10"/>
  <c r="K41" i="10"/>
  <c r="K43" i="10" s="1"/>
  <c r="D9" i="10"/>
  <c r="D31" i="10" s="1"/>
  <c r="D35" i="10" s="1"/>
  <c r="N18" i="10"/>
  <c r="N19" i="10" s="1"/>
  <c r="N21" i="10" s="1"/>
  <c r="M19" i="10"/>
  <c r="M21" i="10" s="1"/>
  <c r="AD18" i="10" l="1"/>
  <c r="AC19" i="10"/>
  <c r="AC21" i="10" s="1"/>
  <c r="L41" i="10"/>
  <c r="L43" i="10" s="1"/>
  <c r="M40" i="10"/>
  <c r="O18" i="10"/>
  <c r="O19" i="10" s="1"/>
  <c r="O21" i="10" s="1"/>
  <c r="D13" i="10"/>
  <c r="B13" i="10" s="1"/>
  <c r="B35" i="10"/>
  <c r="D43" i="10"/>
  <c r="AE18" i="10" l="1"/>
  <c r="AD19" i="10"/>
  <c r="AD21" i="10" s="1"/>
  <c r="D21" i="10"/>
  <c r="M41" i="10"/>
  <c r="M43" i="10" s="1"/>
  <c r="N40" i="10"/>
  <c r="B19" i="10"/>
  <c r="AF18" i="10" l="1"/>
  <c r="AE19" i="10"/>
  <c r="N41" i="10"/>
  <c r="O40" i="10"/>
  <c r="AE21" i="10" l="1"/>
  <c r="B24" i="10" s="1"/>
  <c r="B23" i="10" s="1"/>
  <c r="B25" i="10"/>
  <c r="AG18" i="10"/>
  <c r="AG19" i="10" s="1"/>
  <c r="AG21" i="10" s="1"/>
  <c r="AF19" i="10"/>
  <c r="AF21" i="10" s="1"/>
  <c r="N43" i="10"/>
  <c r="O41" i="10"/>
  <c r="O43" i="10" s="1"/>
  <c r="P40" i="10"/>
  <c r="P41" i="10" l="1"/>
  <c r="Q40" i="10"/>
  <c r="P43" i="10" l="1"/>
  <c r="Q41" i="10"/>
  <c r="Q43" i="10" s="1"/>
  <c r="R40" i="10"/>
  <c r="R41" i="10" l="1"/>
  <c r="R43" i="10" s="1"/>
  <c r="S40" i="10"/>
  <c r="S41" i="10" l="1"/>
  <c r="S43" i="10" s="1"/>
  <c r="T40" i="10"/>
  <c r="U40" i="10" l="1"/>
  <c r="T41" i="10"/>
  <c r="T43" i="10" s="1"/>
  <c r="U41" i="10" l="1"/>
  <c r="U43" i="10" s="1"/>
  <c r="V40" i="10"/>
  <c r="W40" i="10" l="1"/>
  <c r="V41" i="10"/>
  <c r="X40" i="10" l="1"/>
  <c r="W41" i="10"/>
  <c r="W43" i="10" s="1"/>
  <c r="V43" i="10"/>
  <c r="X41" i="10" l="1"/>
  <c r="Y40" i="10"/>
  <c r="X43" i="10" l="1"/>
  <c r="B41" i="10"/>
  <c r="Y41" i="10"/>
  <c r="Y43" i="10" s="1"/>
  <c r="Z40" i="10"/>
  <c r="Z41" i="10" l="1"/>
  <c r="Z43" i="10" s="1"/>
  <c r="AA40" i="10"/>
  <c r="AA41" i="10" l="1"/>
  <c r="AA43" i="10" s="1"/>
  <c r="AB40" i="10"/>
  <c r="AC40" i="10" l="1"/>
  <c r="AB41" i="10"/>
  <c r="AB43" i="10" s="1"/>
  <c r="AC41" i="10" l="1"/>
  <c r="AC43" i="10" s="1"/>
  <c r="AD40" i="10"/>
  <c r="AE40" i="10" l="1"/>
  <c r="AD41" i="10"/>
  <c r="AK2" i="16"/>
  <c r="AK8" i="16" s="1"/>
  <c r="AJ2" i="16"/>
  <c r="AJ8" i="16" s="1"/>
  <c r="AJ58" i="16" l="1"/>
  <c r="AJ50" i="16"/>
  <c r="AJ42" i="16"/>
  <c r="AJ34" i="16"/>
  <c r="AJ25" i="16"/>
  <c r="AJ17" i="16"/>
  <c r="AJ9" i="16"/>
  <c r="AJ60" i="16" s="1"/>
  <c r="AJ57" i="16"/>
  <c r="AJ49" i="16"/>
  <c r="AJ41" i="16"/>
  <c r="AJ33" i="16"/>
  <c r="AJ24" i="16"/>
  <c r="AJ16" i="16"/>
  <c r="AJ55" i="16"/>
  <c r="AJ51" i="16"/>
  <c r="AJ47" i="16"/>
  <c r="AJ43" i="16"/>
  <c r="AJ39" i="16"/>
  <c r="AJ35" i="16"/>
  <c r="AJ31" i="16"/>
  <c r="AJ26" i="16"/>
  <c r="AJ22" i="16"/>
  <c r="AJ18" i="16"/>
  <c r="AJ14" i="16"/>
  <c r="AJ10" i="16"/>
  <c r="AK49" i="16"/>
  <c r="AK16" i="16"/>
  <c r="AK33" i="16"/>
  <c r="AJ54" i="16"/>
  <c r="AJ46" i="16"/>
  <c r="AJ38" i="16"/>
  <c r="AJ30" i="16"/>
  <c r="AJ21" i="16"/>
  <c r="AJ13" i="16"/>
  <c r="AK41" i="16"/>
  <c r="AJ53" i="16"/>
  <c r="AJ45" i="16"/>
  <c r="AJ37" i="16"/>
  <c r="AJ29" i="16"/>
  <c r="AJ20" i="16"/>
  <c r="AJ12" i="16"/>
  <c r="AJ56" i="16"/>
  <c r="AJ52" i="16"/>
  <c r="AJ48" i="16"/>
  <c r="AJ44" i="16"/>
  <c r="AJ40" i="16"/>
  <c r="AJ36" i="16"/>
  <c r="AJ32" i="16"/>
  <c r="AJ27" i="16"/>
  <c r="AJ23" i="16"/>
  <c r="AJ19" i="16"/>
  <c r="AJ15" i="16"/>
  <c r="AJ11" i="16"/>
  <c r="AK57" i="16"/>
  <c r="AK24" i="16"/>
  <c r="AE41" i="10"/>
  <c r="AE43" i="10" s="1"/>
  <c r="AF40" i="10"/>
  <c r="AD43" i="10"/>
  <c r="AK53" i="16"/>
  <c r="AK45" i="16"/>
  <c r="AK37" i="16"/>
  <c r="AK29" i="16"/>
  <c r="AK20" i="16"/>
  <c r="AK11" i="16"/>
  <c r="AK55" i="16"/>
  <c r="AK51" i="16"/>
  <c r="AK47" i="16"/>
  <c r="AK43" i="16"/>
  <c r="AK39" i="16"/>
  <c r="AK35" i="16"/>
  <c r="AK31" i="16"/>
  <c r="AK26" i="16"/>
  <c r="AK22" i="16"/>
  <c r="AK18" i="16"/>
  <c r="AK14" i="16"/>
  <c r="AK9" i="16"/>
  <c r="AJ62" i="16"/>
  <c r="AJ63" i="16"/>
  <c r="AJ64" i="16" s="1"/>
  <c r="AK58" i="16"/>
  <c r="AK56" i="16"/>
  <c r="AK54" i="16"/>
  <c r="AK52" i="16"/>
  <c r="AK50" i="16"/>
  <c r="AK48" i="16"/>
  <c r="AK46" i="16"/>
  <c r="AK44" i="16"/>
  <c r="AK42" i="16"/>
  <c r="AK40" i="16"/>
  <c r="AK38" i="16"/>
  <c r="AK36" i="16"/>
  <c r="AK34" i="16"/>
  <c r="AK32" i="16"/>
  <c r="AK30" i="16"/>
  <c r="AK27" i="16"/>
  <c r="AK25" i="16"/>
  <c r="AK23" i="16"/>
  <c r="AK21" i="16"/>
  <c r="AK19" i="16"/>
  <c r="AK17" i="16"/>
  <c r="AK15" i="16"/>
  <c r="AK13" i="16"/>
  <c r="AK12" i="16"/>
  <c r="AK10" i="16"/>
  <c r="AF41" i="10" l="1"/>
  <c r="AG40" i="10"/>
  <c r="AG41" i="10" s="1"/>
  <c r="AK63" i="16"/>
  <c r="AK62" i="16"/>
  <c r="AK60" i="16"/>
  <c r="AG43" i="10" l="1"/>
  <c r="B47" i="10"/>
  <c r="AF43" i="10"/>
  <c r="B46" i="10" s="1"/>
  <c r="AK64" i="16"/>
  <c r="B45" i="10" l="1"/>
  <c r="BO2" i="17" l="1"/>
  <c r="BO8" i="17" s="1"/>
  <c r="BO58" i="17" l="1"/>
  <c r="BO56" i="17"/>
  <c r="BO54" i="17"/>
  <c r="BO52" i="17"/>
  <c r="BO50" i="17"/>
  <c r="BO48" i="17"/>
  <c r="BO46" i="17"/>
  <c r="BO44" i="17"/>
  <c r="BO42" i="17"/>
  <c r="BO40" i="17"/>
  <c r="BO38" i="17"/>
  <c r="BO36" i="17"/>
  <c r="BO34" i="17"/>
  <c r="BO32" i="17"/>
  <c r="BO30" i="17"/>
  <c r="BO27" i="17"/>
  <c r="BO25" i="17"/>
  <c r="BO23" i="17"/>
  <c r="BO21" i="17"/>
  <c r="BO19" i="17"/>
  <c r="BO17" i="17"/>
  <c r="BO15" i="17"/>
  <c r="BO13" i="17"/>
  <c r="BO11" i="17"/>
  <c r="BO9" i="17"/>
  <c r="BO57" i="17"/>
  <c r="BO55" i="17"/>
  <c r="BO53" i="17"/>
  <c r="BO51" i="17"/>
  <c r="BO49" i="17"/>
  <c r="BO47" i="17"/>
  <c r="BO45" i="17"/>
  <c r="BO43" i="17"/>
  <c r="BO41" i="17"/>
  <c r="BO39" i="17"/>
  <c r="BO37" i="17"/>
  <c r="BO35" i="17"/>
  <c r="BO33" i="17"/>
  <c r="BO31" i="17"/>
  <c r="BO29" i="17"/>
  <c r="BO26" i="17"/>
  <c r="BO24" i="17"/>
  <c r="BO22" i="17"/>
  <c r="BO20" i="17"/>
  <c r="BO18" i="17"/>
  <c r="BO16" i="17"/>
  <c r="BO14" i="17"/>
  <c r="BO12" i="17"/>
  <c r="BO10" i="17"/>
  <c r="BO59" i="17" l="1"/>
  <c r="BO60" i="17" s="1"/>
  <c r="X59" i="17"/>
</calcChain>
</file>

<file path=xl/comments1.xml><?xml version="1.0" encoding="utf-8"?>
<comments xmlns="http://schemas.openxmlformats.org/spreadsheetml/2006/main">
  <authors>
    <author>Aigars</author>
  </authors>
  <commentList>
    <comment ref="C20" authorId="0">
      <text>
        <r>
          <rPr>
            <sz val="10"/>
            <color indexed="81"/>
            <rFont val="Tahoma"/>
            <family val="2"/>
            <charset val="186"/>
          </rPr>
          <t>Calculating Cost Per Job | Best Practice Note 2015 (3rd Edition) 2011.gads</t>
        </r>
        <r>
          <rPr>
            <sz val="8"/>
            <color indexed="81"/>
            <rFont val="Tahoma"/>
            <family val="2"/>
            <charset val="186"/>
          </rPr>
          <t xml:space="preserve">
atbilstoša valūtas korekcija</t>
        </r>
      </text>
    </comment>
  </commentList>
</comments>
</file>

<file path=xl/comments2.xml><?xml version="1.0" encoding="utf-8"?>
<comments xmlns="http://schemas.openxmlformats.org/spreadsheetml/2006/main">
  <authors>
    <author>A</author>
  </authors>
  <commentList>
    <comment ref="C8" authorId="0">
      <text>
        <r>
          <rPr>
            <sz val="9"/>
            <color indexed="81"/>
            <rFont val="Tahoma"/>
            <family val="2"/>
          </rPr>
          <t>ik gadu no kopējo pamatlīdzekļu sākotnējām izbūves izmaksām</t>
        </r>
      </text>
    </comment>
    <comment ref="C11" authorId="0">
      <text>
        <r>
          <rPr>
            <sz val="9"/>
            <color indexed="81"/>
            <rFont val="Tahoma"/>
            <family val="2"/>
          </rPr>
          <t>ik gadu no kopējo pamatlīdzekļu sākotnējām izbūves izmaksām</t>
        </r>
      </text>
    </comment>
    <comment ref="C14" authorId="0">
      <text>
        <r>
          <rPr>
            <sz val="9"/>
            <color indexed="81"/>
            <rFont val="Tahoma"/>
            <family val="2"/>
          </rPr>
          <t>ik gadu no kopējo pamatlīdzekļu sākotnējām izbūves izmaksām</t>
        </r>
      </text>
    </comment>
  </commentList>
</comments>
</file>

<file path=xl/sharedStrings.xml><?xml version="1.0" encoding="utf-8"?>
<sst xmlns="http://schemas.openxmlformats.org/spreadsheetml/2006/main" count="1081" uniqueCount="504">
  <si>
    <t>Kārtējais</t>
  </si>
  <si>
    <t>2019</t>
  </si>
  <si>
    <t>Duļķainība</t>
  </si>
  <si>
    <t>NTU</t>
  </si>
  <si>
    <t>0.40</t>
  </si>
  <si>
    <t/>
  </si>
  <si>
    <t>A</t>
  </si>
  <si>
    <t>Dzelzs</t>
  </si>
  <si>
    <t>mg/l</t>
  </si>
  <si>
    <t>0.05</t>
  </si>
  <si>
    <t>0.02</t>
  </si>
  <si>
    <t>Garša</t>
  </si>
  <si>
    <t>nav</t>
  </si>
  <si>
    <t>Smarža</t>
  </si>
  <si>
    <t>Indras pagasta pārvalde</t>
  </si>
  <si>
    <t>Indras ūdensapgādes sistēma Gagarina iela</t>
  </si>
  <si>
    <t>Kārsavas novada pašvaldība</t>
  </si>
  <si>
    <t>Ūdeņi, Otrie Mežvidi ūdensapgādes sistēma</t>
  </si>
  <si>
    <t>Amonijs</t>
  </si>
  <si>
    <t>Aglonas novada dome</t>
  </si>
  <si>
    <t>Aglonas ūdensapgādes sistēma Jaunciema iela</t>
  </si>
  <si>
    <t>Programmas veids</t>
  </si>
  <si>
    <t>Gads</t>
  </si>
  <si>
    <t>Uzņēmums</t>
  </si>
  <si>
    <t>ŪAS</t>
  </si>
  <si>
    <t>Rādītājs</t>
  </si>
  <si>
    <t>Mērvienība</t>
  </si>
  <si>
    <t>Rezultāts (skaitlis)</t>
  </si>
  <si>
    <t>Rezultāts (teksts)</t>
  </si>
  <si>
    <t>Piegādes apjoms diennaktī (m3)</t>
  </si>
  <si>
    <t>Patērētāju skaits</t>
  </si>
  <si>
    <t>Reģistrācijas nr.</t>
  </si>
  <si>
    <t>ŪAS adrese</t>
  </si>
  <si>
    <t>Monitoringa punkts</t>
  </si>
  <si>
    <t>Komersants</t>
  </si>
  <si>
    <t>Parauga ņemšanas datums</t>
  </si>
  <si>
    <t>Īpašā norma (vērtība)</t>
  </si>
  <si>
    <t>2018</t>
  </si>
  <si>
    <t>Ciblas novada pašvaldība</t>
  </si>
  <si>
    <t>90000041258</t>
  </si>
  <si>
    <t>23.05.2018</t>
  </si>
  <si>
    <t>N</t>
  </si>
  <si>
    <t>Blontu ūdensapgādes sistēma Kundziņi</t>
  </si>
  <si>
    <t>Kundziņi, Blonti, Blontu pag., Ciblas nov., Latvija, LV- 5706</t>
  </si>
  <si>
    <t>DZĪVOJAMĀS MĀJAS VIRTUVES KRĀNS, Blonti, Blontu pag., Ciblas nov., Latvija</t>
  </si>
  <si>
    <t>5.40</t>
  </si>
  <si>
    <t>Sulfāti</t>
  </si>
  <si>
    <t>2016</t>
  </si>
  <si>
    <t>2017</t>
  </si>
  <si>
    <t>29.03.2018</t>
  </si>
  <si>
    <t>12.12.2018</t>
  </si>
  <si>
    <t>Ogres novada Pašvaldības aģentūra Rosme</t>
  </si>
  <si>
    <t>90001667758</t>
  </si>
  <si>
    <t>Tautas nams, Suntaži, Suntažu pag., Ogres nov., Latvija</t>
  </si>
  <si>
    <t>Dzīvojamās mājas virtuves krāns "Juglaslīči", Tautas nams, Suntaži, Suntažu pag., Ogres nov., Latvija</t>
  </si>
  <si>
    <t>28.08.2018</t>
  </si>
  <si>
    <t>1.13</t>
  </si>
  <si>
    <t>Valmieras pagasta ūdensapgādes sistēma Kalnieši</t>
  </si>
  <si>
    <t>bez būtiskām izmaiņām</t>
  </si>
  <si>
    <t>Amatas novada pašvaldība</t>
  </si>
  <si>
    <t>90000957242</t>
  </si>
  <si>
    <t>Drabešu ūdensapgādes sistēma Rāceņi</t>
  </si>
  <si>
    <t>Drabešu pag., Amatas nov.,  Latvija</t>
  </si>
  <si>
    <t>Rāceņi brīvkrāns, Drabešu pag., Amatas nov., Latvija</t>
  </si>
  <si>
    <t>20.06.2018</t>
  </si>
  <si>
    <t>1.53</t>
  </si>
  <si>
    <t>Drabešu ūdensapgādes sistēma Kārļi</t>
  </si>
  <si>
    <t>Kārļi, Drabešu pag.,  Latvija</t>
  </si>
  <si>
    <t>Dzīvojamā māja, Kārļi 5, Kārļi, Drabešu pag., Amatas nov., Latvija</t>
  </si>
  <si>
    <t>12.40</t>
  </si>
  <si>
    <t>Nītaures ūdensapgādes sistēma Cirīši</t>
  </si>
  <si>
    <t>Cirīši, Nītaures pag., Amatas nov.,  Latvija</t>
  </si>
  <si>
    <t>Dzīvojamā māja "Eglāji", Eglāji, Nītaures pag., Amatas nov., Latvija</t>
  </si>
  <si>
    <t>1.04</t>
  </si>
  <si>
    <t>Beļavas pagasta pārvalde</t>
  </si>
  <si>
    <t>90000025920</t>
  </si>
  <si>
    <t>Beļavas ūdensapgādes sistēma Letes</t>
  </si>
  <si>
    <t>Letes, Beļavas pag., Latvija, LV-4409</t>
  </si>
  <si>
    <t>Kkāns sadzīves telpā feldšerpunktā, Letes, Beļavas pag., Gulbenes nov., Latvija</t>
  </si>
  <si>
    <t>15.10.2018</t>
  </si>
  <si>
    <t>1.01</t>
  </si>
  <si>
    <t>10.30</t>
  </si>
  <si>
    <t>Zaubes ūdensapgādes sistēma Centrs</t>
  </si>
  <si>
    <t>Zaubes pag., Amatas nov.,  Latvija</t>
  </si>
  <si>
    <t>Aptieka, Zaubes pag., Amatas nov., Latvija</t>
  </si>
  <si>
    <t>19.09.2018</t>
  </si>
  <si>
    <t>Grobiņas namserviss</t>
  </si>
  <si>
    <t>42103012383</t>
  </si>
  <si>
    <t>Grobiņas ūdensapgādes sistēma Vairogi</t>
  </si>
  <si>
    <t>Grobiņas pag., Grobiņas nov., Latvija, LV 3430</t>
  </si>
  <si>
    <t>Dzīvokļa Nr. 2 virtuvē, Nākotnes-2, Grobiņas pag., Grobiņas nov., Latvija, LV - 3430</t>
  </si>
  <si>
    <t>17.10.2018</t>
  </si>
  <si>
    <t>0.605</t>
  </si>
  <si>
    <t>Grobiņas ūdensapgādes sistēma Krusiņas</t>
  </si>
  <si>
    <t>Dzīvōkļa Nr.8 virtuvē, Silenieki-8, Grobiņas pag., Grobiņas nov., Latvija, LV-3430</t>
  </si>
  <si>
    <t>14.50</t>
  </si>
  <si>
    <t>Bārtas ūdensapgādes sistēma Birzes Puļķi</t>
  </si>
  <si>
    <t>Bārtas pag., Grobiņas nov., Latvija, LV 3482</t>
  </si>
  <si>
    <t>Dzīvojamās mājas virtuvē, Sūnas, Bārta, Bārtas pag., Grobiņas nov., Latvija, LV- 3482</t>
  </si>
  <si>
    <t>1.63</t>
  </si>
  <si>
    <t>Grobiņas ūdensapgādes sistēma Cimdenieki</t>
  </si>
  <si>
    <t>Cimdenieki, Grobiņas pag., Grobiņas nov., Latvija, LV 3430</t>
  </si>
  <si>
    <t>Dzīvokļa virtuvē, Sporta iela 2, Cimdenieki, Grobiņas pag., Grobiņas nov., Latvija, LV-3430</t>
  </si>
  <si>
    <t>06.11.2018</t>
  </si>
  <si>
    <t>0.16</t>
  </si>
  <si>
    <t>Grobiņas ūdensapgādes sistēma Gūžas</t>
  </si>
  <si>
    <t>Dzīvokļa virtuvē, Eglāji-1, Gūžas, Grobiņas pag., Grobiņas nov., Latvija, LV-3430</t>
  </si>
  <si>
    <t>05.11.2018</t>
  </si>
  <si>
    <t>2.75</t>
  </si>
  <si>
    <t>Drabešu ūdensapgādes sistēma Meijermuiža</t>
  </si>
  <si>
    <t>Meijermuiža, Drabešu pag.,  Latvija</t>
  </si>
  <si>
    <t>Dzīvojamā māja, Meijermuiža 2-3, Meijermuiža, Drabešu pag., Amatas nov., Latvija</t>
  </si>
  <si>
    <t>10.10.2018</t>
  </si>
  <si>
    <t>0.07</t>
  </si>
  <si>
    <t>vāja</t>
  </si>
  <si>
    <t>izteikta</t>
  </si>
  <si>
    <t>Durbes KS</t>
  </si>
  <si>
    <t>42103041204</t>
  </si>
  <si>
    <t>Durbes ūdensapgādes sistēma Līguti</t>
  </si>
  <si>
    <t>Līguti 1, Durbes pag., Durbes nov., Latvija, LV3440</t>
  </si>
  <si>
    <t>Dzīvokļa virtuvē, Līguti 1-10, Durbes pag., Durbes nov., Latvija, LV - 3440</t>
  </si>
  <si>
    <t>05.06.2018</t>
  </si>
  <si>
    <t>SIA Talsu ūdens</t>
  </si>
  <si>
    <t>49003000076</t>
  </si>
  <si>
    <t>Valdemārpils ūdensapgādes sistēma Parka iela</t>
  </si>
  <si>
    <t>Parka iela 5, Valdemārpils, Talsu nov., Latvija, LV-3260</t>
  </si>
  <si>
    <t>virtuve no krāna PII Saulstariņš, Jaunā iela 1, Valdemārpils, Talsu nov., Latvija</t>
  </si>
  <si>
    <t>13.03.2019</t>
  </si>
  <si>
    <t>1.800</t>
  </si>
  <si>
    <t>Audita</t>
  </si>
  <si>
    <t>326.0</t>
  </si>
  <si>
    <t>Rēzeknes novada pašvaldība Čornajas pagasta pārvalde</t>
  </si>
  <si>
    <t>90000014601</t>
  </si>
  <si>
    <t>Ratnieku ūdensapgādes sistēma</t>
  </si>
  <si>
    <t>Ratnieki, Čornajas pag., Rēzeknes nov., Latvija, LV - 4617</t>
  </si>
  <si>
    <t>Čornajas pag., Ratnieku c., dzīv. mājas Nr.2 virtuves krāns, Ratnieki, Čornajas pag., Rēzeknes nov., Latvija</t>
  </si>
  <si>
    <t>20.03.2019</t>
  </si>
  <si>
    <t>0.160</t>
  </si>
  <si>
    <t>Kokneses novada dome</t>
  </si>
  <si>
    <t>90000043494</t>
  </si>
  <si>
    <t>Bebru ūdensapgādes sistēma</t>
  </si>
  <si>
    <t>Bebru pag., Kokneses nov.,  Latvija</t>
  </si>
  <si>
    <t>Bebru pamatskolas ēdnīca no krāna, Vecbebri, Bebru pag., Kokneses nov., Latvija</t>
  </si>
  <si>
    <t>29.03.2017</t>
  </si>
  <si>
    <t>0.67</t>
  </si>
  <si>
    <t>Līvānu novada dome</t>
  </si>
  <si>
    <t>90000065595</t>
  </si>
  <si>
    <t>90000065754</t>
  </si>
  <si>
    <t>Aglona, Aglonas pag.,  Latvija, 5304</t>
  </si>
  <si>
    <t>virtuves krāns, Sociālais dienests-virtuve, Aglona, Aglonas pag., Aglonas nov., Latvija</t>
  </si>
  <si>
    <t>12.04.2017</t>
  </si>
  <si>
    <t>90000017398</t>
  </si>
  <si>
    <t>Ūdeņi, Otrie Mežvidi, Mežvidu pag., Kārsavas nov., Latvija, LV- 5725</t>
  </si>
  <si>
    <t>dzīvojamās mājas "Kalmes" virtuves krāns, Mežvidu pag., Kārsavas nov., Latvija</t>
  </si>
  <si>
    <t>26.04.2017</t>
  </si>
  <si>
    <t>0.10</t>
  </si>
  <si>
    <t>07.11.2017</t>
  </si>
  <si>
    <t>Neretas novada pašvaldība</t>
  </si>
  <si>
    <t>90009116384</t>
  </si>
  <si>
    <t>Pilskalnes Darbnīcas ūdensapgādes sistēma</t>
  </si>
  <si>
    <t>Nākotnes iela 4, Pilskalne, Latvija</t>
  </si>
  <si>
    <t>Pilskalnes pagasta pārvaldes ēkas tualetes krāns, Nākotnes iela 4, Pilskalne, Pilskalnes pag., Neretas nov., Latvija, LV-5110</t>
  </si>
  <si>
    <t>0.980</t>
  </si>
  <si>
    <t>ievērojama</t>
  </si>
  <si>
    <t>Jaunjelgavas novada dome</t>
  </si>
  <si>
    <t>90000074333</t>
  </si>
  <si>
    <t>Jaunjelgavas ūdensapgādes sistēma Kalna iela</t>
  </si>
  <si>
    <t>Kalna iela , Jaunjelgava, Jaunjelgavas nov., Latvija, LV - 5134</t>
  </si>
  <si>
    <t>dzīvojamā ēkā no krāna, Kalna iela 30, Jaunjelgava, Jaunjelgavas nov., Latvija</t>
  </si>
  <si>
    <t>13.09.2017</t>
  </si>
  <si>
    <t>VNK serviss</t>
  </si>
  <si>
    <t>41203017566</t>
  </si>
  <si>
    <t>Ugāles ūdensapgādes sistēma Kalna skola</t>
  </si>
  <si>
    <t>Ugāles pag., Ventspils nov., Latvija, LV-3615</t>
  </si>
  <si>
    <t>Virtuvē no krāna Kalnaskola-2, Ugāles pag., Ventspils nov., Latvija</t>
  </si>
  <si>
    <t>07.06.2017</t>
  </si>
  <si>
    <t>12.90</t>
  </si>
  <si>
    <t>Ugāles ūdensapgādes sistēma Rīgas adītājs</t>
  </si>
  <si>
    <t>Ģērbtuvē no krāna SIA Silteks, Ugāles pag., Ventspils nov., Latvija</t>
  </si>
  <si>
    <t>Ugāles ūdensapgādes sistēma Virpes kalns</t>
  </si>
  <si>
    <t>Virtuvē no krāna mājas Āres, Ugāles pagasts, Āres, Ugāle, Ugāles pag., Ventspils nov., Latvija</t>
  </si>
  <si>
    <t>1.57</t>
  </si>
  <si>
    <t>Limbažu komunālserviss</t>
  </si>
  <si>
    <t>46603000255</t>
  </si>
  <si>
    <t>Vitrupes ūdensapgādes sistēma</t>
  </si>
  <si>
    <t>Vitrupe, Viļķenes pag., Limbažu nov., Latvija</t>
  </si>
  <si>
    <t>Dzīvojamā māja Nr.1, Vitrupe, Viļķenes pag., Limbažu nov., Latvija</t>
  </si>
  <si>
    <t>08.08.2017</t>
  </si>
  <si>
    <t>0.17</t>
  </si>
  <si>
    <t>90000018478</t>
  </si>
  <si>
    <t>Vaivodu ūdensapgādes sistēma</t>
  </si>
  <si>
    <t>Vaivodi, Indras pag.,  Latvija, 5664</t>
  </si>
  <si>
    <t>krans, Daudzdzīvokļu dzīv.māja Nr.6-virtuve, Vaivodi, Indras pag., Krāslavas nov., Latvija</t>
  </si>
  <si>
    <t>14.03.2018</t>
  </si>
  <si>
    <t>Gagarina iela 4, Indra, Indras pag., Krāslavas nov., Latvija, 5664</t>
  </si>
  <si>
    <t>virtuves krāns, Tereškovas iela 4-virtuve, Indra, Indras pag., Krāslavas nov., Latvija</t>
  </si>
  <si>
    <t>06.05.2018</t>
  </si>
  <si>
    <t>1.11</t>
  </si>
  <si>
    <t>Lutriņi SIA</t>
  </si>
  <si>
    <t>48503000558</t>
  </si>
  <si>
    <t>Lutriņu ūdensapgādes sistēma Kūdrāji</t>
  </si>
  <si>
    <t>Kūdrāji, Lutriņu pag., Saldus nov.,  Latvija, LV 3861</t>
  </si>
  <si>
    <t>Ferma "Krimeldas", no krāna Nr. 1, Krimeldes, Lutriņu pag., Saldus nov., Latvija, LV 3861</t>
  </si>
  <si>
    <t>10.04.2018</t>
  </si>
  <si>
    <t>ļoti izteikta</t>
  </si>
  <si>
    <t>Lutriņu ūdensapgādes sistēma Vizuļi</t>
  </si>
  <si>
    <t>Vizuļi, Lutriņu pag., Saldus nov.,  Latvija, LV 3861</t>
  </si>
  <si>
    <t>Ferma "Vizuļi", no krāna Nr. 1, Vizuļi, Lutriņu pag., Saldus nov., Latvija, LV 3861</t>
  </si>
  <si>
    <t>Apvienotā Jaunlutriņu un Šķēdes pagasta pārvalde</t>
  </si>
  <si>
    <t>90000051203</t>
  </si>
  <si>
    <t>Ošenieku ūdensapgādes sistēma</t>
  </si>
  <si>
    <t>Ošenieki, Jaunlutriņu pag.,  Latvija, LV 3876</t>
  </si>
  <si>
    <t>Koplietojamais krāns, "Bibliotēka", Ošenieki, Jaunlutriņu pag., Saldus nov., Latvija, LV - 3876</t>
  </si>
  <si>
    <t>17.04.2018</t>
  </si>
  <si>
    <t>Zaņas pagasta pārvalde</t>
  </si>
  <si>
    <t>90000052124</t>
  </si>
  <si>
    <t>Zaņas ūdensapgādes sistēma Brīniņi</t>
  </si>
  <si>
    <t>Brīniņi, Zaņas pag., Saldus nov.,  Latvija, LV 3897</t>
  </si>
  <si>
    <t>Dzīvojamā māja "Brīniņi", virtuvē, "Brīniņi", Brīniņi, Zaņas pag., Saldus nov., Latvija, LV - 3882</t>
  </si>
  <si>
    <t>19.04.2018</t>
  </si>
  <si>
    <t>0.790</t>
  </si>
  <si>
    <t>Zaņas ūdensapgādes sistēma Zaņas muiža</t>
  </si>
  <si>
    <t>Zaņas muiža, Zaņas pag., Saldus nov.,  Latvija, LV 3897</t>
  </si>
  <si>
    <t>Dzīvojamās mājas "Mēneši" virtuvē, dzīvojamā māja "Mēneši", Zaņas muiža, Zaņas pag., Saldus nov., Latvija, LV - 3897</t>
  </si>
  <si>
    <t>3.82</t>
  </si>
  <si>
    <t>IZTEIKTA</t>
  </si>
  <si>
    <t>Balvu novada pašvaldības Tilžas pagasta pārvalde</t>
  </si>
  <si>
    <t>90000034330</t>
  </si>
  <si>
    <t>Tilžas ūdensapgādes sistēma Darbnīcas</t>
  </si>
  <si>
    <t>Darbnīcas, Tilža, Tilžas pag.,  Latvija, LV - 4572</t>
  </si>
  <si>
    <t>Krāns virtuvē, Raiņa iela 22A, Tilža, Tilžas pag., Balvu nov., Latvija</t>
  </si>
  <si>
    <t>22.05.2018</t>
  </si>
  <si>
    <t>1.00</t>
  </si>
  <si>
    <t>Tilžas ūdensapgādes sistēma Plēsums</t>
  </si>
  <si>
    <t>Plēsums, Tilža, Tilžas pag.,  Latvija, LV - 4572</t>
  </si>
  <si>
    <t>Virtuves krāns, Eglīši, Plēsumi, Eglīši, Tilžas pag., Balvu nov., Latvija</t>
  </si>
  <si>
    <t>Jaunsilavas ūdensapgādes sistēma</t>
  </si>
  <si>
    <t>Jaunsilavas, Turku pag.,  Latvija, 5316</t>
  </si>
  <si>
    <t>Dzīvojamās mājas sanitārā telpa, Jaunsilavas, Turku pag., Līvānu nov., Latvija</t>
  </si>
  <si>
    <t>31.05.2018</t>
  </si>
  <si>
    <t>Kokneses komunālie pakalpojumi</t>
  </si>
  <si>
    <t>48703001147</t>
  </si>
  <si>
    <t>Kokneses ūdensapgādes sistēma 1905. gada iela</t>
  </si>
  <si>
    <t>1905. gada iela 51, Koknese,  Latvija</t>
  </si>
  <si>
    <t>dzīvoklī aukstā ūdens krāns, 1905. gada iela 51A, Koknese, Kokneses pag., Kokneses nov., Latvija</t>
  </si>
  <si>
    <t>Viesītes komunālā pārvalde</t>
  </si>
  <si>
    <t>55403000541</t>
  </si>
  <si>
    <t>Lones ūdensapgādes sistēma Ezera iela</t>
  </si>
  <si>
    <t>Ezera iela , Lone, Latvija</t>
  </si>
  <si>
    <t>Kultūras nams, krāns ar aukstā ūdens padevi, Ezera iela , Lone, Saukas pag., Viesītes nov., Latvija</t>
  </si>
  <si>
    <t>25.06.2018</t>
  </si>
  <si>
    <t>Vārkavas novada dome</t>
  </si>
  <si>
    <t>90000065434</t>
  </si>
  <si>
    <t>Vanagu ūdensapgādes sistēma</t>
  </si>
  <si>
    <t>Vanagi, Upmalas pag.,  Latvija, 5335</t>
  </si>
  <si>
    <t>krāns pārtika blokā Informācijas un atbalsta centrā "Vanagi", Vanagi, Upmalas pag., Vārkavas nov., Latvija</t>
  </si>
  <si>
    <t>16.50</t>
  </si>
  <si>
    <t>Rimicānu ūdensapgādes sistēma</t>
  </si>
  <si>
    <t>Rimicāni, Rožkalnu pag.,  Latvija, 5325</t>
  </si>
  <si>
    <t>krāns Rožkalnu pagasta pārvaldes ēkā, Rimicāni, Rožkalnu pag., Vārkavas nov., Latvija</t>
  </si>
  <si>
    <t>1.17</t>
  </si>
  <si>
    <t>Lutriņu ūdensapgādes sistēma Dzirnieki</t>
  </si>
  <si>
    <t>Dzirnieki, Lutriņu pag., Saldus nov., Latvija</t>
  </si>
  <si>
    <t>Ferma "Dzirnieki", no krāna Nr. 1, Dzirnieki 3, Lutriņu pag., Saldus nov., Latvija, LV 3861</t>
  </si>
  <si>
    <t>11.09.2018</t>
  </si>
  <si>
    <t>Lutriņu ūdensapgādes sistēma Mežmaļi</t>
  </si>
  <si>
    <t>Mežmaļi, Lašupe, Lutriņu pag.,  Latvija, LV 3861</t>
  </si>
  <si>
    <t>Dzīvoklī Nr. 4, virtuvē, Mežmaļi, Lutriņu pag., Saldus nov., Latvija, LV 3861</t>
  </si>
  <si>
    <t>18.09.2018</t>
  </si>
  <si>
    <t>0.97</t>
  </si>
  <si>
    <t>Tilžas ūdensapgādes sistēma Ceļu daļa</t>
  </si>
  <si>
    <t>Tilža, Tilžas pag.,  Latvija, LV - 4572</t>
  </si>
  <si>
    <t>Krāns virtuvē, Lazdu iela 6A, Tilža, Tilžas pag., Balvu nov., Latvija</t>
  </si>
  <si>
    <t>bez vērtības</t>
  </si>
  <si>
    <t>Naujenes pakalpojumu serviss</t>
  </si>
  <si>
    <t>41503008685</t>
  </si>
  <si>
    <t>Birkineļu ūdensapgādes sistēma</t>
  </si>
  <si>
    <t>Birkineļi, Kalkūnes pag., Daugavpils nov., Latvija</t>
  </si>
  <si>
    <t>virtuves krāns, Muzeja ēka, Birkineļi, Kalkūnes pag., Daugavpils nov., Latvija</t>
  </si>
  <si>
    <t>27.06.2018</t>
  </si>
  <si>
    <t>Madonas ūdens</t>
  </si>
  <si>
    <t>47103001173</t>
  </si>
  <si>
    <t>Sarkaņu ūdensapgādes sistēma</t>
  </si>
  <si>
    <t>Sarkaņi, Sarkaņu pag., Madonas nov., Latvija, LV-4870</t>
  </si>
  <si>
    <t>Virtuves krāns, Rīta iela 2, Sarkaņi, Sarkaņu pag., Madonas nov., Latvija</t>
  </si>
  <si>
    <t>20.02.2018</t>
  </si>
  <si>
    <t>Priekules novada dome</t>
  </si>
  <si>
    <t>90000031601</t>
  </si>
  <si>
    <t>Gramzdas ūdensapgādes sistēma Liepas</t>
  </si>
  <si>
    <t>Aizvīķi, Gramzdas pag., Priekules nov., Latvija, LV3486</t>
  </si>
  <si>
    <t>Feldšerpunkta telpas krāns, Gramzda, Gramzdas pag., Priekules nov., Latvija, LV - 3486</t>
  </si>
  <si>
    <t>15.05.2018</t>
  </si>
  <si>
    <t>0.923</t>
  </si>
  <si>
    <t>Rucavas novada pašvaldība</t>
  </si>
  <si>
    <t>90000059230</t>
  </si>
  <si>
    <t>Rucavas ūdensapgādes sistēma Zundes</t>
  </si>
  <si>
    <t>Rucavas pag., Rucavas nov.,  Latvija, LV3477</t>
  </si>
  <si>
    <t>virtuves krāns, Rucavas pamatskola, Rucavas pag., Rucavas nov., Latvija</t>
  </si>
  <si>
    <t>03.09.2018</t>
  </si>
  <si>
    <t>Fluorīdi</t>
  </si>
  <si>
    <t>1.700</t>
  </si>
  <si>
    <t>Zaņas ūdensapgādes sistēma Bumbieri</t>
  </si>
  <si>
    <t>Bumbieri, Zaņas pag., Saldus nov.,  Latvija, LV 3897</t>
  </si>
  <si>
    <t>Dzīvokļa virtuvē, Avotu ielā 4, dz.14, Avotu iela 4, dz.14, Bumbieri, Zaņas pag., Saldus nov., Latvija, LV - 3897</t>
  </si>
  <si>
    <t>0.51</t>
  </si>
  <si>
    <t>Ogres novada ūdensapgādes sistēma - Suntaži JUGLA</t>
  </si>
  <si>
    <t>Atbilstība MK 671 normai</t>
  </si>
  <si>
    <t>Krāslavas nami</t>
  </si>
  <si>
    <t>45903001693</t>
  </si>
  <si>
    <t>Krāslavas ūdensapgādes sistēma</t>
  </si>
  <si>
    <t>Rīgas iela 165, Krāslava,  Latvija, 5601</t>
  </si>
  <si>
    <t>Poļu skola, trauku mazgātuves krāns, Rēzeknes iela 39-Poļu skola, Krāslava, Krāslavas nov., Latvija</t>
  </si>
  <si>
    <t>Mangāns</t>
  </si>
  <si>
    <t>0.006</t>
  </si>
  <si>
    <t>Maltas dzīvokļu komunālās saimniecības uzņēmums, PSIA</t>
  </si>
  <si>
    <t>42403000932</t>
  </si>
  <si>
    <t>Zosnas ūdensapgādes sistēma</t>
  </si>
  <si>
    <t>Zosna, Lūznavas pag., Rēzeknes nov., Latvija, LV-4627</t>
  </si>
  <si>
    <t>dzīvokļa virtuves krāns, Dārzu iela 1, Zosna, Lūznavas pag., Rēzeknes nov., Latvija</t>
  </si>
  <si>
    <t>26.09.2018</t>
  </si>
  <si>
    <t>8.72</t>
  </si>
  <si>
    <t>Gaviezes ūdensapgādes sistēma Centrs</t>
  </si>
  <si>
    <t>Gavieze, Gaviezes pag., Grobiņas nov., Latvija, LV 3431</t>
  </si>
  <si>
    <t>Dzīvokļa Nr. 1 virtuvē, Vītoli-1, Gavieze, Gaviezes pag., Grobiņas nov., Latvija, LV-3431</t>
  </si>
  <si>
    <t>22.10.2018</t>
  </si>
  <si>
    <t>6.25</t>
  </si>
  <si>
    <t>Saimniecība 24</t>
  </si>
  <si>
    <t>44103056719</t>
  </si>
  <si>
    <t>Pilāti, Valmieras pag., Burtnieku nov., Latvija, LV-4219</t>
  </si>
  <si>
    <t>"Kalnieši", Pilāti, Valmieras pag., Burtnieku nov., Latvija</t>
  </si>
  <si>
    <t>17.09.2018</t>
  </si>
  <si>
    <t>23.40</t>
  </si>
  <si>
    <t>m3/cilv</t>
  </si>
  <si>
    <t>m3/h</t>
  </si>
  <si>
    <t>max m3/dnn</t>
  </si>
  <si>
    <t>min m3/dnn</t>
  </si>
  <si>
    <t>oeficients</t>
  </si>
  <si>
    <t>Iedzīvotāju skaits</t>
  </si>
  <si>
    <t>Līdz 100</t>
  </si>
  <si>
    <r>
      <t xml:space="preserve">β  </t>
    </r>
    <r>
      <rPr>
        <vertAlign val="subscript"/>
        <sz val="11"/>
        <color theme="1"/>
        <rFont val="Calibri"/>
        <family val="2"/>
        <charset val="186"/>
        <scheme val="minor"/>
      </rPr>
      <t>max</t>
    </r>
  </si>
  <si>
    <r>
      <t xml:space="preserve">β  </t>
    </r>
    <r>
      <rPr>
        <vertAlign val="subscript"/>
        <sz val="11"/>
        <color theme="1"/>
        <rFont val="Calibri"/>
        <family val="2"/>
        <charset val="186"/>
        <scheme val="minor"/>
      </rPr>
      <t>min</t>
    </r>
  </si>
  <si>
    <t>Koeficients</t>
  </si>
  <si>
    <t>1000000 un vairāk</t>
  </si>
  <si>
    <r>
      <t>K</t>
    </r>
    <r>
      <rPr>
        <vertAlign val="subscript"/>
        <sz val="11"/>
        <color theme="1"/>
        <rFont val="Calibri"/>
        <family val="2"/>
        <charset val="186"/>
        <scheme val="minor"/>
      </rPr>
      <t>h</t>
    </r>
    <r>
      <rPr>
        <sz val="11"/>
        <color theme="1"/>
        <rFont val="Calibri"/>
        <family val="2"/>
        <charset val="186"/>
        <scheme val="minor"/>
      </rPr>
      <t xml:space="preserve"> – ūdens patēriņa nevienmērības koeficientu stundā - nosaka, izmantojot šādu formulu:</t>
    </r>
  </si>
  <si>
    <r>
      <t>K</t>
    </r>
    <r>
      <rPr>
        <vertAlign val="subscript"/>
        <sz val="11"/>
        <color theme="1"/>
        <rFont val="Calibri"/>
        <family val="2"/>
        <charset val="186"/>
        <scheme val="minor"/>
      </rPr>
      <t>h.max</t>
    </r>
    <r>
      <rPr>
        <sz val="11"/>
        <color theme="1"/>
        <rFont val="Calibri"/>
        <family val="2"/>
        <charset val="186"/>
        <scheme val="minor"/>
      </rPr>
      <t xml:space="preserve"> = a</t>
    </r>
    <r>
      <rPr>
        <vertAlign val="subscript"/>
        <sz val="11"/>
        <color theme="1"/>
        <rFont val="Calibri"/>
        <family val="2"/>
        <charset val="186"/>
        <scheme val="minor"/>
      </rPr>
      <t>max</t>
    </r>
    <r>
      <rPr>
        <sz val="11"/>
        <color theme="1"/>
        <rFont val="Calibri"/>
        <family val="2"/>
        <charset val="186"/>
        <scheme val="minor"/>
      </rPr>
      <t xml:space="preserve"> b</t>
    </r>
    <r>
      <rPr>
        <vertAlign val="subscript"/>
        <sz val="11"/>
        <color theme="1"/>
        <rFont val="Calibri"/>
        <family val="2"/>
        <charset val="186"/>
        <scheme val="minor"/>
      </rPr>
      <t>max</t>
    </r>
    <r>
      <rPr>
        <sz val="11"/>
        <color theme="1"/>
        <rFont val="Calibri"/>
        <family val="2"/>
        <charset val="186"/>
        <scheme val="minor"/>
      </rPr>
      <t xml:space="preserve"> (4)</t>
    </r>
  </si>
  <si>
    <r>
      <t>K</t>
    </r>
    <r>
      <rPr>
        <vertAlign val="subscript"/>
        <sz val="11"/>
        <color theme="1"/>
        <rFont val="Calibri"/>
        <family val="2"/>
        <charset val="186"/>
        <scheme val="minor"/>
      </rPr>
      <t>h.min</t>
    </r>
    <r>
      <rPr>
        <sz val="11"/>
        <color theme="1"/>
        <rFont val="Calibri"/>
        <family val="2"/>
        <charset val="186"/>
        <scheme val="minor"/>
      </rPr>
      <t xml:space="preserve"> = a</t>
    </r>
    <r>
      <rPr>
        <vertAlign val="subscript"/>
        <sz val="11"/>
        <color theme="1"/>
        <rFont val="Calibri"/>
        <family val="2"/>
        <charset val="186"/>
        <scheme val="minor"/>
      </rPr>
      <t>min</t>
    </r>
    <r>
      <rPr>
        <sz val="11"/>
        <color theme="1"/>
        <rFont val="Calibri"/>
        <family val="2"/>
        <charset val="186"/>
        <scheme val="minor"/>
      </rPr>
      <t xml:space="preserve"> b</t>
    </r>
    <r>
      <rPr>
        <vertAlign val="subscript"/>
        <sz val="11"/>
        <color theme="1"/>
        <rFont val="Calibri"/>
        <family val="2"/>
        <charset val="186"/>
        <scheme val="minor"/>
      </rPr>
      <t>min</t>
    </r>
    <r>
      <rPr>
        <sz val="11"/>
        <color theme="1"/>
        <rFont val="Calibri"/>
        <family val="2"/>
        <charset val="186"/>
        <scheme val="minor"/>
      </rPr>
      <t xml:space="preserve"> , kur:</t>
    </r>
  </si>
  <si>
    <r>
      <t>a – koeficients, ko nosaka, ņemot vērā dzīvojamo ēku labiekārtotības pakāpi, uzņēmuma darba režīmu un vietējos apstākļus, kur a</t>
    </r>
    <r>
      <rPr>
        <vertAlign val="subscript"/>
        <sz val="11"/>
        <color theme="1"/>
        <rFont val="Calibri"/>
        <family val="2"/>
        <charset val="186"/>
        <scheme val="minor"/>
      </rPr>
      <t>max</t>
    </r>
    <r>
      <rPr>
        <sz val="11"/>
        <color theme="1"/>
        <rFont val="Calibri"/>
        <family val="2"/>
        <charset val="186"/>
        <scheme val="minor"/>
      </rPr>
      <t xml:space="preserve"> = 1,2 – 1,4, bet a</t>
    </r>
    <r>
      <rPr>
        <vertAlign val="subscript"/>
        <sz val="11"/>
        <color theme="1"/>
        <rFont val="Calibri"/>
        <family val="2"/>
        <charset val="186"/>
        <scheme val="minor"/>
      </rPr>
      <t>min</t>
    </r>
    <r>
      <rPr>
        <sz val="11"/>
        <color theme="1"/>
        <rFont val="Calibri"/>
        <family val="2"/>
        <charset val="186"/>
        <scheme val="minor"/>
      </rPr>
      <t xml:space="preserve"> = 0,4 – 0,6.</t>
    </r>
  </si>
  <si>
    <t>b – koeficients, ko nosaka, ņemot vērā iedzīvotāju skaitu centralizētās ūdensapgādes pakalpojumu sniegšanas teritorijā (šī būvnormatīva pielikuma 2. tabula).</t>
  </si>
  <si>
    <t>bmax</t>
  </si>
  <si>
    <t>amax</t>
  </si>
  <si>
    <t>EUR</t>
  </si>
  <si>
    <t>TREND</t>
  </si>
  <si>
    <t>m3/dnn</t>
  </si>
  <si>
    <t>LVL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</si>
  <si>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</si>
  <si>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</si>
  <si>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</si>
  <si>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</si>
  <si>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</si>
  <si>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</si>
  <si>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</si>
  <si>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</si>
  <si>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</si>
  <si>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</si>
  <si>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</si>
  <si>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</si>
  <si>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</si>
  <si>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</si>
  <si>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</si>
  <si>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2005=100</t>
  </si>
  <si>
    <t>2015=100</t>
  </si>
  <si>
    <t>Procentos pret iepriekšējo periodu (2015)</t>
  </si>
  <si>
    <t>m3/dnn [max]</t>
  </si>
  <si>
    <t>Projekta ekonomiskie rādītāji - ĪSTERMIŅA</t>
  </si>
  <si>
    <t>disk. faktors</t>
  </si>
  <si>
    <t>Ekonomiskie ieguvumi; tūkst. EUR</t>
  </si>
  <si>
    <t>Investīciju ieguldījumu ietekme - Īstermiņa</t>
  </si>
  <si>
    <t>Ekonomiskie ieguvumi</t>
  </si>
  <si>
    <t>Ekonomiskie izdevumi; tūkst. EUR</t>
  </si>
  <si>
    <t>Investīciju apjoms ekonomiskajās cenās</t>
  </si>
  <si>
    <t xml:space="preserve">Personāla izmaksas </t>
  </si>
  <si>
    <t>Ekonomiskie izdevumi</t>
  </si>
  <si>
    <t>Ekonomisko ieguvumu-izdevumu naudas plūsma; tūkst. EUR</t>
  </si>
  <si>
    <t>Reālā ekonomiskā diskonta likme</t>
  </si>
  <si>
    <t xml:space="preserve">Investīciju ekonomiskā iekšējā peļņas norma (ERR) </t>
  </si>
  <si>
    <t xml:space="preserve">Investīciju ekonomiskā tīrā šodienas vērtība (ENPV) </t>
  </si>
  <si>
    <t>tūkst. EUR</t>
  </si>
  <si>
    <t xml:space="preserve">Investīciju ekonomiskā ieguvumu - izmaksu rādītājs (B/C) </t>
  </si>
  <si>
    <t>Projekta ekonomiskie rādītāji - ILGTERMIŅA</t>
  </si>
  <si>
    <t>investīcijas; EUR</t>
  </si>
  <si>
    <t>WTP;  EUR/gadā</t>
  </si>
  <si>
    <t>mājsaimniecības lielums</t>
  </si>
  <si>
    <t>m'jasaimniecības</t>
  </si>
  <si>
    <t>ha</t>
  </si>
  <si>
    <t>uzraudzība</t>
  </si>
  <si>
    <t>projektēšana</t>
  </si>
  <si>
    <t>y = bx + a</t>
  </si>
  <si>
    <r>
      <t>y = ae</t>
    </r>
    <r>
      <rPr>
        <b/>
        <vertAlign val="superscript"/>
        <sz val="12"/>
        <color rgb="FFFF0000"/>
        <rFont val="Calibri"/>
        <family val="2"/>
      </rPr>
      <t>bx</t>
    </r>
  </si>
  <si>
    <t>y = a*ln(x)+b</t>
  </si>
  <si>
    <t>a=</t>
  </si>
  <si>
    <t>b=</t>
  </si>
  <si>
    <t>Lineārais</t>
  </si>
  <si>
    <t>Exponencialais</t>
  </si>
  <si>
    <t>Logoritmiskais</t>
  </si>
  <si>
    <t>vidējā</t>
  </si>
  <si>
    <t>standarta novirze</t>
  </si>
  <si>
    <t>novirze no vidējā</t>
  </si>
  <si>
    <t># Sadalītas investīcijas Būvdarbos un Iekārtās</t>
  </si>
  <si>
    <t># Sadalītas investīcijas Darba apmaksā un Materiālos</t>
  </si>
  <si>
    <t># Aprēķināta no investīcijām samaksātais neto darba algās (ekonomisko ieguvumu aprēķinam)</t>
  </si>
  <si>
    <t># Aprēķināta investīcijas ekonomiskās cenās (ekonomisko izdevumu aprēķinam)</t>
  </si>
  <si>
    <t>Kopā</t>
  </si>
  <si>
    <t>Kopējās izmaksas bez PVN</t>
  </si>
  <si>
    <t>Būvdarbi</t>
  </si>
  <si>
    <t>Iekārtas</t>
  </si>
  <si>
    <t>Izdevumu daļa darbaspēkam</t>
  </si>
  <si>
    <t>Materiāli</t>
  </si>
  <si>
    <t>Imports</t>
  </si>
  <si>
    <t>atskaitāmie Nodokļi</t>
  </si>
  <si>
    <t>IIN</t>
  </si>
  <si>
    <t>VSAOI</t>
  </si>
  <si>
    <t>Nodokļos aiziet</t>
  </si>
  <si>
    <t>Pēc korekcijas aprēķināts samaksātais neto darba algās</t>
  </si>
  <si>
    <t>Kopā Būvdarbi (pēc fiskālās korekcijas)</t>
  </si>
  <si>
    <t>Kopā Iekārtas</t>
  </si>
  <si>
    <t>Kopā Investīcijas (pēc fiskālās korekcijas)</t>
  </si>
  <si>
    <t># Investīciju izraisītai ietekmei izmantots nozare "Būvniecība" reizinātājs</t>
  </si>
  <si>
    <t xml:space="preserve">             Nozare (NACE 2.red.)</t>
  </si>
  <si>
    <t>Kopējās izlaides reizinātājs</t>
  </si>
  <si>
    <t>Nodarbinātības* ietekme Netiešā</t>
  </si>
  <si>
    <t>Nodarbinātības* ietekme Izraisītā</t>
  </si>
  <si>
    <t>Tiešā (direct)</t>
  </si>
  <si>
    <t>Netiešā (inderect)</t>
  </si>
  <si>
    <t>Izraisītais (induced)</t>
  </si>
  <si>
    <t>Būvniecība</t>
  </si>
  <si>
    <t>*Nodarbinātība (radītā darba vieta uz katru radīto 1 milj. EUR kopējā izlaidē)</t>
  </si>
  <si>
    <t>netiešā ietekme</t>
  </si>
  <si>
    <t>īpatsvars</t>
  </si>
  <si>
    <t>IKG10_100. Iekšzemes kopprodukta deflatori</t>
  </si>
  <si>
    <t>deflators IKP</t>
  </si>
  <si>
    <t>Investīciju ieguldījumu ietekme uz pārējos tautsaimniecības subjektiem:</t>
  </si>
  <si>
    <t># Ekonomisko ieguvumu attiecina uz samaksātais neto darba algās</t>
  </si>
  <si>
    <t># Tiešā nodarbinātības ietekme aprēķināta, balstoties uz Lielbritānijas pētījuma "Calculating Cost Per Job | Best Practice Note 2015 (3rd Edition)"</t>
  </si>
  <si>
    <r>
      <t>Tieša ietekme</t>
    </r>
    <r>
      <rPr>
        <sz val="12"/>
        <color indexed="8"/>
        <rFont val="Calibri"/>
        <family val="2"/>
        <charset val="186"/>
      </rPr>
      <t xml:space="preserve"> </t>
    </r>
  </si>
  <si>
    <r>
      <t>Netiešā ietekme</t>
    </r>
    <r>
      <rPr>
        <sz val="12"/>
        <color indexed="8"/>
        <rFont val="Calibri"/>
        <family val="2"/>
        <charset val="186"/>
      </rPr>
      <t xml:space="preserve"> </t>
    </r>
  </si>
  <si>
    <t xml:space="preserve">Izraisītā ietekme </t>
  </si>
  <si>
    <r>
      <t>Kopējā ietekme</t>
    </r>
    <r>
      <rPr>
        <sz val="12"/>
        <color indexed="8"/>
        <rFont val="Calibri"/>
        <family val="2"/>
        <charset val="186"/>
      </rPr>
      <t xml:space="preserve"> </t>
    </r>
  </si>
  <si>
    <t>Kopējā izlaide; tūkst. EUR</t>
  </si>
  <si>
    <t>Nodarbinātība</t>
  </si>
  <si>
    <t>reizinātāji:</t>
  </si>
  <si>
    <t>Kopējā izlaide</t>
  </si>
  <si>
    <t>Nodarbinātība (tiek radīta darba vieta uz katru radīto 1 milj. EUR kopējā izlaidē)</t>
  </si>
  <si>
    <t>Ieguldītais UK gadījums</t>
  </si>
  <si>
    <t>nodarbinātie uz ieguldīto [2]</t>
  </si>
  <si>
    <t>ieguldījums UK</t>
  </si>
  <si>
    <t>pamatkapitāla deflators; CSP datu bāze</t>
  </si>
  <si>
    <t>LV gadījums [4]</t>
  </si>
  <si>
    <t>jaunās radītās darbavietas [1]/[4]x[2]</t>
  </si>
  <si>
    <t>UK</t>
  </si>
  <si>
    <t>LV</t>
  </si>
  <si>
    <t>2011Q1</t>
  </si>
  <si>
    <t>2018Q1</t>
  </si>
  <si>
    <t>https://ec.europa.eu/eurostat/web/products-datasets/-/namq_10_pc</t>
  </si>
  <si>
    <t>nolietojums</t>
  </si>
  <si>
    <t>teorētiskais noliet.</t>
  </si>
  <si>
    <t>pamatlīdzekļu uzturēšanas izmaksas</t>
  </si>
  <si>
    <t>tk.EUR</t>
  </si>
  <si>
    <t>iekārtas</t>
  </si>
  <si>
    <t>būves</t>
  </si>
  <si>
    <t>kopā</t>
  </si>
  <si>
    <t>materiāli (reaģenti, u.c.)</t>
  </si>
  <si>
    <t>tarifam</t>
  </si>
  <si>
    <t>m3/gadā</t>
  </si>
  <si>
    <t>komunālie maksājumi</t>
  </si>
  <si>
    <t>EUR/m3</t>
  </si>
  <si>
    <t>RCG010. Cenu indeksi</t>
  </si>
  <si>
    <t>A_RCG050. Būvniecības izmaksu indeksi, 1992-2012.g.</t>
  </si>
  <si>
    <t>Būvniecības izmaksu indekss</t>
  </si>
  <si>
    <t>bāzes gads cenai</t>
  </si>
  <si>
    <r>
      <t>y = ae</t>
    </r>
    <r>
      <rPr>
        <b/>
        <vertAlign val="superscript"/>
        <sz val="12"/>
        <color theme="0" tint="-0.34998626667073579"/>
        <rFont val="Calibri"/>
        <family val="2"/>
      </rPr>
      <t>bx</t>
    </r>
  </si>
  <si>
    <t>Ūdensapgādes sistēmas nosaukums</t>
  </si>
  <si>
    <t>Investīcijas; EUR</t>
  </si>
  <si>
    <t>Kopā indikatīvās investīcijas 5.prioritātei</t>
  </si>
  <si>
    <t># Uzrādītas kopējās investīcijas prioritātē</t>
  </si>
  <si>
    <t>Bāzes informācija no Veselības inspekcijas</t>
  </si>
  <si>
    <t>Bāzes informācija indikatīvā investīciju apjoma aprēķinam</t>
  </si>
  <si>
    <t>Aprēķinātās indikatīvās investīcijas 5.prioritātei</t>
  </si>
  <si>
    <t>INDIKATĪVĀS INVESTĪCIJAS</t>
  </si>
  <si>
    <t>Kopējās indikatīvās investīcijas</t>
  </si>
  <si>
    <t>Kopā; EUR</t>
  </si>
  <si>
    <t>Radītā ietekme (konvertēta 2018.gada cenās)</t>
  </si>
  <si>
    <t>Radītā ietekme (2015.gada cenās)</t>
  </si>
  <si>
    <t>Aprēķinātie reizinātāji, kas izmantoti aprēķinos un radītā ietekme uz nodarbinatību:</t>
  </si>
  <si>
    <t xml:space="preserve">Ieguvumu sabiedrībai tīra dzeramā ūdens </t>
  </si>
  <si>
    <t>Aprēķinātās indikatīvās ekspluatācijas izdevumi 5.prioritātei</t>
  </si>
  <si>
    <t>Ekspluatācijas izdevumi</t>
  </si>
  <si>
    <t>Investīciju ieguldījumu ietekme - Ilgtermiņa</t>
  </si>
  <si>
    <t>WTP (vēlme maksāt);  EUR/gadā</t>
  </si>
  <si>
    <t>Kopā ieguvums</t>
  </si>
  <si>
    <t>Patērētāju skaits CŪS</t>
  </si>
  <si>
    <t>Aprēķinātais ekonomiskais ieguvums; EUR</t>
  </si>
  <si>
    <t>mājsaimniecības lielums; 2018.gads</t>
  </si>
  <si>
    <t>Aprēķinātie ekonomiskie ieguvumu no tīra dzeramā ūdens izmantošanas 5.prioritātei</t>
  </si>
  <si>
    <t>Aprēķinātie ekonomisko ieguvumu investīciju efektivitātes rādītāji  5.prioritātei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</si>
</sst>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0.000"/>
    <numFmt numFmtId="167" formatCode="#,##0.0000"/>
    <numFmt numFmtId="168" formatCode="_-* #,##0.0_-;\-* #,##0.0_-;_-* &quot;-&quot;??_-;_-@_-"/>
    <numFmt numFmtId="169" formatCode="_(* #,##0_);_(* \(#,##0\);_(* &quot;-&quot;??_);_(@_)"/>
    <numFmt numFmtId="170" formatCode="#,##0.0"/>
    <numFmt numFmtId="171" formatCode="#,##0.0_ ;\-#,##0.0\ "/>
    <numFmt numFmtId="172" formatCode="0.0000"/>
    <numFmt numFmtId="173" formatCode="#,##0_ ;\-#,##0\ "/>
    <numFmt numFmtId="174" formatCode="#,##0.0_ ;[Red]\-#,##0.0\ "/>
    <numFmt numFmtId="175" formatCode="0.0%"/>
    <numFmt numFmtId="176" formatCode="#,##0.00_ ;[Red]\-#,##0.00\ "/>
    <numFmt numFmtId="177" formatCode="_-* #,##0.00\ _L_s_-;\-* #,##0.00\ _L_s_-;_-* &quot;-&quot;??\ _L_s_-;_-@_-"/>
    <numFmt numFmtId="178" formatCode="_-* #,##0.00_-;\-* #,##0.00_-;_-* \-??_-;_-@_-"/>
    <numFmt numFmtId="179" formatCode="_-* #,##0\ &quot;LVL&quot;_-;\-* #,##0\ &quot;LVL&quot;_-;_-* &quot;-&quot;\ &quot;LVL&quot;_-;_-@_-"/>
    <numFmt numFmtId="180" formatCode="_([$€]* #,##0.00_);_([$€]* \(#,##0.00\);_([$€]* &quot;-&quot;??_);_(@_)"/>
    <numFmt numFmtId="181" formatCode="#,##0.00000"/>
    <numFmt numFmtId="182" formatCode="0.000%"/>
    <numFmt numFmtId="183" formatCode="0.00_ ;[Red]\-0.00\ "/>
    <numFmt numFmtId="184" formatCode="_-* #,##0_-;\-* #,##0_-;_-* &quot;-&quot;??_-;_-@_-"/>
    <numFmt numFmtId="185" formatCode="0.00000"/>
  </numFmts>
  <fonts count="84" x14ac:knownFonts="1">
    <font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</font>
    <font>
      <sz val="12"/>
      <color theme="1"/>
      <name val="Calibri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vertAlign val="subscript"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</font>
    <font>
      <b/>
      <sz val="11"/>
      <color rgb="FF3F3F3F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0"/>
      <name val="Calibri"/>
      <family val="2"/>
      <charset val="186"/>
      <scheme val="minor"/>
    </font>
    <font>
      <sz val="10"/>
      <name val="Garamond"/>
      <family val="1"/>
      <charset val="186"/>
    </font>
    <font>
      <sz val="10"/>
      <name val="Calibri"/>
      <family val="2"/>
      <charset val="186"/>
      <scheme val="minor"/>
    </font>
    <font>
      <sz val="10"/>
      <name val="Arial Narrow"/>
      <family val="2"/>
      <charset val="186"/>
    </font>
    <font>
      <b/>
      <i/>
      <sz val="12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i/>
      <sz val="8"/>
      <color rgb="FFFF0000"/>
      <name val="Calibri"/>
      <family val="2"/>
      <charset val="186"/>
      <scheme val="minor"/>
    </font>
    <font>
      <sz val="11"/>
      <color theme="1"/>
      <name val="Verdana"/>
      <family val="2"/>
      <charset val="186"/>
    </font>
    <font>
      <sz val="8"/>
      <color rgb="FFFF0000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i/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8"/>
      <name val="Arial"/>
      <family val="2"/>
    </font>
    <font>
      <sz val="10"/>
      <name val="Helv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rgb="FFFA7D00"/>
      <name val="Calibri"/>
      <family val="2"/>
      <charset val="186"/>
      <scheme val="minor"/>
    </font>
    <font>
      <sz val="11"/>
      <color indexed="20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0"/>
      <name val="Times New Roman"/>
      <family val="1"/>
      <charset val="186"/>
    </font>
    <font>
      <sz val="10"/>
      <name val="Helv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u/>
      <sz val="10"/>
      <color indexed="12"/>
      <name val="Arial"/>
      <family val="2"/>
      <charset val="186"/>
    </font>
    <font>
      <sz val="11"/>
      <color indexed="52"/>
      <name val="Calibri"/>
      <family val="2"/>
      <charset val="186"/>
    </font>
    <font>
      <b/>
      <sz val="11"/>
      <name val="Calibri Light"/>
      <family val="2"/>
    </font>
    <font>
      <sz val="11"/>
      <color theme="1"/>
      <name val="Calibri Light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2"/>
      <color rgb="FFFF0000"/>
      <name val="Calibri"/>
      <family val="2"/>
    </font>
    <font>
      <b/>
      <vertAlign val="superscript"/>
      <sz val="12"/>
      <color rgb="FFFF0000"/>
      <name val="Calibri"/>
      <family val="2"/>
    </font>
    <font>
      <b/>
      <i/>
      <u/>
      <sz val="14"/>
      <color theme="1"/>
      <name val="Calibri"/>
      <family val="2"/>
      <charset val="186"/>
    </font>
    <font>
      <sz val="12"/>
      <color theme="1"/>
      <name val="Calibri"/>
      <family val="2"/>
      <charset val="186"/>
    </font>
    <font>
      <b/>
      <i/>
      <u/>
      <sz val="12"/>
      <color theme="1"/>
      <name val="Calibri"/>
      <family val="2"/>
      <charset val="186"/>
    </font>
    <font>
      <b/>
      <u/>
      <sz val="12"/>
      <color theme="1"/>
      <name val="Calibri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b/>
      <u/>
      <sz val="12"/>
      <color theme="1"/>
      <name val="Calibri"/>
      <family val="2"/>
    </font>
    <font>
      <i/>
      <sz val="12"/>
      <color theme="1"/>
      <name val="Calibri"/>
      <family val="2"/>
      <charset val="186"/>
    </font>
    <font>
      <i/>
      <sz val="11"/>
      <color theme="1"/>
      <name val="Calibri"/>
      <family val="2"/>
      <charset val="186"/>
    </font>
    <font>
      <b/>
      <sz val="14"/>
      <color rgb="FF000000"/>
      <name val="Calibri"/>
      <family val="2"/>
    </font>
    <font>
      <b/>
      <i/>
      <u/>
      <sz val="14"/>
      <color theme="1"/>
      <name val="Calibri"/>
      <family val="2"/>
      <charset val="186"/>
      <scheme val="minor"/>
    </font>
    <font>
      <b/>
      <i/>
      <u/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</font>
    <font>
      <u/>
      <sz val="9.35"/>
      <color theme="10"/>
      <name val="Calibri"/>
      <family val="2"/>
      <charset val="186"/>
    </font>
    <font>
      <sz val="8"/>
      <color indexed="81"/>
      <name val="Tahoma"/>
      <family val="2"/>
      <charset val="186"/>
    </font>
    <font>
      <sz val="10"/>
      <color indexed="81"/>
      <name val="Tahoma"/>
      <family val="2"/>
      <charset val="186"/>
    </font>
    <font>
      <sz val="9"/>
      <color indexed="81"/>
      <name val="Tahoma"/>
      <family val="2"/>
    </font>
    <font>
      <b/>
      <sz val="11"/>
      <color rgb="FFFF0000"/>
      <name val="Calibri"/>
      <family val="2"/>
    </font>
    <font>
      <b/>
      <sz val="12"/>
      <color rgb="FF000000"/>
      <name val="Calibri"/>
      <family val="2"/>
    </font>
    <font>
      <sz val="11"/>
      <color theme="0"/>
      <name val="Calibri"/>
      <family val="2"/>
      <charset val="186"/>
    </font>
    <font>
      <b/>
      <sz val="11"/>
      <color theme="0"/>
      <name val="Calibri"/>
      <family val="2"/>
      <charset val="186"/>
    </font>
    <font>
      <sz val="11"/>
      <color theme="0" tint="-0.34998626667073579"/>
      <name val="Calibri"/>
      <family val="2"/>
      <charset val="186"/>
    </font>
    <font>
      <b/>
      <sz val="11"/>
      <color theme="0" tint="-0.34998626667073579"/>
      <name val="Calibri"/>
      <family val="2"/>
      <charset val="186"/>
    </font>
    <font>
      <b/>
      <sz val="12"/>
      <color theme="0" tint="-0.34998626667073579"/>
      <name val="Calibri"/>
      <family val="2"/>
    </font>
    <font>
      <b/>
      <vertAlign val="superscript"/>
      <sz val="12"/>
      <color theme="0" tint="-0.34998626667073579"/>
      <name val="Calibri"/>
      <family val="2"/>
    </font>
    <font>
      <b/>
      <sz val="11"/>
      <color theme="0" tint="-0.34998626667073579"/>
      <name val="Calibri"/>
      <family val="2"/>
    </font>
    <font>
      <b/>
      <sz val="11"/>
      <color theme="1"/>
      <name val="Calibri"/>
      <family val="2"/>
      <charset val="186"/>
    </font>
    <font>
      <sz val="12"/>
      <color theme="0" tint="-0.34998626667073579"/>
      <name val="Calibri"/>
      <family val="2"/>
    </font>
    <font>
      <sz val="11"/>
      <color theme="0" tint="-0.34998626667073579"/>
      <name val="Calibri"/>
      <family val="2"/>
      <scheme val="minor"/>
    </font>
    <font>
      <b/>
      <sz val="12"/>
      <name val="Calibri"/>
      <family val="2"/>
      <scheme val="minor"/>
    </font>
    <font>
      <i/>
      <sz val="8"/>
      <color theme="0"/>
      <name val="Calibri"/>
      <family val="2"/>
      <charset val="186"/>
      <scheme val="minor"/>
    </font>
    <font>
      <b/>
      <sz val="12"/>
      <color theme="0"/>
      <name val="Calibri"/>
      <family val="2"/>
      <charset val="186"/>
      <scheme val="minor"/>
    </font>
    <font>
      <b/>
      <sz val="12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6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105">
    <xf numFmtId="0" fontId="0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4" borderId="4" applyNumberFormat="0" applyAlignment="0" applyProtection="0"/>
    <xf numFmtId="164" fontId="8" fillId="0" borderId="0" applyFont="0" applyFill="0" applyBorder="0" applyAlignment="0" applyProtection="0"/>
    <xf numFmtId="0" fontId="9" fillId="0" borderId="0"/>
    <xf numFmtId="0" fontId="8" fillId="0" borderId="0"/>
    <xf numFmtId="0" fontId="12" fillId="0" borderId="0"/>
    <xf numFmtId="0" fontId="9" fillId="0" borderId="0"/>
    <xf numFmtId="9" fontId="12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2" fillId="0" borderId="0"/>
    <xf numFmtId="0" fontId="16" fillId="0" borderId="0"/>
    <xf numFmtId="0" fontId="18" fillId="0" borderId="0"/>
    <xf numFmtId="0" fontId="23" fillId="0" borderId="0"/>
    <xf numFmtId="0" fontId="12" fillId="11" borderId="2" applyNumberFormat="0" applyFont="0" applyAlignment="0" applyProtection="0"/>
    <xf numFmtId="0" fontId="9" fillId="0" borderId="0"/>
    <xf numFmtId="0" fontId="29" fillId="0" borderId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32" fillId="4" borderId="12" applyNumberFormat="0" applyAlignment="0" applyProtection="0"/>
    <xf numFmtId="177" fontId="12" fillId="0" borderId="0" applyFont="0" applyFill="0" applyBorder="0" applyAlignment="0" applyProtection="0"/>
    <xf numFmtId="178" fontId="12" fillId="0" borderId="0" applyFill="0" applyBorder="0" applyAlignment="0" applyProtection="0"/>
    <xf numFmtId="177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3" fillId="13" borderId="0" applyNumberFormat="0" applyBorder="0" applyAlignment="0" applyProtection="0"/>
    <xf numFmtId="0" fontId="34" fillId="26" borderId="21" applyNumberFormat="0" applyAlignment="0" applyProtection="0"/>
    <xf numFmtId="43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179" fontId="35" fillId="0" borderId="0" applyFont="0" applyFill="0" applyBorder="0" applyAlignment="0" applyProtection="0"/>
    <xf numFmtId="0" fontId="12" fillId="0" borderId="0" applyFont="0" applyFill="0" applyBorder="0" applyAlignment="0" applyProtection="0"/>
    <xf numFmtId="180" fontId="36" fillId="0" borderId="0" applyFont="0" applyFill="0" applyBorder="0" applyAlignment="0" applyProtection="0"/>
    <xf numFmtId="0" fontId="37" fillId="0" borderId="0" applyNumberFormat="0" applyFill="0" applyBorder="0" applyAlignment="0" applyProtection="0"/>
    <xf numFmtId="2" fontId="12" fillId="0" borderId="0" applyFont="0" applyFill="0" applyBorder="0" applyAlignment="0" applyProtection="0"/>
    <xf numFmtId="0" fontId="38" fillId="14" borderId="0" applyNumberFormat="0" applyBorder="0" applyAlignment="0" applyProtection="0"/>
    <xf numFmtId="0" fontId="39" fillId="0" borderId="22" applyNumberFormat="0" applyFill="0" applyAlignment="0" applyProtection="0"/>
    <xf numFmtId="0" fontId="40" fillId="0" borderId="23" applyNumberFormat="0" applyFill="0" applyAlignment="0" applyProtection="0"/>
    <xf numFmtId="0" fontId="41" fillId="0" borderId="24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43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0" fontId="43" fillId="0" borderId="25" applyNumberFormat="0" applyFill="0" applyAlignment="0" applyProtection="0"/>
    <xf numFmtId="0" fontId="12" fillId="0" borderId="0"/>
    <xf numFmtId="0" fontId="12" fillId="0" borderId="0"/>
    <xf numFmtId="0" fontId="12" fillId="0" borderId="0"/>
    <xf numFmtId="0" fontId="30" fillId="0" borderId="0"/>
    <xf numFmtId="0" fontId="12" fillId="0" borderId="0"/>
    <xf numFmtId="0" fontId="12" fillId="0" borderId="0"/>
    <xf numFmtId="0" fontId="30" fillId="0" borderId="0"/>
    <xf numFmtId="0" fontId="30" fillId="0" borderId="0"/>
    <xf numFmtId="0" fontId="12" fillId="0" borderId="0"/>
    <xf numFmtId="0" fontId="30" fillId="0" borderId="0"/>
    <xf numFmtId="0" fontId="12" fillId="0" borderId="0"/>
    <xf numFmtId="0" fontId="12" fillId="0" borderId="0"/>
    <xf numFmtId="0" fontId="30" fillId="0" borderId="0"/>
    <xf numFmtId="0" fontId="12" fillId="27" borderId="26" applyNumberFormat="0" applyAlignment="0" applyProtection="0"/>
    <xf numFmtId="0" fontId="23" fillId="0" borderId="0"/>
    <xf numFmtId="0" fontId="2" fillId="0" borderId="0"/>
    <xf numFmtId="0" fontId="12" fillId="0" borderId="0"/>
    <xf numFmtId="0" fontId="18" fillId="0" borderId="0"/>
    <xf numFmtId="9" fontId="3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 applyNumberFormat="0" applyFont="0" applyFill="0" applyBorder="0" applyAlignment="0" applyProtection="0">
      <alignment vertical="top"/>
    </xf>
    <xf numFmtId="0" fontId="36" fillId="0" borderId="0"/>
    <xf numFmtId="0" fontId="36" fillId="0" borderId="0"/>
    <xf numFmtId="0" fontId="12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2" fillId="0" borderId="0"/>
    <xf numFmtId="0" fontId="8" fillId="0" borderId="0"/>
    <xf numFmtId="0" fontId="64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1" fillId="0" borderId="0" applyFont="0" applyFill="0" applyBorder="0" applyAlignment="0" applyProtection="0"/>
  </cellStyleXfs>
  <cellXfs count="470">
    <xf numFmtId="0" fontId="0" fillId="0" borderId="0" xfId="0"/>
    <xf numFmtId="0" fontId="0" fillId="0" borderId="2" xfId="0" applyFill="1" applyBorder="1" applyAlignment="1">
      <alignment horizontal="left" vertical="top"/>
    </xf>
    <xf numFmtId="0" fontId="4" fillId="0" borderId="3" xfId="0" applyFont="1" applyFill="1" applyBorder="1" applyAlignment="1">
      <alignment horizontal="center" vertical="top" wrapText="1"/>
    </xf>
    <xf numFmtId="2" fontId="0" fillId="0" borderId="0" xfId="0" applyNumberFormat="1"/>
    <xf numFmtId="0" fontId="0" fillId="5" borderId="0" xfId="0" applyFill="1"/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/>
    </xf>
    <xf numFmtId="0" fontId="6" fillId="0" borderId="0" xfId="2" applyAlignment="1" applyProtection="1"/>
    <xf numFmtId="0" fontId="0" fillId="0" borderId="0" xfId="0" applyAlignment="1">
      <alignment wrapText="1"/>
    </xf>
    <xf numFmtId="167" fontId="0" fillId="0" borderId="0" xfId="0" applyNumberFormat="1"/>
    <xf numFmtId="2" fontId="0" fillId="6" borderId="0" xfId="0" applyNumberFormat="1" applyFill="1"/>
    <xf numFmtId="0" fontId="9" fillId="0" borderId="0" xfId="5"/>
    <xf numFmtId="0" fontId="10" fillId="0" borderId="0" xfId="5" applyFont="1" applyAlignment="1">
      <alignment horizontal="center" vertical="center"/>
    </xf>
    <xf numFmtId="4" fontId="9" fillId="0" borderId="0" xfId="5" applyNumberFormat="1"/>
    <xf numFmtId="165" fontId="9" fillId="0" borderId="0" xfId="5" applyNumberFormat="1"/>
    <xf numFmtId="3" fontId="9" fillId="0" borderId="0" xfId="5" applyNumberFormat="1"/>
    <xf numFmtId="3" fontId="9" fillId="7" borderId="0" xfId="5" applyNumberFormat="1" applyFill="1"/>
    <xf numFmtId="0" fontId="9" fillId="9" borderId="2" xfId="5" applyFill="1" applyBorder="1" applyProtection="1"/>
    <xf numFmtId="0" fontId="11" fillId="9" borderId="2" xfId="5" applyFont="1" applyFill="1" applyBorder="1" applyProtection="1"/>
    <xf numFmtId="0" fontId="11" fillId="9" borderId="9" xfId="5" applyFont="1" applyFill="1" applyBorder="1" applyProtection="1"/>
    <xf numFmtId="0" fontId="11" fillId="0" borderId="2" xfId="5" applyFont="1" applyFill="1" applyBorder="1" applyProtection="1"/>
    <xf numFmtId="168" fontId="13" fillId="0" borderId="0" xfId="0" applyNumberFormat="1" applyFont="1"/>
    <xf numFmtId="0" fontId="14" fillId="0" borderId="0" xfId="5" applyFont="1"/>
    <xf numFmtId="165" fontId="14" fillId="0" borderId="0" xfId="5" applyNumberFormat="1" applyFont="1"/>
    <xf numFmtId="169" fontId="13" fillId="0" borderId="0" xfId="4" applyNumberFormat="1" applyFont="1"/>
    <xf numFmtId="165" fontId="9" fillId="7" borderId="0" xfId="5" applyNumberFormat="1" applyFill="1"/>
    <xf numFmtId="0" fontId="9" fillId="0" borderId="0" xfId="5" applyFill="1"/>
    <xf numFmtId="0" fontId="9" fillId="0" borderId="3" xfId="5" applyFill="1" applyBorder="1"/>
    <xf numFmtId="3" fontId="10" fillId="0" borderId="0" xfId="5" applyNumberFormat="1" applyFont="1"/>
    <xf numFmtId="170" fontId="9" fillId="3" borderId="13" xfId="5" applyNumberFormat="1" applyFill="1" applyBorder="1"/>
    <xf numFmtId="3" fontId="9" fillId="3" borderId="14" xfId="5" applyNumberFormat="1" applyFill="1" applyBorder="1"/>
    <xf numFmtId="170" fontId="9" fillId="3" borderId="15" xfId="5" applyNumberFormat="1" applyFill="1" applyBorder="1"/>
    <xf numFmtId="3" fontId="9" fillId="3" borderId="16" xfId="5" applyNumberFormat="1" applyFill="1" applyBorder="1"/>
    <xf numFmtId="170" fontId="9" fillId="3" borderId="17" xfId="5" applyNumberFormat="1" applyFill="1" applyBorder="1"/>
    <xf numFmtId="3" fontId="9" fillId="3" borderId="18" xfId="5" applyNumberFormat="1" applyFill="1" applyBorder="1"/>
    <xf numFmtId="3" fontId="10" fillId="0" borderId="1" xfId="5" applyNumberFormat="1" applyFont="1" applyBorder="1"/>
    <xf numFmtId="3" fontId="15" fillId="0" borderId="0" xfId="11" applyNumberFormat="1" applyFont="1" applyBorder="1" applyAlignment="1">
      <alignment vertical="center"/>
    </xf>
    <xf numFmtId="0" fontId="17" fillId="0" borderId="0" xfId="12" applyFont="1" applyAlignment="1">
      <alignment vertical="center"/>
    </xf>
    <xf numFmtId="171" fontId="17" fillId="0" borderId="0" xfId="12" applyNumberFormat="1" applyFont="1" applyAlignment="1">
      <alignment vertical="center"/>
    </xf>
    <xf numFmtId="0" fontId="19" fillId="0" borderId="2" xfId="12" applyFont="1" applyFill="1" applyBorder="1" applyAlignment="1">
      <alignment vertical="center"/>
    </xf>
    <xf numFmtId="0" fontId="20" fillId="0" borderId="2" xfId="12" applyFont="1" applyFill="1" applyBorder="1" applyAlignment="1">
      <alignment vertical="center"/>
    </xf>
    <xf numFmtId="0" fontId="21" fillId="0" borderId="2" xfId="12" applyFont="1" applyFill="1" applyBorder="1" applyAlignment="1">
      <alignment vertical="center" shrinkToFit="1"/>
    </xf>
    <xf numFmtId="0" fontId="20" fillId="0" borderId="0" xfId="12" applyFont="1" applyFill="1" applyAlignment="1">
      <alignment vertical="center"/>
    </xf>
    <xf numFmtId="0" fontId="20" fillId="9" borderId="2" xfId="12" applyFont="1" applyFill="1" applyBorder="1" applyAlignment="1">
      <alignment vertical="center"/>
    </xf>
    <xf numFmtId="0" fontId="21" fillId="9" borderId="2" xfId="12" applyFont="1" applyFill="1" applyBorder="1" applyAlignment="1">
      <alignment vertical="center"/>
    </xf>
    <xf numFmtId="0" fontId="22" fillId="0" borderId="2" xfId="12" applyFont="1" applyFill="1" applyBorder="1" applyAlignment="1">
      <alignment vertical="center"/>
    </xf>
    <xf numFmtId="0" fontId="24" fillId="0" borderId="0" xfId="12" applyFont="1" applyFill="1" applyAlignment="1">
      <alignment vertical="center"/>
    </xf>
    <xf numFmtId="0" fontId="25" fillId="0" borderId="2" xfId="12" applyFont="1" applyFill="1" applyBorder="1" applyAlignment="1">
      <alignment horizontal="right" vertical="center"/>
    </xf>
    <xf numFmtId="172" fontId="25" fillId="0" borderId="2" xfId="14" applyNumberFormat="1" applyFont="1" applyFill="1" applyBorder="1" applyAlignment="1">
      <alignment vertical="center"/>
    </xf>
    <xf numFmtId="172" fontId="25" fillId="0" borderId="2" xfId="14" applyNumberFormat="1" applyFont="1" applyBorder="1" applyAlignment="1">
      <alignment vertical="center"/>
    </xf>
    <xf numFmtId="0" fontId="20" fillId="0" borderId="0" xfId="12" applyFont="1" applyAlignment="1">
      <alignment vertical="center"/>
    </xf>
    <xf numFmtId="2" fontId="20" fillId="0" borderId="2" xfId="12" applyNumberFormat="1" applyFont="1" applyFill="1" applyBorder="1" applyAlignment="1">
      <alignment horizontal="left" vertical="center" indent="2"/>
    </xf>
    <xf numFmtId="173" fontId="21" fillId="0" borderId="2" xfId="12" applyNumberFormat="1" applyFont="1" applyFill="1" applyBorder="1" applyAlignment="1">
      <alignment horizontal="center" vertical="center"/>
    </xf>
    <xf numFmtId="173" fontId="20" fillId="0" borderId="2" xfId="12" applyNumberFormat="1" applyFont="1" applyFill="1" applyBorder="1" applyAlignment="1">
      <alignment vertical="center" shrinkToFit="1"/>
    </xf>
    <xf numFmtId="171" fontId="21" fillId="0" borderId="2" xfId="12" applyNumberFormat="1" applyFont="1" applyFill="1" applyBorder="1" applyAlignment="1">
      <alignment vertical="center" shrinkToFit="1"/>
    </xf>
    <xf numFmtId="171" fontId="20" fillId="0" borderId="2" xfId="12" applyNumberFormat="1" applyFont="1" applyFill="1" applyBorder="1" applyAlignment="1">
      <alignment vertical="center" shrinkToFit="1"/>
    </xf>
    <xf numFmtId="174" fontId="21" fillId="0" borderId="2" xfId="12" applyNumberFormat="1" applyFont="1" applyFill="1" applyBorder="1" applyAlignment="1">
      <alignment horizontal="center" vertical="center"/>
    </xf>
    <xf numFmtId="170" fontId="25" fillId="0" borderId="2" xfId="14" applyNumberFormat="1" applyFont="1" applyFill="1" applyBorder="1" applyAlignment="1">
      <alignment vertical="center"/>
    </xf>
    <xf numFmtId="0" fontId="25" fillId="0" borderId="0" xfId="12" applyFont="1" applyFill="1" applyAlignment="1">
      <alignment vertical="center"/>
    </xf>
    <xf numFmtId="0" fontId="20" fillId="0" borderId="2" xfId="12" applyFont="1" applyBorder="1" applyAlignment="1">
      <alignment vertical="center"/>
    </xf>
    <xf numFmtId="174" fontId="21" fillId="0" borderId="2" xfId="12" applyNumberFormat="1" applyFont="1" applyFill="1" applyBorder="1" applyAlignment="1">
      <alignment vertical="center" shrinkToFit="1"/>
    </xf>
    <xf numFmtId="174" fontId="21" fillId="0" borderId="2" xfId="12" applyNumberFormat="1" applyFont="1" applyBorder="1" applyAlignment="1">
      <alignment vertical="center" shrinkToFit="1"/>
    </xf>
    <xf numFmtId="174" fontId="20" fillId="0" borderId="2" xfId="12" applyNumberFormat="1" applyFont="1" applyFill="1" applyBorder="1" applyAlignment="1">
      <alignment vertical="center"/>
    </xf>
    <xf numFmtId="174" fontId="20" fillId="0" borderId="2" xfId="12" applyNumberFormat="1" applyFont="1" applyFill="1" applyBorder="1" applyAlignment="1">
      <alignment vertical="center" shrinkToFit="1"/>
    </xf>
    <xf numFmtId="174" fontId="25" fillId="0" borderId="2" xfId="12" applyNumberFormat="1" applyFont="1" applyFill="1" applyBorder="1" applyAlignment="1">
      <alignment vertical="center" shrinkToFit="1"/>
    </xf>
    <xf numFmtId="174" fontId="25" fillId="0" borderId="2" xfId="12" applyNumberFormat="1" applyFont="1" applyBorder="1" applyAlignment="1">
      <alignment vertical="center" shrinkToFit="1"/>
    </xf>
    <xf numFmtId="0" fontId="19" fillId="0" borderId="2" xfId="12" applyFont="1" applyFill="1" applyBorder="1" applyAlignment="1">
      <alignment horizontal="right" vertical="center"/>
    </xf>
    <xf numFmtId="174" fontId="19" fillId="0" borderId="2" xfId="12" applyNumberFormat="1" applyFont="1" applyFill="1" applyBorder="1" applyAlignment="1">
      <alignment vertical="center" shrinkToFit="1"/>
    </xf>
    <xf numFmtId="174" fontId="19" fillId="0" borderId="2" xfId="12" applyNumberFormat="1" applyFont="1" applyBorder="1" applyAlignment="1">
      <alignment vertical="center" shrinkToFit="1"/>
    </xf>
    <xf numFmtId="0" fontId="21" fillId="0" borderId="2" xfId="12" applyFont="1" applyFill="1" applyBorder="1" applyAlignment="1">
      <alignment vertical="center" wrapText="1"/>
    </xf>
    <xf numFmtId="170" fontId="21" fillId="0" borderId="2" xfId="12" applyNumberFormat="1" applyFont="1" applyFill="1" applyBorder="1" applyAlignment="1">
      <alignment horizontal="center" vertical="center" shrinkToFit="1"/>
    </xf>
    <xf numFmtId="170" fontId="21" fillId="0" borderId="2" xfId="12" applyNumberFormat="1" applyFont="1" applyBorder="1" applyAlignment="1">
      <alignment horizontal="center" vertical="center" shrinkToFit="1"/>
    </xf>
    <xf numFmtId="0" fontId="20" fillId="3" borderId="2" xfId="11" applyFont="1" applyFill="1" applyBorder="1" applyAlignment="1">
      <alignment horizontal="right" vertical="center"/>
    </xf>
    <xf numFmtId="10" fontId="21" fillId="3" borderId="19" xfId="15" applyNumberFormat="1" applyFont="1" applyFill="1" applyBorder="1" applyAlignment="1">
      <alignment horizontal="center" vertical="center"/>
    </xf>
    <xf numFmtId="175" fontId="20" fillId="3" borderId="0" xfId="16" applyNumberFormat="1" applyFont="1" applyFill="1"/>
    <xf numFmtId="173" fontId="19" fillId="0" borderId="2" xfId="12" applyNumberFormat="1" applyFont="1" applyFill="1" applyBorder="1" applyAlignment="1">
      <alignment vertical="center" shrinkToFit="1"/>
    </xf>
    <xf numFmtId="173" fontId="19" fillId="0" borderId="2" xfId="12" applyNumberFormat="1" applyFont="1" applyBorder="1" applyAlignment="1">
      <alignment vertical="center" shrinkToFit="1"/>
    </xf>
    <xf numFmtId="0" fontId="19" fillId="3" borderId="2" xfId="12" applyFont="1" applyFill="1" applyBorder="1" applyAlignment="1">
      <alignment horizontal="right" vertical="center" wrapText="1"/>
    </xf>
    <xf numFmtId="10" fontId="19" fillId="3" borderId="1" xfId="12" applyNumberFormat="1" applyFont="1" applyFill="1" applyBorder="1" applyAlignment="1">
      <alignment horizontal="center" vertical="center"/>
    </xf>
    <xf numFmtId="0" fontId="19" fillId="3" borderId="20" xfId="12" applyFont="1" applyFill="1" applyBorder="1" applyAlignment="1">
      <alignment horizontal="center" vertical="center"/>
    </xf>
    <xf numFmtId="173" fontId="21" fillId="0" borderId="2" xfId="12" applyNumberFormat="1" applyFont="1" applyFill="1" applyBorder="1" applyAlignment="1">
      <alignment vertical="center" shrinkToFit="1"/>
    </xf>
    <xf numFmtId="174" fontId="19" fillId="3" borderId="1" xfId="12" applyNumberFormat="1" applyFont="1" applyFill="1" applyBorder="1" applyAlignment="1">
      <alignment horizontal="center" vertical="center"/>
    </xf>
    <xf numFmtId="0" fontId="19" fillId="3" borderId="20" xfId="12" applyFont="1" applyFill="1" applyBorder="1" applyAlignment="1">
      <alignment vertical="center"/>
    </xf>
    <xf numFmtId="0" fontId="19" fillId="3" borderId="2" xfId="12" applyFont="1" applyFill="1" applyBorder="1" applyAlignment="1">
      <alignment horizontal="right" vertical="center"/>
    </xf>
    <xf numFmtId="176" fontId="19" fillId="3" borderId="1" xfId="12" applyNumberFormat="1" applyFont="1" applyFill="1" applyBorder="1" applyAlignment="1">
      <alignment horizontal="center" vertical="center"/>
    </xf>
    <xf numFmtId="0" fontId="17" fillId="0" borderId="0" xfId="12" applyFont="1" applyFill="1" applyAlignment="1">
      <alignment vertical="center"/>
    </xf>
    <xf numFmtId="0" fontId="26" fillId="0" borderId="0" xfId="12" applyFont="1" applyFill="1" applyBorder="1" applyAlignment="1">
      <alignment horizontal="right" vertical="center" wrapText="1"/>
    </xf>
    <xf numFmtId="2" fontId="26" fillId="0" borderId="0" xfId="12" applyNumberFormat="1" applyFont="1" applyFill="1" applyBorder="1" applyAlignment="1">
      <alignment horizontal="center" vertical="center"/>
    </xf>
    <xf numFmtId="0" fontId="26" fillId="0" borderId="0" xfId="12" applyFont="1" applyFill="1" applyBorder="1" applyAlignment="1">
      <alignment horizontal="center" vertical="center"/>
    </xf>
    <xf numFmtId="173" fontId="26" fillId="0" borderId="0" xfId="12" applyNumberFormat="1" applyFont="1" applyBorder="1" applyAlignment="1">
      <alignment vertical="center" shrinkToFit="1"/>
    </xf>
    <xf numFmtId="173" fontId="27" fillId="0" borderId="0" xfId="12" applyNumberFormat="1" applyFont="1" applyFill="1" applyBorder="1" applyAlignment="1">
      <alignment vertical="center" shrinkToFit="1"/>
    </xf>
    <xf numFmtId="170" fontId="9" fillId="0" borderId="0" xfId="16" applyNumberFormat="1" applyFill="1"/>
    <xf numFmtId="0" fontId="17" fillId="0" borderId="0" xfId="12" applyFont="1" applyAlignment="1">
      <alignment horizontal="right" vertical="center"/>
    </xf>
    <xf numFmtId="175" fontId="28" fillId="0" borderId="0" xfId="16" applyNumberFormat="1" applyFont="1" applyFill="1"/>
    <xf numFmtId="2" fontId="17" fillId="0" borderId="0" xfId="12" applyNumberFormat="1" applyFont="1" applyAlignment="1">
      <alignment horizontal="center" vertical="center"/>
    </xf>
    <xf numFmtId="0" fontId="4" fillId="0" borderId="15" xfId="0" applyFont="1" applyFill="1" applyBorder="1" applyAlignment="1">
      <alignment horizontal="center" vertical="top" wrapText="1"/>
    </xf>
    <xf numFmtId="0" fontId="9" fillId="28" borderId="3" xfId="5" applyFill="1" applyBorder="1"/>
    <xf numFmtId="4" fontId="9" fillId="28" borderId="0" xfId="5" applyNumberFormat="1" applyFill="1"/>
    <xf numFmtId="3" fontId="9" fillId="28" borderId="0" xfId="5" applyNumberFormat="1" applyFill="1"/>
    <xf numFmtId="170" fontId="9" fillId="28" borderId="15" xfId="5" applyNumberFormat="1" applyFill="1" applyBorder="1"/>
    <xf numFmtId="3" fontId="9" fillId="28" borderId="16" xfId="5" applyNumberFormat="1" applyFill="1" applyBorder="1"/>
    <xf numFmtId="165" fontId="9" fillId="28" borderId="0" xfId="5" applyNumberFormat="1" applyFill="1"/>
    <xf numFmtId="0" fontId="45" fillId="0" borderId="0" xfId="0" applyFont="1"/>
    <xf numFmtId="10" fontId="9" fillId="0" borderId="0" xfId="98" applyNumberFormat="1" applyFont="1"/>
    <xf numFmtId="0" fontId="9" fillId="0" borderId="0" xfId="16"/>
    <xf numFmtId="0" fontId="48" fillId="0" borderId="0" xfId="0" applyFont="1" applyAlignment="1">
      <alignment horizontal="center" vertical="center"/>
    </xf>
    <xf numFmtId="0" fontId="9" fillId="2" borderId="3" xfId="16" applyFill="1" applyBorder="1" applyAlignment="1">
      <alignment horizontal="center" vertical="center"/>
    </xf>
    <xf numFmtId="3" fontId="9" fillId="0" borderId="0" xfId="16" applyNumberFormat="1"/>
    <xf numFmtId="0" fontId="9" fillId="0" borderId="0" xfId="16" applyAlignment="1">
      <alignment horizontal="right"/>
    </xf>
    <xf numFmtId="9" fontId="9" fillId="0" borderId="0" xfId="98" applyFont="1"/>
    <xf numFmtId="170" fontId="9" fillId="0" borderId="0" xfId="16" applyNumberFormat="1"/>
    <xf numFmtId="0" fontId="50" fillId="0" borderId="0" xfId="16" applyFont="1" applyFill="1" applyAlignment="1">
      <alignment vertical="center"/>
    </xf>
    <xf numFmtId="0" fontId="51" fillId="0" borderId="0" xfId="16" applyFont="1" applyAlignment="1">
      <alignment vertical="center"/>
    </xf>
    <xf numFmtId="0" fontId="52" fillId="0" borderId="13" xfId="16" applyFont="1" applyBorder="1" applyAlignment="1">
      <alignment vertical="center"/>
    </xf>
    <xf numFmtId="0" fontId="51" fillId="0" borderId="29" xfId="16" applyFont="1" applyBorder="1" applyAlignment="1">
      <alignment vertical="center"/>
    </xf>
    <xf numFmtId="0" fontId="51" fillId="0" borderId="14" xfId="16" applyFont="1" applyBorder="1" applyAlignment="1">
      <alignment vertical="center"/>
    </xf>
    <xf numFmtId="0" fontId="51" fillId="0" borderId="15" xfId="16" applyFont="1" applyBorder="1" applyAlignment="1">
      <alignment vertical="center"/>
    </xf>
    <xf numFmtId="0" fontId="51" fillId="0" borderId="0" xfId="16" applyFont="1" applyBorder="1" applyAlignment="1">
      <alignment vertical="center"/>
    </xf>
    <xf numFmtId="0" fontId="51" fillId="0" borderId="16" xfId="16" applyFont="1" applyBorder="1" applyAlignment="1">
      <alignment vertical="center"/>
    </xf>
    <xf numFmtId="0" fontId="51" fillId="0" borderId="0" xfId="16" applyFont="1" applyFill="1" applyAlignment="1">
      <alignment vertical="center"/>
    </xf>
    <xf numFmtId="0" fontId="51" fillId="0" borderId="17" xfId="16" applyFont="1" applyFill="1" applyBorder="1" applyAlignment="1">
      <alignment vertical="center"/>
    </xf>
    <xf numFmtId="0" fontId="53" fillId="0" borderId="0" xfId="16" applyFont="1" applyAlignment="1">
      <alignment vertical="center"/>
    </xf>
    <xf numFmtId="0" fontId="54" fillId="9" borderId="2" xfId="16" applyFont="1" applyFill="1" applyBorder="1" applyAlignment="1">
      <alignment horizontal="center" vertical="center" wrapText="1"/>
    </xf>
    <xf numFmtId="3" fontId="54" fillId="0" borderId="2" xfId="16" applyNumberFormat="1" applyFont="1" applyFill="1" applyBorder="1" applyAlignment="1">
      <alignment horizontal="center" vertical="center"/>
    </xf>
    <xf numFmtId="3" fontId="55" fillId="29" borderId="2" xfId="16" applyNumberFormat="1" applyFont="1" applyFill="1" applyBorder="1" applyAlignment="1">
      <alignment horizontal="center" vertical="center"/>
    </xf>
    <xf numFmtId="3" fontId="55" fillId="5" borderId="2" xfId="16" applyNumberFormat="1" applyFont="1" applyFill="1" applyBorder="1" applyAlignment="1">
      <alignment horizontal="center" vertical="center"/>
    </xf>
    <xf numFmtId="0" fontId="55" fillId="0" borderId="0" xfId="16" applyFont="1" applyFill="1" applyBorder="1" applyAlignment="1">
      <alignment vertical="center" wrapText="1"/>
    </xf>
    <xf numFmtId="3" fontId="56" fillId="0" borderId="0" xfId="16" applyNumberFormat="1" applyFont="1" applyFill="1" applyBorder="1" applyAlignment="1">
      <alignment horizontal="center" vertical="center"/>
    </xf>
    <xf numFmtId="0" fontId="54" fillId="0" borderId="31" xfId="16" applyFont="1" applyFill="1" applyBorder="1" applyAlignment="1">
      <alignment horizontal="center" vertical="center"/>
    </xf>
    <xf numFmtId="3" fontId="55" fillId="0" borderId="0" xfId="16" applyNumberFormat="1" applyFont="1" applyFill="1" applyBorder="1" applyAlignment="1">
      <alignment horizontal="center" vertical="center"/>
    </xf>
    <xf numFmtId="173" fontId="55" fillId="0" borderId="2" xfId="16" applyNumberFormat="1" applyFont="1" applyFill="1" applyBorder="1" applyAlignment="1">
      <alignment horizontal="center" vertical="center"/>
    </xf>
    <xf numFmtId="0" fontId="54" fillId="0" borderId="31" xfId="16" applyFont="1" applyFill="1" applyBorder="1" applyAlignment="1">
      <alignment horizontal="center" vertical="center" wrapText="1"/>
    </xf>
    <xf numFmtId="10" fontId="51" fillId="0" borderId="0" xfId="99" applyNumberFormat="1" applyFont="1" applyFill="1" applyAlignment="1">
      <alignment vertical="center"/>
    </xf>
    <xf numFmtId="175" fontId="56" fillId="0" borderId="0" xfId="99" applyNumberFormat="1" applyFont="1" applyFill="1" applyBorder="1" applyAlignment="1">
      <alignment horizontal="center" vertical="center"/>
    </xf>
    <xf numFmtId="0" fontId="57" fillId="0" borderId="0" xfId="16" applyFont="1" applyFill="1" applyAlignment="1">
      <alignment vertical="center"/>
    </xf>
    <xf numFmtId="175" fontId="51" fillId="0" borderId="0" xfId="16" applyNumberFormat="1" applyFont="1" applyFill="1" applyAlignment="1">
      <alignment vertical="center"/>
    </xf>
    <xf numFmtId="0" fontId="54" fillId="0" borderId="31" xfId="16" applyFont="1" applyFill="1" applyBorder="1" applyAlignment="1">
      <alignment horizontal="right" vertical="center"/>
    </xf>
    <xf numFmtId="0" fontId="54" fillId="0" borderId="0" xfId="16" applyFont="1" applyFill="1" applyBorder="1" applyAlignment="1">
      <alignment horizontal="center" vertical="center"/>
    </xf>
    <xf numFmtId="0" fontId="51" fillId="0" borderId="0" xfId="16" applyFont="1" applyFill="1" applyAlignment="1">
      <alignment horizontal="right" vertical="center" wrapText="1"/>
    </xf>
    <xf numFmtId="182" fontId="56" fillId="0" borderId="0" xfId="99" applyNumberFormat="1" applyFont="1" applyFill="1" applyBorder="1" applyAlignment="1">
      <alignment horizontal="left" vertical="center"/>
    </xf>
    <xf numFmtId="17" fontId="51" fillId="0" borderId="0" xfId="16" applyNumberFormat="1" applyFont="1" applyFill="1" applyAlignment="1">
      <alignment vertical="center"/>
    </xf>
    <xf numFmtId="0" fontId="51" fillId="0" borderId="0" xfId="16" applyFont="1" applyFill="1" applyAlignment="1">
      <alignment horizontal="right" vertical="center"/>
    </xf>
    <xf numFmtId="0" fontId="55" fillId="0" borderId="0" xfId="16" applyFont="1" applyFill="1" applyBorder="1" applyAlignment="1">
      <alignment horizontal="right" vertical="center" wrapText="1"/>
    </xf>
    <xf numFmtId="10" fontId="55" fillId="0" borderId="0" xfId="99" applyNumberFormat="1" applyFont="1" applyFill="1" applyBorder="1" applyAlignment="1">
      <alignment horizontal="center" vertical="center"/>
    </xf>
    <xf numFmtId="9" fontId="51" fillId="0" borderId="0" xfId="16" applyNumberFormat="1" applyFont="1" applyFill="1" applyAlignment="1">
      <alignment vertical="center"/>
    </xf>
    <xf numFmtId="0" fontId="56" fillId="0" borderId="0" xfId="16" applyFont="1" applyFill="1" applyBorder="1" applyAlignment="1">
      <alignment horizontal="right" vertical="center" wrapText="1"/>
    </xf>
    <xf numFmtId="10" fontId="56" fillId="0" borderId="0" xfId="16" applyNumberFormat="1" applyFont="1" applyFill="1" applyBorder="1" applyAlignment="1">
      <alignment horizontal="center" vertical="center" wrapText="1"/>
    </xf>
    <xf numFmtId="175" fontId="58" fillId="0" borderId="0" xfId="99" applyNumberFormat="1" applyFont="1" applyFill="1" applyAlignment="1">
      <alignment horizontal="center" vertical="center"/>
    </xf>
    <xf numFmtId="173" fontId="51" fillId="0" borderId="0" xfId="16" applyNumberFormat="1" applyFont="1" applyFill="1" applyAlignment="1">
      <alignment vertical="center"/>
    </xf>
    <xf numFmtId="10" fontId="51" fillId="0" borderId="0" xfId="16" applyNumberFormat="1" applyFont="1" applyFill="1" applyAlignment="1">
      <alignment vertical="center"/>
    </xf>
    <xf numFmtId="10" fontId="51" fillId="0" borderId="0" xfId="99" applyNumberFormat="1" applyFont="1" applyAlignment="1">
      <alignment vertical="center"/>
    </xf>
    <xf numFmtId="10" fontId="51" fillId="0" borderId="0" xfId="16" applyNumberFormat="1" applyFont="1" applyAlignment="1">
      <alignment vertical="center"/>
    </xf>
    <xf numFmtId="0" fontId="50" fillId="0" borderId="0" xfId="8" applyFont="1" applyFill="1" applyAlignment="1">
      <alignment vertical="center"/>
    </xf>
    <xf numFmtId="0" fontId="9" fillId="0" borderId="0" xfId="8" applyFont="1"/>
    <xf numFmtId="0" fontId="51" fillId="0" borderId="0" xfId="8" applyFont="1"/>
    <xf numFmtId="0" fontId="51" fillId="0" borderId="13" xfId="8" applyFont="1" applyBorder="1"/>
    <xf numFmtId="0" fontId="51" fillId="0" borderId="29" xfId="8" applyFont="1" applyBorder="1"/>
    <xf numFmtId="0" fontId="51" fillId="0" borderId="14" xfId="8" applyFont="1" applyBorder="1"/>
    <xf numFmtId="0" fontId="51" fillId="0" borderId="0" xfId="8" applyFont="1" applyBorder="1"/>
    <xf numFmtId="0" fontId="52" fillId="0" borderId="15" xfId="8" applyFont="1" applyBorder="1"/>
    <xf numFmtId="0" fontId="51" fillId="0" borderId="16" xfId="8" applyFont="1" applyBorder="1"/>
    <xf numFmtId="0" fontId="51" fillId="0" borderId="15" xfId="8" applyFont="1" applyBorder="1"/>
    <xf numFmtId="0" fontId="51" fillId="0" borderId="17" xfId="8" applyFont="1" applyBorder="1"/>
    <xf numFmtId="0" fontId="51" fillId="0" borderId="30" xfId="8" applyFont="1" applyBorder="1"/>
    <xf numFmtId="0" fontId="51" fillId="0" borderId="18" xfId="8" applyFont="1" applyBorder="1"/>
    <xf numFmtId="0" fontId="20" fillId="0" borderId="10" xfId="8" applyFont="1" applyFill="1" applyBorder="1" applyAlignment="1">
      <alignment vertical="center"/>
    </xf>
    <xf numFmtId="0" fontId="20" fillId="0" borderId="32" xfId="8" applyFont="1" applyFill="1" applyBorder="1" applyAlignment="1">
      <alignment vertical="center"/>
    </xf>
    <xf numFmtId="0" fontId="20" fillId="0" borderId="20" xfId="8" applyFont="1" applyFill="1" applyBorder="1" applyAlignment="1">
      <alignment vertical="center"/>
    </xf>
    <xf numFmtId="0" fontId="21" fillId="0" borderId="10" xfId="8" applyFont="1" applyFill="1" applyBorder="1" applyAlignment="1">
      <alignment vertical="center" wrapText="1"/>
    </xf>
    <xf numFmtId="0" fontId="21" fillId="0" borderId="32" xfId="8" applyFont="1" applyFill="1" applyBorder="1" applyAlignment="1">
      <alignment horizontal="center" vertical="center"/>
    </xf>
    <xf numFmtId="0" fontId="21" fillId="0" borderId="20" xfId="8" applyFont="1" applyFill="1" applyBorder="1" applyAlignment="1">
      <alignment vertical="center" wrapText="1"/>
    </xf>
    <xf numFmtId="0" fontId="21" fillId="9" borderId="2" xfId="59" applyFont="1" applyFill="1" applyBorder="1" applyAlignment="1" applyProtection="1">
      <alignment horizontal="center" vertical="center"/>
      <protection locked="0"/>
    </xf>
    <xf numFmtId="0" fontId="21" fillId="9" borderId="2" xfId="8" applyFont="1" applyFill="1" applyBorder="1" applyAlignment="1">
      <alignment horizontal="center" vertical="center" wrapText="1"/>
    </xf>
    <xf numFmtId="0" fontId="20" fillId="7" borderId="2" xfId="8" applyFont="1" applyFill="1" applyBorder="1" applyAlignment="1">
      <alignment vertical="center"/>
    </xf>
    <xf numFmtId="0" fontId="20" fillId="0" borderId="2" xfId="59" applyNumberFormat="1" applyFont="1" applyFill="1" applyBorder="1" applyAlignment="1" applyProtection="1">
      <alignment horizontal="center" vertical="center" wrapText="1"/>
      <protection locked="0"/>
    </xf>
    <xf numFmtId="2" fontId="20" fillId="0" borderId="2" xfId="8" applyNumberFormat="1" applyFont="1" applyFill="1" applyBorder="1" applyAlignment="1">
      <alignment horizontal="center" vertical="center"/>
    </xf>
    <xf numFmtId="175" fontId="51" fillId="0" borderId="0" xfId="90" applyNumberFormat="1" applyFont="1"/>
    <xf numFmtId="0" fontId="51" fillId="0" borderId="0" xfId="8" applyFont="1" applyFill="1"/>
    <xf numFmtId="2" fontId="51" fillId="0" borderId="0" xfId="8" applyNumberFormat="1" applyFont="1" applyFill="1"/>
    <xf numFmtId="1" fontId="51" fillId="0" borderId="0" xfId="8" applyNumberFormat="1" applyFont="1" applyFill="1"/>
    <xf numFmtId="0" fontId="59" fillId="0" borderId="0" xfId="8" applyFont="1"/>
    <xf numFmtId="2" fontId="9" fillId="0" borderId="0" xfId="8" applyNumberFormat="1" applyFont="1"/>
    <xf numFmtId="0" fontId="9" fillId="0" borderId="1" xfId="8" applyFont="1" applyBorder="1"/>
    <xf numFmtId="166" fontId="9" fillId="0" borderId="13" xfId="8" applyNumberFormat="1" applyFont="1" applyBorder="1"/>
    <xf numFmtId="166" fontId="9" fillId="0" borderId="29" xfId="8" applyNumberFormat="1" applyFont="1" applyBorder="1"/>
    <xf numFmtId="166" fontId="9" fillId="0" borderId="14" xfId="8" applyNumberFormat="1" applyFont="1" applyBorder="1"/>
    <xf numFmtId="2" fontId="9" fillId="0" borderId="27" xfId="8" applyNumberFormat="1" applyFont="1" applyBorder="1"/>
    <xf numFmtId="2" fontId="9" fillId="0" borderId="28" xfId="8" applyNumberFormat="1" applyFont="1" applyBorder="1"/>
    <xf numFmtId="2" fontId="9" fillId="0" borderId="1" xfId="8" applyNumberFormat="1" applyFont="1" applyBorder="1"/>
    <xf numFmtId="0" fontId="60" fillId="0" borderId="0" xfId="101" applyFont="1" applyFill="1" applyProtection="1"/>
    <xf numFmtId="0" fontId="8" fillId="0" borderId="0" xfId="101" applyFill="1" applyAlignment="1" applyProtection="1">
      <alignment vertical="center"/>
    </xf>
    <xf numFmtId="0" fontId="11" fillId="0" borderId="0" xfId="101" applyFont="1" applyFill="1" applyAlignment="1" applyProtection="1">
      <alignment vertical="center"/>
    </xf>
    <xf numFmtId="0" fontId="8" fillId="0" borderId="0" xfId="101" applyFill="1" applyAlignment="1" applyProtection="1">
      <alignment horizontal="right" vertical="center"/>
    </xf>
    <xf numFmtId="166" fontId="8" fillId="0" borderId="0" xfId="101" applyNumberFormat="1" applyFill="1" applyAlignment="1" applyProtection="1">
      <alignment vertical="center"/>
    </xf>
    <xf numFmtId="172" fontId="9" fillId="0" borderId="0" xfId="8" applyNumberFormat="1" applyFont="1"/>
    <xf numFmtId="166" fontId="9" fillId="0" borderId="0" xfId="8" applyNumberFormat="1" applyFont="1"/>
    <xf numFmtId="0" fontId="61" fillId="0" borderId="0" xfId="8" applyFont="1" applyFill="1" applyAlignment="1">
      <alignment vertical="center"/>
    </xf>
    <xf numFmtId="0" fontId="8" fillId="0" borderId="0" xfId="8" applyFont="1" applyAlignment="1">
      <alignment vertical="center"/>
    </xf>
    <xf numFmtId="0" fontId="55" fillId="0" borderId="0" xfId="8" applyFont="1" applyAlignment="1">
      <alignment vertical="center"/>
    </xf>
    <xf numFmtId="0" fontId="62" fillId="0" borderId="13" xfId="8" applyFont="1" applyBorder="1" applyAlignment="1">
      <alignment vertical="center"/>
    </xf>
    <xf numFmtId="0" fontId="55" fillId="0" borderId="29" xfId="8" applyFont="1" applyBorder="1" applyAlignment="1">
      <alignment vertical="center"/>
    </xf>
    <xf numFmtId="0" fontId="55" fillId="0" borderId="14" xfId="8" applyFont="1" applyBorder="1" applyAlignment="1">
      <alignment vertical="center"/>
    </xf>
    <xf numFmtId="0" fontId="55" fillId="0" borderId="16" xfId="8" applyFont="1" applyBorder="1" applyAlignment="1">
      <alignment vertical="center"/>
    </xf>
    <xf numFmtId="0" fontId="55" fillId="0" borderId="18" xfId="8" applyFont="1" applyBorder="1" applyAlignment="1">
      <alignment vertical="center"/>
    </xf>
    <xf numFmtId="0" fontId="54" fillId="9" borderId="2" xfId="8" applyFont="1" applyFill="1" applyBorder="1" applyAlignment="1">
      <alignment horizontal="center" vertical="center" wrapText="1"/>
    </xf>
    <xf numFmtId="0" fontId="55" fillId="0" borderId="0" xfId="8" applyFont="1" applyFill="1" applyAlignment="1">
      <alignment vertical="center"/>
    </xf>
    <xf numFmtId="0" fontId="55" fillId="0" borderId="2" xfId="8" applyFont="1" applyFill="1" applyBorder="1" applyAlignment="1">
      <alignment horizontal="justify" vertical="center" wrapText="1"/>
    </xf>
    <xf numFmtId="170" fontId="55" fillId="0" borderId="2" xfId="8" applyNumberFormat="1" applyFont="1" applyFill="1" applyBorder="1" applyAlignment="1">
      <alignment horizontal="center" vertical="center" wrapText="1"/>
    </xf>
    <xf numFmtId="4" fontId="55" fillId="0" borderId="0" xfId="8" applyNumberFormat="1" applyFont="1" applyFill="1" applyAlignment="1">
      <alignment vertical="center"/>
    </xf>
    <xf numFmtId="170" fontId="55" fillId="0" borderId="0" xfId="8" applyNumberFormat="1" applyFont="1" applyAlignment="1">
      <alignment vertical="center"/>
    </xf>
    <xf numFmtId="3" fontId="55" fillId="0" borderId="2" xfId="8" applyNumberFormat="1" applyFont="1" applyFill="1" applyBorder="1" applyAlignment="1">
      <alignment horizontal="center" vertical="center" wrapText="1"/>
    </xf>
    <xf numFmtId="0" fontId="56" fillId="0" borderId="2" xfId="8" applyFont="1" applyFill="1" applyBorder="1" applyAlignment="1">
      <alignment horizontal="center" vertical="center" wrapText="1"/>
    </xf>
    <xf numFmtId="4" fontId="55" fillId="0" borderId="2" xfId="8" applyNumberFormat="1" applyFont="1" applyFill="1" applyBorder="1" applyAlignment="1">
      <alignment horizontal="center" vertical="center" wrapText="1"/>
    </xf>
    <xf numFmtId="4" fontId="55" fillId="0" borderId="2" xfId="8" applyNumberFormat="1" applyFont="1" applyFill="1" applyBorder="1" applyAlignment="1">
      <alignment vertical="center"/>
    </xf>
    <xf numFmtId="0" fontId="55" fillId="0" borderId="0" xfId="8" applyFont="1" applyFill="1" applyAlignment="1">
      <alignment horizontal="right" vertical="center"/>
    </xf>
    <xf numFmtId="3" fontId="55" fillId="0" borderId="2" xfId="8" applyNumberFormat="1" applyFont="1" applyFill="1" applyBorder="1" applyAlignment="1" applyProtection="1">
      <alignment vertical="center"/>
    </xf>
    <xf numFmtId="0" fontId="55" fillId="0" borderId="13" xfId="8" applyFont="1" applyFill="1" applyBorder="1" applyAlignment="1">
      <alignment vertical="center"/>
    </xf>
    <xf numFmtId="0" fontId="55" fillId="0" borderId="29" xfId="8" applyFont="1" applyFill="1" applyBorder="1" applyAlignment="1">
      <alignment vertical="center"/>
    </xf>
    <xf numFmtId="0" fontId="55" fillId="0" borderId="14" xfId="8" applyFont="1" applyFill="1" applyBorder="1" applyAlignment="1">
      <alignment vertical="center"/>
    </xf>
    <xf numFmtId="0" fontId="55" fillId="0" borderId="13" xfId="8" applyFont="1" applyFill="1" applyBorder="1" applyAlignment="1">
      <alignment horizontal="right" vertical="center"/>
    </xf>
    <xf numFmtId="184" fontId="55" fillId="0" borderId="29" xfId="40" applyNumberFormat="1" applyFont="1" applyFill="1" applyBorder="1" applyAlignment="1">
      <alignment vertical="center"/>
    </xf>
    <xf numFmtId="0" fontId="55" fillId="0" borderId="0" xfId="8" applyFont="1" applyFill="1" applyBorder="1" applyAlignment="1">
      <alignment vertical="center"/>
    </xf>
    <xf numFmtId="0" fontId="55" fillId="0" borderId="16" xfId="8" applyFont="1" applyFill="1" applyBorder="1" applyAlignment="1">
      <alignment vertical="center"/>
    </xf>
    <xf numFmtId="0" fontId="55" fillId="0" borderId="15" xfId="8" applyFont="1" applyFill="1" applyBorder="1" applyAlignment="1">
      <alignment horizontal="right" vertical="center"/>
    </xf>
    <xf numFmtId="170" fontId="55" fillId="5" borderId="2" xfId="8" applyNumberFormat="1" applyFont="1" applyFill="1" applyBorder="1" applyAlignment="1" applyProtection="1">
      <alignment vertical="center"/>
    </xf>
    <xf numFmtId="0" fontId="55" fillId="0" borderId="15" xfId="8" applyFont="1" applyFill="1" applyBorder="1" applyAlignment="1">
      <alignment vertical="center"/>
    </xf>
    <xf numFmtId="0" fontId="55" fillId="0" borderId="0" xfId="8" applyFont="1" applyFill="1" applyBorder="1" applyAlignment="1">
      <alignment horizontal="center" vertical="center"/>
    </xf>
    <xf numFmtId="0" fontId="55" fillId="0" borderId="17" xfId="8" applyFont="1" applyFill="1" applyBorder="1" applyAlignment="1">
      <alignment horizontal="right" vertical="center"/>
    </xf>
    <xf numFmtId="2" fontId="55" fillId="5" borderId="30" xfId="8" applyNumberFormat="1" applyFont="1" applyFill="1" applyBorder="1" applyAlignment="1">
      <alignment horizontal="center" vertical="center"/>
    </xf>
    <xf numFmtId="2" fontId="55" fillId="0" borderId="30" xfId="8" applyNumberFormat="1" applyFont="1" applyFill="1" applyBorder="1" applyAlignment="1">
      <alignment horizontal="center" vertical="center"/>
    </xf>
    <xf numFmtId="0" fontId="55" fillId="0" borderId="30" xfId="8" applyFont="1" applyFill="1" applyBorder="1" applyAlignment="1">
      <alignment vertical="center"/>
    </xf>
    <xf numFmtId="0" fontId="55" fillId="0" borderId="18" xfId="8" applyFont="1" applyFill="1" applyBorder="1" applyAlignment="1">
      <alignment vertical="center"/>
    </xf>
    <xf numFmtId="43" fontId="55" fillId="0" borderId="0" xfId="40" applyFont="1" applyFill="1" applyBorder="1" applyAlignment="1">
      <alignment vertical="center"/>
    </xf>
    <xf numFmtId="0" fontId="54" fillId="0" borderId="0" xfId="8" applyFont="1" applyFill="1" applyBorder="1" applyAlignment="1">
      <alignment vertical="center"/>
    </xf>
    <xf numFmtId="0" fontId="54" fillId="0" borderId="16" xfId="8" applyFont="1" applyFill="1" applyBorder="1" applyAlignment="1">
      <alignment vertical="center"/>
    </xf>
    <xf numFmtId="185" fontId="25" fillId="0" borderId="2" xfId="8" applyNumberFormat="1" applyFont="1" applyFill="1" applyBorder="1" applyAlignment="1">
      <alignment horizontal="center"/>
    </xf>
    <xf numFmtId="185" fontId="25" fillId="0" borderId="33" xfId="8" applyNumberFormat="1" applyFont="1" applyFill="1" applyBorder="1" applyAlignment="1">
      <alignment horizontal="center"/>
    </xf>
    <xf numFmtId="0" fontId="55" fillId="0" borderId="0" xfId="8" applyFont="1" applyFill="1" applyBorder="1" applyAlignment="1">
      <alignment horizontal="right" vertical="center"/>
    </xf>
    <xf numFmtId="0" fontId="55" fillId="0" borderId="16" xfId="8" applyFont="1" applyFill="1" applyBorder="1" applyAlignment="1">
      <alignment horizontal="right" vertical="center"/>
    </xf>
    <xf numFmtId="0" fontId="63" fillId="0" borderId="15" xfId="8" applyFont="1" applyFill="1" applyBorder="1" applyAlignment="1">
      <alignment horizontal="right" vertical="center"/>
    </xf>
    <xf numFmtId="3" fontId="55" fillId="0" borderId="34" xfId="8" applyNumberFormat="1" applyFont="1" applyFill="1" applyBorder="1" applyAlignment="1">
      <alignment horizontal="center" vertical="center"/>
    </xf>
    <xf numFmtId="0" fontId="55" fillId="0" borderId="17" xfId="8" applyFont="1" applyFill="1" applyBorder="1" applyAlignment="1">
      <alignment vertical="center"/>
    </xf>
    <xf numFmtId="170" fontId="55" fillId="0" borderId="2" xfId="8" applyNumberFormat="1" applyFont="1" applyFill="1" applyBorder="1" applyAlignment="1" applyProtection="1">
      <alignment vertical="center"/>
    </xf>
    <xf numFmtId="0" fontId="8" fillId="0" borderId="0" xfId="8" applyFont="1" applyAlignment="1">
      <alignment horizontal="right" vertical="center"/>
    </xf>
    <xf numFmtId="0" fontId="64" fillId="0" borderId="0" xfId="102" applyAlignment="1" applyProtection="1">
      <alignment horizontal="right"/>
    </xf>
    <xf numFmtId="0" fontId="1" fillId="0" borderId="0" xfId="103"/>
    <xf numFmtId="0" fontId="9" fillId="0" borderId="0" xfId="16" applyFill="1"/>
    <xf numFmtId="3" fontId="9" fillId="0" borderId="0" xfId="16" applyNumberFormat="1" applyFill="1"/>
    <xf numFmtId="4" fontId="10" fillId="0" borderId="0" xfId="16" applyNumberFormat="1" applyFont="1" applyAlignment="1">
      <alignment horizontal="center" vertical="center"/>
    </xf>
    <xf numFmtId="181" fontId="10" fillId="0" borderId="0" xfId="16" applyNumberFormat="1" applyFont="1" applyAlignment="1">
      <alignment horizontal="center" vertical="center"/>
    </xf>
    <xf numFmtId="3" fontId="9" fillId="2" borderId="3" xfId="16" applyNumberFormat="1" applyFill="1" applyBorder="1" applyAlignment="1">
      <alignment horizontal="center" vertical="center"/>
    </xf>
    <xf numFmtId="3" fontId="68" fillId="2" borderId="1" xfId="16" applyNumberFormat="1" applyFont="1" applyFill="1" applyBorder="1" applyAlignment="1">
      <alignment horizontal="center" vertical="center"/>
    </xf>
    <xf numFmtId="3" fontId="9" fillId="0" borderId="0" xfId="16" applyNumberFormat="1" applyAlignment="1">
      <alignment horizontal="center" vertical="center"/>
    </xf>
    <xf numFmtId="9" fontId="9" fillId="0" borderId="0" xfId="98" applyFont="1" applyAlignment="1">
      <alignment horizontal="center" vertical="center"/>
    </xf>
    <xf numFmtId="0" fontId="9" fillId="0" borderId="0" xfId="16" applyAlignment="1">
      <alignment horizontal="center" vertical="center"/>
    </xf>
    <xf numFmtId="0" fontId="10" fillId="2" borderId="37" xfId="16" applyFont="1" applyFill="1" applyBorder="1" applyAlignment="1">
      <alignment horizontal="center" vertical="center"/>
    </xf>
    <xf numFmtId="0" fontId="9" fillId="0" borderId="39" xfId="16" applyFill="1" applyBorder="1" applyAlignment="1">
      <alignment horizontal="center" vertical="center"/>
    </xf>
    <xf numFmtId="0" fontId="9" fillId="0" borderId="40" xfId="16" applyFill="1" applyBorder="1" applyAlignment="1">
      <alignment horizontal="center" vertical="center"/>
    </xf>
    <xf numFmtId="3" fontId="9" fillId="0" borderId="39" xfId="16" applyNumberFormat="1" applyFill="1" applyBorder="1"/>
    <xf numFmtId="3" fontId="9" fillId="0" borderId="40" xfId="16" applyNumberFormat="1" applyFill="1" applyBorder="1"/>
    <xf numFmtId="3" fontId="10" fillId="0" borderId="10" xfId="16" applyNumberFormat="1" applyFont="1" applyBorder="1"/>
    <xf numFmtId="3" fontId="10" fillId="0" borderId="20" xfId="16" applyNumberFormat="1" applyFont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" fontId="0" fillId="0" borderId="2" xfId="0" applyNumberFormat="1" applyFill="1" applyBorder="1" applyAlignment="1">
      <alignment horizontal="left" vertical="top"/>
    </xf>
    <xf numFmtId="3" fontId="0" fillId="0" borderId="2" xfId="0" applyNumberFormat="1" applyFill="1" applyBorder="1" applyAlignment="1">
      <alignment horizontal="left" vertical="top"/>
    </xf>
    <xf numFmtId="0" fontId="0" fillId="0" borderId="2" xfId="0" applyNumberFormat="1" applyFill="1" applyBorder="1" applyAlignment="1">
      <alignment horizontal="left" vertical="top"/>
    </xf>
    <xf numFmtId="166" fontId="0" fillId="0" borderId="0" xfId="0" applyNumberFormat="1" applyFill="1"/>
    <xf numFmtId="165" fontId="0" fillId="0" borderId="0" xfId="0" applyNumberFormat="1" applyFill="1"/>
    <xf numFmtId="4" fontId="0" fillId="0" borderId="0" xfId="0" applyNumberFormat="1" applyFill="1"/>
    <xf numFmtId="165" fontId="0" fillId="0" borderId="2" xfId="0" applyNumberFormat="1" applyFill="1" applyBorder="1" applyAlignment="1">
      <alignment horizontal="left" vertical="top"/>
    </xf>
    <xf numFmtId="4" fontId="46" fillId="0" borderId="0" xfId="0" applyNumberFormat="1" applyFont="1" applyFill="1"/>
    <xf numFmtId="0" fontId="0" fillId="0" borderId="0" xfId="0" applyFill="1" applyAlignment="1">
      <alignment wrapText="1"/>
    </xf>
    <xf numFmtId="0" fontId="0" fillId="0" borderId="2" xfId="0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9" fillId="0" borderId="0" xfId="5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0" fontId="14" fillId="0" borderId="0" xfId="5" applyFont="1" applyAlignment="1">
      <alignment horizontal="center" vertical="center"/>
    </xf>
    <xf numFmtId="165" fontId="9" fillId="0" borderId="0" xfId="5" applyNumberFormat="1" applyAlignment="1">
      <alignment horizontal="center" vertical="center"/>
    </xf>
    <xf numFmtId="0" fontId="9" fillId="0" borderId="0" xfId="5" applyAlignment="1">
      <alignment vertical="center"/>
    </xf>
    <xf numFmtId="0" fontId="9" fillId="0" borderId="0" xfId="5" applyFill="1" applyAlignment="1">
      <alignment vertical="center"/>
    </xf>
    <xf numFmtId="0" fontId="9" fillId="0" borderId="0" xfId="16" applyAlignment="1">
      <alignment vertical="center"/>
    </xf>
    <xf numFmtId="0" fontId="47" fillId="0" borderId="0" xfId="0" applyFont="1" applyAlignment="1">
      <alignment horizontal="right" vertical="center"/>
    </xf>
    <xf numFmtId="4" fontId="10" fillId="0" borderId="0" xfId="16" applyNumberFormat="1" applyFont="1" applyAlignment="1">
      <alignment vertical="center"/>
    </xf>
    <xf numFmtId="0" fontId="9" fillId="7" borderId="0" xfId="5" applyFill="1" applyAlignment="1">
      <alignment vertical="center"/>
    </xf>
    <xf numFmtId="0" fontId="10" fillId="7" borderId="0" xfId="5" applyFont="1" applyFill="1" applyAlignment="1">
      <alignment vertical="center"/>
    </xf>
    <xf numFmtId="0" fontId="9" fillId="0" borderId="0" xfId="5" applyAlignment="1">
      <alignment vertical="center" wrapText="1"/>
    </xf>
    <xf numFmtId="0" fontId="10" fillId="0" borderId="36" xfId="16" applyFont="1" applyFill="1" applyBorder="1" applyAlignment="1">
      <alignment vertical="center"/>
    </xf>
    <xf numFmtId="0" fontId="10" fillId="0" borderId="38" xfId="16" applyFont="1" applyFill="1" applyBorder="1" applyAlignment="1">
      <alignment vertical="center"/>
    </xf>
    <xf numFmtId="0" fontId="10" fillId="8" borderId="0" xfId="5" applyFont="1" applyFill="1" applyAlignment="1">
      <alignment vertical="center"/>
    </xf>
    <xf numFmtId="0" fontId="9" fillId="9" borderId="11" xfId="5" applyFill="1" applyBorder="1" applyAlignment="1">
      <alignment vertical="center"/>
    </xf>
    <xf numFmtId="0" fontId="10" fillId="7" borderId="0" xfId="5" applyFont="1" applyFill="1" applyAlignment="1">
      <alignment vertical="center" wrapText="1"/>
    </xf>
    <xf numFmtId="0" fontId="10" fillId="7" borderId="0" xfId="5" applyFont="1" applyFill="1" applyAlignment="1">
      <alignment horizontal="center" vertical="center"/>
    </xf>
    <xf numFmtId="0" fontId="44" fillId="5" borderId="0" xfId="0" applyFont="1" applyFill="1" applyAlignment="1">
      <alignment vertical="center"/>
    </xf>
    <xf numFmtId="0" fontId="9" fillId="0" borderId="0" xfId="5" applyAlignment="1">
      <alignment horizontal="right" vertical="center"/>
    </xf>
    <xf numFmtId="0" fontId="69" fillId="0" borderId="0" xfId="0" applyFont="1" applyFill="1" applyProtection="1"/>
    <xf numFmtId="0" fontId="11" fillId="0" borderId="2" xfId="5" applyFont="1" applyFill="1" applyBorder="1" applyAlignment="1" applyProtection="1">
      <alignment horizontal="right" wrapText="1"/>
    </xf>
    <xf numFmtId="165" fontId="9" fillId="0" borderId="2" xfId="5" applyNumberFormat="1" applyFill="1" applyBorder="1" applyAlignment="1" applyProtection="1">
      <alignment vertical="center"/>
    </xf>
    <xf numFmtId="165" fontId="9" fillId="9" borderId="2" xfId="5" applyNumberFormat="1" applyFill="1" applyBorder="1" applyAlignment="1" applyProtection="1">
      <alignment vertical="center"/>
    </xf>
    <xf numFmtId="165" fontId="9" fillId="0" borderId="10" xfId="5" applyNumberFormat="1" applyFill="1" applyBorder="1" applyAlignment="1" applyProtection="1">
      <alignment vertical="center"/>
    </xf>
    <xf numFmtId="165" fontId="9" fillId="0" borderId="1" xfId="5" applyNumberFormat="1" applyFill="1" applyBorder="1" applyAlignment="1" applyProtection="1">
      <alignment vertical="center"/>
    </xf>
    <xf numFmtId="166" fontId="9" fillId="0" borderId="2" xfId="5" applyNumberFormat="1" applyFill="1" applyBorder="1" applyAlignment="1" applyProtection="1">
      <alignment vertical="center"/>
    </xf>
    <xf numFmtId="0" fontId="10" fillId="0" borderId="0" xfId="5" applyFont="1"/>
    <xf numFmtId="0" fontId="10" fillId="9" borderId="42" xfId="5" applyFont="1" applyFill="1" applyBorder="1" applyAlignment="1">
      <alignment horizontal="center" vertical="center" wrapText="1"/>
    </xf>
    <xf numFmtId="0" fontId="10" fillId="9" borderId="43" xfId="5" applyFont="1" applyFill="1" applyBorder="1" applyAlignment="1">
      <alignment horizontal="center" vertical="center" wrapText="1"/>
    </xf>
    <xf numFmtId="0" fontId="10" fillId="9" borderId="44" xfId="5" applyFont="1" applyFill="1" applyBorder="1" applyAlignment="1">
      <alignment horizontal="center" vertical="center"/>
    </xf>
    <xf numFmtId="165" fontId="9" fillId="0" borderId="45" xfId="5" applyNumberFormat="1" applyBorder="1" applyAlignment="1">
      <alignment horizontal="center" vertical="center"/>
    </xf>
    <xf numFmtId="0" fontId="9" fillId="0" borderId="46" xfId="5" applyBorder="1"/>
    <xf numFmtId="3" fontId="9" fillId="0" borderId="47" xfId="5" applyNumberFormat="1" applyBorder="1"/>
    <xf numFmtId="0" fontId="14" fillId="0" borderId="46" xfId="5" applyFont="1" applyBorder="1"/>
    <xf numFmtId="165" fontId="9" fillId="0" borderId="48" xfId="5" applyNumberFormat="1" applyBorder="1" applyAlignment="1">
      <alignment horizontal="center" vertical="center"/>
    </xf>
    <xf numFmtId="0" fontId="14" fillId="0" borderId="49" xfId="5" applyFont="1" applyBorder="1"/>
    <xf numFmtId="3" fontId="9" fillId="0" borderId="50" xfId="5" applyNumberFormat="1" applyBorder="1"/>
    <xf numFmtId="0" fontId="10" fillId="30" borderId="43" xfId="5" applyFont="1" applyFill="1" applyBorder="1" applyAlignment="1">
      <alignment horizontal="center" vertical="center"/>
    </xf>
    <xf numFmtId="3" fontId="9" fillId="30" borderId="46" xfId="5" applyNumberFormat="1" applyFill="1" applyBorder="1"/>
    <xf numFmtId="3" fontId="9" fillId="30" borderId="49" xfId="5" applyNumberFormat="1" applyFill="1" applyBorder="1"/>
    <xf numFmtId="0" fontId="10" fillId="9" borderId="42" xfId="5" applyFont="1" applyFill="1" applyBorder="1" applyAlignment="1">
      <alignment horizontal="center" vertical="center"/>
    </xf>
    <xf numFmtId="0" fontId="10" fillId="9" borderId="43" xfId="5" applyFont="1" applyFill="1" applyBorder="1" applyAlignment="1">
      <alignment horizontal="center" vertical="center"/>
    </xf>
    <xf numFmtId="3" fontId="9" fillId="0" borderId="45" xfId="5" applyNumberFormat="1" applyBorder="1"/>
    <xf numFmtId="3" fontId="9" fillId="0" borderId="46" xfId="5" applyNumberFormat="1" applyBorder="1"/>
    <xf numFmtId="3" fontId="9" fillId="0" borderId="48" xfId="5" applyNumberFormat="1" applyBorder="1"/>
    <xf numFmtId="3" fontId="9" fillId="0" borderId="49" xfId="5" applyNumberFormat="1" applyBorder="1"/>
    <xf numFmtId="0" fontId="10" fillId="9" borderId="51" xfId="5" applyFont="1" applyFill="1" applyBorder="1" applyAlignment="1">
      <alignment horizontal="center" vertical="center"/>
    </xf>
    <xf numFmtId="3" fontId="9" fillId="0" borderId="52" xfId="5" applyNumberFormat="1" applyBorder="1"/>
    <xf numFmtId="3" fontId="9" fillId="0" borderId="53" xfId="5" applyNumberFormat="1" applyBorder="1"/>
    <xf numFmtId="0" fontId="10" fillId="9" borderId="54" xfId="5" applyFont="1" applyFill="1" applyBorder="1" applyAlignment="1">
      <alignment horizontal="center" vertical="center"/>
    </xf>
    <xf numFmtId="3" fontId="9" fillId="10" borderId="55" xfId="5" applyNumberFormat="1" applyFill="1" applyBorder="1"/>
    <xf numFmtId="3" fontId="9" fillId="10" borderId="56" xfId="5" applyNumberFormat="1" applyFill="1" applyBorder="1"/>
    <xf numFmtId="0" fontId="70" fillId="0" borderId="0" xfId="5" applyFont="1" applyFill="1" applyAlignment="1">
      <alignment vertical="center"/>
    </xf>
    <xf numFmtId="0" fontId="70" fillId="0" borderId="0" xfId="5" applyFont="1" applyFill="1" applyAlignment="1">
      <alignment horizontal="center" vertical="center"/>
    </xf>
    <xf numFmtId="10" fontId="70" fillId="0" borderId="0" xfId="5" applyNumberFormat="1" applyFont="1" applyFill="1" applyAlignment="1">
      <alignment vertical="center"/>
    </xf>
    <xf numFmtId="0" fontId="71" fillId="0" borderId="0" xfId="5" applyFont="1" applyFill="1" applyAlignment="1">
      <alignment horizontal="center" vertical="center"/>
    </xf>
    <xf numFmtId="166" fontId="70" fillId="0" borderId="2" xfId="5" applyNumberFormat="1" applyFont="1" applyFill="1" applyBorder="1" applyAlignment="1" applyProtection="1">
      <alignment vertical="center"/>
    </xf>
    <xf numFmtId="0" fontId="72" fillId="0" borderId="0" xfId="5" applyFont="1" applyFill="1" applyAlignment="1">
      <alignment vertical="center"/>
    </xf>
    <xf numFmtId="0" fontId="72" fillId="0" borderId="0" xfId="5" applyFont="1" applyFill="1" applyAlignment="1">
      <alignment horizontal="center" vertical="center"/>
    </xf>
    <xf numFmtId="10" fontId="72" fillId="0" borderId="0" xfId="5" applyNumberFormat="1" applyFont="1" applyFill="1" applyAlignment="1">
      <alignment vertical="center"/>
    </xf>
    <xf numFmtId="0" fontId="73" fillId="0" borderId="0" xfId="5" applyFont="1" applyFill="1" applyAlignment="1">
      <alignment horizontal="center" vertical="center"/>
    </xf>
    <xf numFmtId="0" fontId="74" fillId="0" borderId="0" xfId="0" applyFont="1" applyAlignment="1">
      <alignment horizontal="center" vertical="center"/>
    </xf>
    <xf numFmtId="4" fontId="76" fillId="0" borderId="0" xfId="16" applyNumberFormat="1" applyFont="1" applyAlignment="1">
      <alignment horizontal="center" vertical="center"/>
    </xf>
    <xf numFmtId="181" fontId="76" fillId="0" borderId="0" xfId="16" applyNumberFormat="1" applyFont="1" applyAlignment="1">
      <alignment horizontal="center" vertical="center"/>
    </xf>
    <xf numFmtId="0" fontId="76" fillId="2" borderId="37" xfId="16" applyFont="1" applyFill="1" applyBorder="1" applyAlignment="1">
      <alignment horizontal="center" vertical="center"/>
    </xf>
    <xf numFmtId="0" fontId="9" fillId="0" borderId="57" xfId="16" applyFill="1" applyBorder="1" applyAlignment="1">
      <alignment horizontal="center" vertical="center"/>
    </xf>
    <xf numFmtId="3" fontId="9" fillId="0" borderId="57" xfId="16" applyNumberFormat="1" applyFill="1" applyBorder="1"/>
    <xf numFmtId="0" fontId="9" fillId="0" borderId="46" xfId="5" applyFill="1" applyBorder="1"/>
    <xf numFmtId="3" fontId="9" fillId="0" borderId="46" xfId="16" applyNumberFormat="1" applyFill="1" applyBorder="1"/>
    <xf numFmtId="0" fontId="9" fillId="28" borderId="46" xfId="5" applyFill="1" applyBorder="1"/>
    <xf numFmtId="0" fontId="9" fillId="0" borderId="15" xfId="5" applyFill="1" applyBorder="1"/>
    <xf numFmtId="0" fontId="10" fillId="9" borderId="46" xfId="5" applyFont="1" applyFill="1" applyBorder="1" applyAlignment="1">
      <alignment horizontal="center" vertical="center"/>
    </xf>
    <xf numFmtId="0" fontId="44" fillId="9" borderId="46" xfId="0" applyFont="1" applyFill="1" applyBorder="1" applyAlignment="1">
      <alignment vertical="center"/>
    </xf>
    <xf numFmtId="0" fontId="77" fillId="9" borderId="46" xfId="5" applyFont="1" applyFill="1" applyBorder="1" applyAlignment="1">
      <alignment vertical="center"/>
    </xf>
    <xf numFmtId="0" fontId="77" fillId="9" borderId="46" xfId="5" applyFont="1" applyFill="1" applyBorder="1" applyAlignment="1">
      <alignment vertical="center" wrapText="1"/>
    </xf>
    <xf numFmtId="0" fontId="77" fillId="9" borderId="46" xfId="5" applyFont="1" applyFill="1" applyBorder="1" applyAlignment="1">
      <alignment horizontal="right" vertical="center"/>
    </xf>
    <xf numFmtId="0" fontId="77" fillId="9" borderId="46" xfId="16" applyFont="1" applyFill="1" applyBorder="1" applyAlignment="1">
      <alignment horizontal="center" vertical="center"/>
    </xf>
    <xf numFmtId="0" fontId="10" fillId="9" borderId="46" xfId="5" applyFont="1" applyFill="1" applyBorder="1" applyAlignment="1">
      <alignment horizontal="center" vertical="center" wrapText="1"/>
    </xf>
    <xf numFmtId="165" fontId="9" fillId="0" borderId="46" xfId="5" applyNumberFormat="1" applyFill="1" applyBorder="1"/>
    <xf numFmtId="3" fontId="9" fillId="0" borderId="46" xfId="5" applyNumberFormat="1" applyFill="1" applyBorder="1"/>
    <xf numFmtId="170" fontId="9" fillId="0" borderId="46" xfId="5" applyNumberFormat="1" applyFill="1" applyBorder="1"/>
    <xf numFmtId="4" fontId="9" fillId="0" borderId="46" xfId="5" applyNumberFormat="1" applyFill="1" applyBorder="1"/>
    <xf numFmtId="170" fontId="9" fillId="0" borderId="46" xfId="16" applyNumberFormat="1" applyFill="1" applyBorder="1"/>
    <xf numFmtId="3" fontId="9" fillId="0" borderId="46" xfId="16" applyNumberFormat="1" applyFill="1" applyBorder="1" applyAlignment="1">
      <alignment horizontal="center" vertical="center"/>
    </xf>
    <xf numFmtId="3" fontId="10" fillId="0" borderId="41" xfId="16" applyNumberFormat="1" applyFont="1" applyBorder="1"/>
    <xf numFmtId="3" fontId="68" fillId="0" borderId="46" xfId="16" applyNumberFormat="1" applyFont="1" applyFill="1" applyBorder="1" applyAlignment="1">
      <alignment horizontal="center" vertical="center"/>
    </xf>
    <xf numFmtId="0" fontId="9" fillId="0" borderId="52" xfId="5" applyFill="1" applyBorder="1"/>
    <xf numFmtId="0" fontId="9" fillId="0" borderId="46" xfId="16" applyFill="1" applyBorder="1"/>
    <xf numFmtId="3" fontId="10" fillId="0" borderId="46" xfId="16" applyNumberFormat="1" applyFont="1" applyFill="1" applyBorder="1"/>
    <xf numFmtId="0" fontId="77" fillId="9" borderId="46" xfId="16" applyFont="1" applyFill="1" applyBorder="1" applyAlignment="1">
      <alignment horizontal="center" vertical="center" wrapText="1"/>
    </xf>
    <xf numFmtId="0" fontId="10" fillId="0" borderId="52" xfId="5" applyFont="1" applyFill="1" applyBorder="1" applyAlignment="1">
      <alignment horizontal="right" vertical="center"/>
    </xf>
    <xf numFmtId="0" fontId="51" fillId="0" borderId="15" xfId="16" applyFont="1" applyFill="1" applyBorder="1" applyAlignment="1">
      <alignment vertical="center"/>
    </xf>
    <xf numFmtId="0" fontId="51" fillId="0" borderId="0" xfId="16" applyFont="1" applyFill="1" applyBorder="1" applyAlignment="1">
      <alignment vertical="center"/>
    </xf>
    <xf numFmtId="0" fontId="51" fillId="0" borderId="16" xfId="16" applyFont="1" applyFill="1" applyBorder="1" applyAlignment="1">
      <alignment vertical="center"/>
    </xf>
    <xf numFmtId="0" fontId="51" fillId="0" borderId="30" xfId="16" applyFont="1" applyFill="1" applyBorder="1" applyAlignment="1">
      <alignment vertical="center"/>
    </xf>
    <xf numFmtId="0" fontId="51" fillId="0" borderId="18" xfId="16" applyFont="1" applyFill="1" applyBorder="1" applyAlignment="1">
      <alignment vertical="center"/>
    </xf>
    <xf numFmtId="0" fontId="10" fillId="0" borderId="39" xfId="16" applyFont="1" applyFill="1" applyBorder="1" applyAlignment="1">
      <alignment vertical="center"/>
    </xf>
    <xf numFmtId="0" fontId="10" fillId="2" borderId="3" xfId="16" applyFont="1" applyFill="1" applyBorder="1" applyAlignment="1">
      <alignment horizontal="center" vertical="center"/>
    </xf>
    <xf numFmtId="0" fontId="10" fillId="0" borderId="40" xfId="16" applyFont="1" applyFill="1" applyBorder="1" applyAlignment="1">
      <alignment vertical="center"/>
    </xf>
    <xf numFmtId="0" fontId="52" fillId="0" borderId="0" xfId="16" applyFont="1" applyBorder="1" applyAlignment="1">
      <alignment vertical="center"/>
    </xf>
    <xf numFmtId="0" fontId="51" fillId="0" borderId="52" xfId="16" applyFont="1" applyBorder="1" applyAlignment="1">
      <alignment vertical="center"/>
    </xf>
    <xf numFmtId="0" fontId="51" fillId="0" borderId="58" xfId="16" applyFont="1" applyBorder="1" applyAlignment="1">
      <alignment vertical="center"/>
    </xf>
    <xf numFmtId="0" fontId="54" fillId="0" borderId="46" xfId="16" applyFont="1" applyBorder="1" applyAlignment="1">
      <alignment horizontal="right" vertical="center"/>
    </xf>
    <xf numFmtId="0" fontId="51" fillId="9" borderId="52" xfId="16" applyFont="1" applyFill="1" applyBorder="1" applyAlignment="1">
      <alignment vertical="center"/>
    </xf>
    <xf numFmtId="0" fontId="51" fillId="9" borderId="58" xfId="16" applyFont="1" applyFill="1" applyBorder="1" applyAlignment="1">
      <alignment vertical="center"/>
    </xf>
    <xf numFmtId="0" fontId="51" fillId="9" borderId="41" xfId="16" applyFont="1" applyFill="1" applyBorder="1" applyAlignment="1">
      <alignment vertical="center"/>
    </xf>
    <xf numFmtId="182" fontId="55" fillId="0" borderId="0" xfId="99" applyNumberFormat="1" applyFont="1" applyFill="1" applyBorder="1" applyAlignment="1">
      <alignment horizontal="center" vertical="center"/>
    </xf>
    <xf numFmtId="175" fontId="55" fillId="0" borderId="0" xfId="99" applyNumberFormat="1" applyFont="1" applyFill="1" applyBorder="1" applyAlignment="1">
      <alignment horizontal="center" vertical="center"/>
    </xf>
    <xf numFmtId="1" fontId="20" fillId="0" borderId="2" xfId="8" applyNumberFormat="1" applyFont="1" applyFill="1" applyBorder="1" applyAlignment="1">
      <alignment horizontal="center" vertical="center"/>
    </xf>
    <xf numFmtId="183" fontId="20" fillId="0" borderId="2" xfId="8" applyNumberFormat="1" applyFont="1" applyFill="1" applyBorder="1" applyAlignment="1">
      <alignment horizontal="center" vertical="center"/>
    </xf>
    <xf numFmtId="2" fontId="21" fillId="0" borderId="2" xfId="8" applyNumberFormat="1" applyFont="1" applyFill="1" applyBorder="1" applyAlignment="1">
      <alignment horizontal="center" vertical="center"/>
    </xf>
    <xf numFmtId="0" fontId="78" fillId="0" borderId="0" xfId="103" applyFont="1"/>
    <xf numFmtId="3" fontId="78" fillId="0" borderId="0" xfId="103" applyNumberFormat="1" applyFont="1"/>
    <xf numFmtId="175" fontId="79" fillId="0" borderId="0" xfId="104" applyNumberFormat="1" applyFont="1"/>
    <xf numFmtId="0" fontId="78" fillId="5" borderId="0" xfId="103" applyFont="1" applyFill="1" applyAlignment="1">
      <alignment horizontal="center"/>
    </xf>
    <xf numFmtId="10" fontId="79" fillId="0" borderId="0" xfId="104" applyNumberFormat="1" applyFont="1"/>
    <xf numFmtId="0" fontId="74" fillId="28" borderId="0" xfId="103" applyFont="1" applyFill="1"/>
    <xf numFmtId="0" fontId="78" fillId="28" borderId="0" xfId="103" applyFont="1" applyFill="1"/>
    <xf numFmtId="3" fontId="78" fillId="28" borderId="0" xfId="103" applyNumberFormat="1" applyFont="1" applyFill="1"/>
    <xf numFmtId="2" fontId="78" fillId="28" borderId="0" xfId="103" applyNumberFormat="1" applyFont="1" applyFill="1"/>
    <xf numFmtId="0" fontId="1" fillId="0" borderId="46" xfId="103" applyBorder="1"/>
    <xf numFmtId="0" fontId="1" fillId="0" borderId="0" xfId="103" applyBorder="1"/>
    <xf numFmtId="171" fontId="80" fillId="0" borderId="35" xfId="12" applyNumberFormat="1" applyFont="1" applyFill="1" applyBorder="1" applyAlignment="1">
      <alignment vertical="center" shrinkToFit="1"/>
    </xf>
    <xf numFmtId="0" fontId="1" fillId="0" borderId="0" xfId="103" applyAlignment="1">
      <alignment vertical="center"/>
    </xf>
    <xf numFmtId="0" fontId="1" fillId="0" borderId="0" xfId="103" applyBorder="1" applyAlignment="1">
      <alignment vertical="center"/>
    </xf>
    <xf numFmtId="0" fontId="47" fillId="0" borderId="27" xfId="103" applyFont="1" applyBorder="1" applyAlignment="1">
      <alignment vertical="center"/>
    </xf>
    <xf numFmtId="3" fontId="1" fillId="0" borderId="0" xfId="103" applyNumberFormat="1" applyAlignment="1">
      <alignment vertical="center"/>
    </xf>
    <xf numFmtId="10" fontId="0" fillId="0" borderId="0" xfId="104" applyNumberFormat="1" applyFont="1" applyAlignment="1">
      <alignment vertical="center"/>
    </xf>
    <xf numFmtId="10" fontId="21" fillId="0" borderId="2" xfId="104" applyNumberFormat="1" applyFont="1" applyFill="1" applyBorder="1" applyAlignment="1">
      <alignment horizontal="center" vertical="center"/>
    </xf>
    <xf numFmtId="0" fontId="81" fillId="0" borderId="2" xfId="12" applyFont="1" applyFill="1" applyBorder="1" applyAlignment="1">
      <alignment horizontal="right" vertical="center"/>
    </xf>
    <xf numFmtId="172" fontId="81" fillId="0" borderId="2" xfId="14" applyNumberFormat="1" applyFont="1" applyFill="1" applyBorder="1" applyAlignment="1">
      <alignment vertical="center"/>
    </xf>
    <xf numFmtId="173" fontId="82" fillId="0" borderId="2" xfId="12" applyNumberFormat="1" applyFont="1" applyFill="1" applyBorder="1" applyAlignment="1">
      <alignment horizontal="center" vertical="center"/>
    </xf>
    <xf numFmtId="3" fontId="82" fillId="0" borderId="2" xfId="8" applyNumberFormat="1" applyFont="1" applyFill="1" applyBorder="1" applyAlignment="1">
      <alignment horizontal="center" vertical="center"/>
    </xf>
    <xf numFmtId="170" fontId="54" fillId="0" borderId="2" xfId="8" applyNumberFormat="1" applyFont="1" applyFill="1" applyBorder="1" applyAlignment="1">
      <alignment horizontal="center" vertical="center" wrapText="1"/>
    </xf>
    <xf numFmtId="3" fontId="83" fillId="0" borderId="2" xfId="8" applyNumberFormat="1" applyFont="1" applyFill="1" applyBorder="1" applyAlignment="1">
      <alignment horizontal="center" vertical="center" wrapText="1"/>
    </xf>
    <xf numFmtId="0" fontId="55" fillId="0" borderId="0" xfId="8" applyFont="1" applyFill="1" applyBorder="1" applyAlignment="1">
      <alignment horizontal="justify" vertical="center" wrapText="1"/>
    </xf>
    <xf numFmtId="3" fontId="55" fillId="0" borderId="0" xfId="8" applyNumberFormat="1" applyFont="1" applyFill="1" applyBorder="1" applyAlignment="1">
      <alignment horizontal="center" vertical="center" wrapText="1"/>
    </xf>
    <xf numFmtId="4" fontId="55" fillId="0" borderId="0" xfId="8" applyNumberFormat="1" applyFont="1" applyFill="1" applyBorder="1" applyAlignment="1">
      <alignment vertical="center"/>
    </xf>
    <xf numFmtId="165" fontId="9" fillId="7" borderId="46" xfId="5" applyNumberFormat="1" applyFill="1" applyBorder="1"/>
    <xf numFmtId="3" fontId="9" fillId="7" borderId="46" xfId="5" applyNumberFormat="1" applyFill="1" applyBorder="1"/>
    <xf numFmtId="170" fontId="9" fillId="3" borderId="46" xfId="5" applyNumberFormat="1" applyFill="1" applyBorder="1"/>
    <xf numFmtId="3" fontId="9" fillId="3" borderId="46" xfId="5" applyNumberFormat="1" applyFill="1" applyBorder="1"/>
    <xf numFmtId="165" fontId="9" fillId="28" borderId="46" xfId="5" applyNumberFormat="1" applyFill="1" applyBorder="1"/>
    <xf numFmtId="3" fontId="9" fillId="28" borderId="46" xfId="5" applyNumberFormat="1" applyFill="1" applyBorder="1"/>
    <xf numFmtId="170" fontId="9" fillId="28" borderId="46" xfId="5" applyNumberFormat="1" applyFill="1" applyBorder="1"/>
    <xf numFmtId="3" fontId="10" fillId="0" borderId="59" xfId="5" applyNumberFormat="1" applyFont="1" applyBorder="1"/>
    <xf numFmtId="165" fontId="9" fillId="7" borderId="60" xfId="5" applyNumberFormat="1" applyFill="1" applyBorder="1"/>
    <xf numFmtId="3" fontId="9" fillId="7" borderId="60" xfId="5" applyNumberFormat="1" applyFill="1" applyBorder="1"/>
    <xf numFmtId="3" fontId="9" fillId="0" borderId="60" xfId="5" applyNumberFormat="1" applyBorder="1"/>
    <xf numFmtId="170" fontId="9" fillId="3" borderId="60" xfId="5" applyNumberFormat="1" applyFill="1" applyBorder="1"/>
    <xf numFmtId="3" fontId="9" fillId="3" borderId="60" xfId="5" applyNumberFormat="1" applyFill="1" applyBorder="1"/>
    <xf numFmtId="0" fontId="10" fillId="7" borderId="43" xfId="5" applyFont="1" applyFill="1" applyBorder="1" applyAlignment="1">
      <alignment vertical="center" wrapText="1"/>
    </xf>
    <xf numFmtId="0" fontId="10" fillId="7" borderId="43" xfId="5" applyFont="1" applyFill="1" applyBorder="1" applyAlignment="1">
      <alignment horizontal="center" vertical="center"/>
    </xf>
    <xf numFmtId="0" fontId="9" fillId="0" borderId="43" xfId="5" applyBorder="1" applyAlignment="1">
      <alignment vertical="center"/>
    </xf>
    <xf numFmtId="0" fontId="9" fillId="0" borderId="43" xfId="5" applyBorder="1" applyAlignment="1">
      <alignment vertical="center" wrapText="1"/>
    </xf>
    <xf numFmtId="0" fontId="9" fillId="0" borderId="45" xfId="5" applyFill="1" applyBorder="1"/>
    <xf numFmtId="0" fontId="9" fillId="28" borderId="45" xfId="5" applyFill="1" applyBorder="1"/>
    <xf numFmtId="0" fontId="9" fillId="0" borderId="61" xfId="5" applyFill="1" applyBorder="1"/>
    <xf numFmtId="0" fontId="9" fillId="0" borderId="62" xfId="5" applyFill="1" applyBorder="1"/>
    <xf numFmtId="0" fontId="9" fillId="0" borderId="63" xfId="5" applyBorder="1"/>
    <xf numFmtId="3" fontId="10" fillId="0" borderId="56" xfId="5" applyNumberFormat="1" applyFont="1" applyBorder="1"/>
    <xf numFmtId="3" fontId="10" fillId="0" borderId="63" xfId="5" applyNumberFormat="1" applyFont="1" applyBorder="1"/>
    <xf numFmtId="3" fontId="9" fillId="0" borderId="64" xfId="5" applyNumberFormat="1" applyBorder="1" applyAlignment="1">
      <alignment horizontal="right"/>
    </xf>
    <xf numFmtId="3" fontId="9" fillId="0" borderId="46" xfId="5" applyNumberFormat="1" applyBorder="1" applyAlignment="1">
      <alignment horizontal="center" vertical="center"/>
    </xf>
    <xf numFmtId="4" fontId="9" fillId="0" borderId="47" xfId="5" applyNumberFormat="1" applyBorder="1" applyAlignment="1">
      <alignment horizontal="center" vertical="center"/>
    </xf>
    <xf numFmtId="3" fontId="9" fillId="28" borderId="46" xfId="5" applyNumberFormat="1" applyFill="1" applyBorder="1" applyAlignment="1">
      <alignment horizontal="center" vertical="center"/>
    </xf>
    <xf numFmtId="4" fontId="9" fillId="28" borderId="47" xfId="5" applyNumberFormat="1" applyFill="1" applyBorder="1" applyAlignment="1">
      <alignment horizontal="center" vertical="center"/>
    </xf>
    <xf numFmtId="3" fontId="9" fillId="0" borderId="60" xfId="5" applyNumberFormat="1" applyBorder="1" applyAlignment="1">
      <alignment horizontal="center" vertical="center"/>
    </xf>
    <xf numFmtId="0" fontId="10" fillId="9" borderId="65" xfId="5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vertical="center"/>
    </xf>
    <xf numFmtId="0" fontId="10" fillId="9" borderId="0" xfId="5" applyFont="1" applyFill="1" applyBorder="1" applyAlignment="1">
      <alignment horizontal="center" vertical="center"/>
    </xf>
    <xf numFmtId="3" fontId="9" fillId="10" borderId="0" xfId="5" applyNumberFormat="1" applyFill="1" applyBorder="1"/>
    <xf numFmtId="0" fontId="11" fillId="9" borderId="0" xfId="5" applyFont="1" applyFill="1" applyBorder="1" applyProtection="1"/>
    <xf numFmtId="165" fontId="9" fillId="0" borderId="0" xfId="5" applyNumberFormat="1" applyFill="1" applyBorder="1" applyAlignment="1" applyProtection="1">
      <alignment vertical="center"/>
    </xf>
    <xf numFmtId="166" fontId="9" fillId="0" borderId="0" xfId="5" applyNumberFormat="1" applyFill="1" applyBorder="1" applyAlignment="1" applyProtection="1">
      <alignment vertical="center"/>
    </xf>
    <xf numFmtId="0" fontId="72" fillId="0" borderId="0" xfId="16" applyFont="1" applyAlignment="1">
      <alignment horizontal="right"/>
    </xf>
    <xf numFmtId="0" fontId="72" fillId="0" borderId="0" xfId="5" applyFont="1"/>
    <xf numFmtId="0" fontId="72" fillId="0" borderId="0" xfId="16" applyFont="1"/>
    <xf numFmtId="3" fontId="72" fillId="0" borderId="0" xfId="16" applyNumberFormat="1" applyFont="1"/>
    <xf numFmtId="3" fontId="72" fillId="0" borderId="0" xfId="16" applyNumberFormat="1" applyFont="1" applyAlignment="1">
      <alignment horizontal="center" vertical="center"/>
    </xf>
    <xf numFmtId="3" fontId="73" fillId="0" borderId="1" xfId="5" applyNumberFormat="1" applyFont="1" applyBorder="1"/>
    <xf numFmtId="3" fontId="73" fillId="0" borderId="0" xfId="5" applyNumberFormat="1" applyFont="1"/>
    <xf numFmtId="3" fontId="72" fillId="0" borderId="0" xfId="5" applyNumberFormat="1" applyFont="1"/>
    <xf numFmtId="9" fontId="72" fillId="0" borderId="0" xfId="98" applyFont="1"/>
    <xf numFmtId="9" fontId="72" fillId="0" borderId="0" xfId="98" applyFont="1" applyAlignment="1">
      <alignment horizontal="center" vertical="center"/>
    </xf>
    <xf numFmtId="0" fontId="72" fillId="0" borderId="0" xfId="5" applyFont="1" applyFill="1"/>
    <xf numFmtId="0" fontId="72" fillId="0" borderId="0" xfId="16" applyFont="1" applyAlignment="1">
      <alignment horizontal="center" vertical="center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7" xfId="0" applyBorder="1" applyAlignment="1">
      <alignment horizontal="center" wrapText="1"/>
    </xf>
  </cellXfs>
  <cellStyles count="105">
    <cellStyle name="_ieguld.plāns" xfId="17"/>
    <cellStyle name="20% - Accent1" xfId="18"/>
    <cellStyle name="20% - Accent2" xfId="19"/>
    <cellStyle name="20% - Accent3" xfId="20"/>
    <cellStyle name="20% - Accent4" xfId="21"/>
    <cellStyle name="20% - Accent5" xfId="22"/>
    <cellStyle name="20% - Accent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% - Accent1" xfId="30"/>
    <cellStyle name="60% - Accent2" xfId="31"/>
    <cellStyle name="60% - Accent3" xfId="32"/>
    <cellStyle name="60% - Accent4" xfId="33"/>
    <cellStyle name="60% - Accent5" xfId="34"/>
    <cellStyle name="60% - Accent6" xfId="35"/>
    <cellStyle name="Aprēķināšana 2" xfId="36"/>
    <cellStyle name="Atdalītāji 2" xfId="37"/>
    <cellStyle name="Atdalītāji 3" xfId="38"/>
    <cellStyle name="Atdalītāji 4" xfId="39"/>
    <cellStyle name="Atdalītāji 5" xfId="40"/>
    <cellStyle name="Bad" xfId="41"/>
    <cellStyle name="Check Cell" xfId="42"/>
    <cellStyle name="Comma" xfId="4" builtinId="3"/>
    <cellStyle name="Comma 2" xfId="43"/>
    <cellStyle name="Comma0" xfId="44"/>
    <cellStyle name="Currency0" xfId="45"/>
    <cellStyle name="Date" xfId="46"/>
    <cellStyle name="Euro" xfId="47"/>
    <cellStyle name="Explanatory Text" xfId="48"/>
    <cellStyle name="Fixed" xfId="49"/>
    <cellStyle name="Good" xfId="50"/>
    <cellStyle name="Heading 1" xfId="51"/>
    <cellStyle name="Heading 2" xfId="52"/>
    <cellStyle name="Heading 3" xfId="53"/>
    <cellStyle name="Heading 4" xfId="54"/>
    <cellStyle name="Hipersaite 2" xfId="55"/>
    <cellStyle name="Hipersaite 3" xfId="102"/>
    <cellStyle name="Hyperlink" xfId="2" builtinId="8"/>
    <cellStyle name="Izvade 2" xfId="3"/>
    <cellStyle name="Komats 2" xfId="56"/>
    <cellStyle name="Komats 3" xfId="57"/>
    <cellStyle name="Linked Cell" xfId="58"/>
    <cellStyle name="Normal" xfId="0" builtinId="0"/>
    <cellStyle name="Normal 18" xfId="59"/>
    <cellStyle name="Normal 2" xfId="1"/>
    <cellStyle name="Normal 2 2" xfId="60"/>
    <cellStyle name="Normal 2 2 2" xfId="61"/>
    <cellStyle name="Normal 2_Copy of NaudasPlusma_Ventspils_09-07-2010" xfId="62"/>
    <cellStyle name="Normal 3" xfId="12"/>
    <cellStyle name="Normal 4" xfId="63"/>
    <cellStyle name="Normal 5" xfId="64"/>
    <cellStyle name="Normal 5 2" xfId="65"/>
    <cellStyle name="Normal 5 2 2" xfId="66"/>
    <cellStyle name="Normal 5 3" xfId="67"/>
    <cellStyle name="Normal 5_Budž izpilde 2009.g._ieņēmumi" xfId="68"/>
    <cellStyle name="Normal 6" xfId="69"/>
    <cellStyle name="Normal 7" xfId="70"/>
    <cellStyle name="Normal 8" xfId="71"/>
    <cellStyle name="Note" xfId="72"/>
    <cellStyle name="Parastais 2" xfId="5"/>
    <cellStyle name="Parastais 2 2" xfId="14"/>
    <cellStyle name="Parastais 2 3" xfId="100"/>
    <cellStyle name="Parastais 2 4" xfId="101"/>
    <cellStyle name="Parastais 3" xfId="6"/>
    <cellStyle name="Parastais 3 2" xfId="11"/>
    <cellStyle name="Parastais 3 3" xfId="16"/>
    <cellStyle name="Parastais 4" xfId="7"/>
    <cellStyle name="Parastais 5" xfId="8"/>
    <cellStyle name="Parastais 5 2" xfId="13"/>
    <cellStyle name="Parastais 6" xfId="73"/>
    <cellStyle name="Parastais 7" xfId="74"/>
    <cellStyle name="Parastais 8" xfId="103"/>
    <cellStyle name="Parasts 2" xfId="75"/>
    <cellStyle name="Parasts 3" xfId="76"/>
    <cellStyle name="Percent" xfId="98" builtinId="5"/>
    <cellStyle name="Percent 2" xfId="77"/>
    <cellStyle name="Percent 2 2" xfId="78"/>
    <cellStyle name="Percent 2 3" xfId="79"/>
    <cellStyle name="Percent 3" xfId="80"/>
    <cellStyle name="Percent 3 2" xfId="81"/>
    <cellStyle name="Percent 3 2 2" xfId="82"/>
    <cellStyle name="Percent 4" xfId="83"/>
    <cellStyle name="Percent 4 2" xfId="84"/>
    <cellStyle name="Percent 5" xfId="85"/>
    <cellStyle name="Percent 5 2" xfId="86"/>
    <cellStyle name="Percent 5 2 2" xfId="87"/>
    <cellStyle name="Percent 6" xfId="88"/>
    <cellStyle name="Percent 7" xfId="89"/>
    <cellStyle name="Piezīme 2" xfId="15"/>
    <cellStyle name="Procenti 2" xfId="9"/>
    <cellStyle name="Procenti 3" xfId="10"/>
    <cellStyle name="Procenti 3 2" xfId="99"/>
    <cellStyle name="Procenti 4" xfId="90"/>
    <cellStyle name="Procenti 5" xfId="91"/>
    <cellStyle name="Procenti 6" xfId="92"/>
    <cellStyle name="Procenti 7" xfId="93"/>
    <cellStyle name="Procenti 8" xfId="104"/>
    <cellStyle name="Standard_BQ tables EELARVE Ja AKTEERIMISE TABEL xls30.01" xfId="94"/>
    <cellStyle name="Stils 1" xfId="95"/>
    <cellStyle name="Style 1" xfId="96"/>
    <cellStyle name="Обычный_e mail SOC CENTRS IERIKU 2B" xfId="9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igars/Eiroprojekts/Viduskurzeme/FA/Finanses/Tarifu_aprekins/Tarifs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EDZĪVOTĀJI"/>
      <sheetName val="ŪDENS_min"/>
      <sheetName val="ŪDENS_vid_max"/>
      <sheetName val="Salīdzinājums"/>
      <sheetName val="Sheet1"/>
      <sheetName val="TARIFS-ultra_filtr_min"/>
      <sheetName val="TARIFS-ultra_filtr_vid_max"/>
      <sheetName val="KREDĪTS"/>
      <sheetName val="INVESTĪCIJ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s://likumi.lv/ta/id/27498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c.europa.eu/eurostat/web/products-datasets/-/namq_10_pc" TargetMode="External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7"/>
  <sheetViews>
    <sheetView tabSelected="1" view="pageBreakPreview" topLeftCell="C1" zoomScale="85" zoomScaleNormal="100" zoomScaleSheetLayoutView="85" workbookViewId="0">
      <pane ySplit="4" topLeftCell="A38" activePane="bottomLeft" state="frozen"/>
      <selection pane="bottomLeft" activeCell="F8" sqref="F8"/>
    </sheetView>
  </sheetViews>
  <sheetFormatPr defaultRowHeight="15" x14ac:dyDescent="0.25"/>
  <cols>
    <col min="1" max="1" width="0" hidden="1" customWidth="1"/>
    <col min="2" max="2" width="12.140625" style="263" hidden="1" customWidth="1"/>
    <col min="3" max="3" width="8.42578125" style="263" customWidth="1"/>
    <col min="4" max="4" width="36.28515625" style="275" customWidth="1"/>
    <col min="5" max="5" width="12.85546875" style="263" hidden="1" customWidth="1"/>
    <col min="6" max="6" width="43.7109375" style="275" customWidth="1"/>
    <col min="7" max="7" width="31.28515625" style="275" customWidth="1"/>
    <col min="8" max="8" width="53.5703125" style="275" customWidth="1"/>
    <col min="9" max="9" width="0" style="263" hidden="1" customWidth="1"/>
    <col min="10" max="10" width="10.140625" style="263" customWidth="1"/>
    <col min="11" max="12" width="9.140625" style="263"/>
    <col min="13" max="14" width="10" style="263" customWidth="1"/>
    <col min="15" max="16" width="9.140625" style="263"/>
    <col min="17" max="17" width="11.140625" style="263" customWidth="1"/>
    <col min="18" max="18" width="14.42578125" style="263" customWidth="1"/>
    <col min="19" max="16384" width="9.140625" style="263"/>
  </cols>
  <sheetData>
    <row r="1" spans="1:25" x14ac:dyDescent="0.25">
      <c r="T1" s="264">
        <v>1.3</v>
      </c>
      <c r="U1" s="264">
        <v>0.7</v>
      </c>
      <c r="V1" s="265">
        <f>+Sheet3!E4</f>
        <v>6.3</v>
      </c>
      <c r="Y1" s="264">
        <v>0.25</v>
      </c>
    </row>
    <row r="2" spans="1:25" ht="15.75" x14ac:dyDescent="0.25">
      <c r="D2" s="379" t="s">
        <v>484</v>
      </c>
      <c r="T2" s="264"/>
      <c r="U2" s="264"/>
      <c r="V2" s="265"/>
      <c r="Y2" s="264"/>
    </row>
    <row r="3" spans="1:25" ht="15.75" thickBot="1" x14ac:dyDescent="0.3">
      <c r="T3" s="264"/>
      <c r="U3" s="264"/>
      <c r="V3" s="265"/>
      <c r="Y3" s="264"/>
    </row>
    <row r="4" spans="1:25" ht="87.75" thickBot="1" x14ac:dyDescent="0.3">
      <c r="B4" s="266" t="s">
        <v>21</v>
      </c>
      <c r="C4" s="277" t="s">
        <v>22</v>
      </c>
      <c r="D4" s="277" t="s">
        <v>23</v>
      </c>
      <c r="E4" s="277" t="s">
        <v>31</v>
      </c>
      <c r="F4" s="277" t="s">
        <v>24</v>
      </c>
      <c r="G4" s="277" t="s">
        <v>32</v>
      </c>
      <c r="H4" s="277" t="s">
        <v>33</v>
      </c>
      <c r="I4" s="277" t="s">
        <v>34</v>
      </c>
      <c r="J4" s="278" t="s">
        <v>35</v>
      </c>
      <c r="K4" s="278" t="s">
        <v>25</v>
      </c>
      <c r="L4" s="278" t="s">
        <v>26</v>
      </c>
      <c r="M4" s="278" t="s">
        <v>27</v>
      </c>
      <c r="N4" s="278" t="s">
        <v>28</v>
      </c>
      <c r="O4" s="278" t="s">
        <v>306</v>
      </c>
      <c r="P4" s="278" t="s">
        <v>29</v>
      </c>
      <c r="Q4" s="278" t="s">
        <v>30</v>
      </c>
      <c r="R4" s="278" t="s">
        <v>36</v>
      </c>
      <c r="S4" s="2" t="s">
        <v>332</v>
      </c>
      <c r="T4" s="2" t="s">
        <v>334</v>
      </c>
      <c r="U4" s="2" t="s">
        <v>335</v>
      </c>
      <c r="V4" s="2" t="s">
        <v>333</v>
      </c>
      <c r="W4" s="2" t="s">
        <v>333</v>
      </c>
      <c r="Y4" s="96" t="s">
        <v>393</v>
      </c>
    </row>
    <row r="5" spans="1:25" ht="30" customHeight="1" x14ac:dyDescent="0.25">
      <c r="A5">
        <v>1</v>
      </c>
      <c r="B5" s="1" t="s">
        <v>0</v>
      </c>
      <c r="C5" s="1" t="s">
        <v>48</v>
      </c>
      <c r="D5" s="276" t="s">
        <v>19</v>
      </c>
      <c r="E5" s="1" t="s">
        <v>147</v>
      </c>
      <c r="F5" s="276" t="s">
        <v>20</v>
      </c>
      <c r="G5" s="276" t="s">
        <v>148</v>
      </c>
      <c r="H5" s="276" t="s">
        <v>149</v>
      </c>
      <c r="I5" s="1" t="s">
        <v>5</v>
      </c>
      <c r="J5" s="1" t="s">
        <v>150</v>
      </c>
      <c r="K5" s="1" t="s">
        <v>11</v>
      </c>
      <c r="L5" s="1" t="s">
        <v>5</v>
      </c>
      <c r="M5" s="1" t="s">
        <v>5</v>
      </c>
      <c r="N5" s="1" t="s">
        <v>12</v>
      </c>
      <c r="O5" s="1" t="s">
        <v>6</v>
      </c>
      <c r="P5" s="267">
        <v>35</v>
      </c>
      <c r="Q5" s="268">
        <v>26</v>
      </c>
      <c r="R5" s="269" t="s">
        <v>273</v>
      </c>
      <c r="S5" s="270">
        <f t="shared" ref="S5:S36" si="0">+P5/Q5</f>
        <v>1.3461538461538463</v>
      </c>
      <c r="T5" s="271">
        <f>+P5*$T$1</f>
        <v>45.5</v>
      </c>
      <c r="U5" s="263">
        <f>+P5*$U$1</f>
        <v>24.5</v>
      </c>
      <c r="V5" s="271">
        <f>+IF(Q5&lt;100,P5*$V$1/24,0)</f>
        <v>9.1875</v>
      </c>
      <c r="Y5" s="272">
        <f>+Q5*$Y$1</f>
        <v>6.5</v>
      </c>
    </row>
    <row r="6" spans="1:25" ht="32.25" customHeight="1" x14ac:dyDescent="0.25">
      <c r="A6">
        <f>1+A5</f>
        <v>2</v>
      </c>
      <c r="B6" s="1" t="s">
        <v>0</v>
      </c>
      <c r="C6" s="1" t="s">
        <v>37</v>
      </c>
      <c r="D6" s="276" t="s">
        <v>86</v>
      </c>
      <c r="E6" s="1" t="s">
        <v>87</v>
      </c>
      <c r="F6" s="276" t="s">
        <v>96</v>
      </c>
      <c r="G6" s="276" t="s">
        <v>97</v>
      </c>
      <c r="H6" s="276" t="s">
        <v>98</v>
      </c>
      <c r="I6" s="1" t="s">
        <v>5</v>
      </c>
      <c r="J6" s="1" t="s">
        <v>91</v>
      </c>
      <c r="K6" s="1" t="s">
        <v>7</v>
      </c>
      <c r="L6" s="1" t="s">
        <v>8</v>
      </c>
      <c r="M6" s="1" t="s">
        <v>99</v>
      </c>
      <c r="N6" s="1" t="s">
        <v>5</v>
      </c>
      <c r="O6" s="1" t="s">
        <v>41</v>
      </c>
      <c r="P6" s="267">
        <v>12</v>
      </c>
      <c r="Q6" s="268">
        <v>25</v>
      </c>
      <c r="R6" s="269">
        <v>2</v>
      </c>
      <c r="S6" s="270">
        <f t="shared" si="0"/>
        <v>0.48</v>
      </c>
      <c r="T6" s="271">
        <f t="shared" ref="T6:T41" si="1">+P6*$T$1</f>
        <v>15.600000000000001</v>
      </c>
      <c r="U6" s="263">
        <f t="shared" ref="U6:U41" si="2">+P6*$U$1</f>
        <v>8.3999999999999986</v>
      </c>
      <c r="V6" s="271">
        <f t="shared" ref="V6:V41" si="3">+IF(Q6&lt;100,P6*$V$1/24,0)</f>
        <v>3.15</v>
      </c>
      <c r="Y6" s="272">
        <f t="shared" ref="Y6:Y41" si="4">+Q6*$Y$1</f>
        <v>6.25</v>
      </c>
    </row>
    <row r="7" spans="1:25" ht="31.5" customHeight="1" x14ac:dyDescent="0.25">
      <c r="A7">
        <f t="shared" ref="A7:A44" si="5">1+A6</f>
        <v>3</v>
      </c>
      <c r="B7" s="1" t="s">
        <v>0</v>
      </c>
      <c r="C7" s="1" t="s">
        <v>48</v>
      </c>
      <c r="D7" s="276" t="s">
        <v>138</v>
      </c>
      <c r="E7" s="1" t="s">
        <v>139</v>
      </c>
      <c r="F7" s="276" t="s">
        <v>140</v>
      </c>
      <c r="G7" s="276" t="s">
        <v>141</v>
      </c>
      <c r="H7" s="276" t="s">
        <v>142</v>
      </c>
      <c r="I7" s="1" t="s">
        <v>5</v>
      </c>
      <c r="J7" s="1" t="s">
        <v>143</v>
      </c>
      <c r="K7" s="1" t="s">
        <v>7</v>
      </c>
      <c r="L7" s="1" t="s">
        <v>8</v>
      </c>
      <c r="M7" s="1" t="s">
        <v>144</v>
      </c>
      <c r="N7" s="1" t="s">
        <v>5</v>
      </c>
      <c r="O7" s="1" t="s">
        <v>41</v>
      </c>
      <c r="P7" s="267">
        <v>65</v>
      </c>
      <c r="Q7" s="268">
        <v>530</v>
      </c>
      <c r="R7" s="269">
        <v>0.6</v>
      </c>
      <c r="S7" s="270">
        <f t="shared" si="0"/>
        <v>0.12264150943396226</v>
      </c>
      <c r="T7" s="271">
        <f t="shared" si="1"/>
        <v>84.5</v>
      </c>
      <c r="U7" s="263">
        <f t="shared" si="2"/>
        <v>45.5</v>
      </c>
      <c r="V7" s="271"/>
      <c r="W7" s="271">
        <f>Q7*Sheet3!E8/24</f>
        <v>77.291666666666671</v>
      </c>
      <c r="Y7" s="272">
        <f t="shared" si="4"/>
        <v>132.5</v>
      </c>
    </row>
    <row r="8" spans="1:25" ht="29.25" customHeight="1" x14ac:dyDescent="0.25">
      <c r="A8">
        <f t="shared" si="5"/>
        <v>4</v>
      </c>
      <c r="B8" s="1" t="s">
        <v>0</v>
      </c>
      <c r="C8" s="1" t="s">
        <v>37</v>
      </c>
      <c r="D8" s="276" t="s">
        <v>74</v>
      </c>
      <c r="E8" s="1" t="s">
        <v>75</v>
      </c>
      <c r="F8" s="276" t="s">
        <v>76</v>
      </c>
      <c r="G8" s="276" t="s">
        <v>77</v>
      </c>
      <c r="H8" s="276" t="s">
        <v>78</v>
      </c>
      <c r="I8" s="1" t="s">
        <v>5</v>
      </c>
      <c r="J8" s="1" t="s">
        <v>79</v>
      </c>
      <c r="K8" s="1" t="s">
        <v>7</v>
      </c>
      <c r="L8" s="1" t="s">
        <v>8</v>
      </c>
      <c r="M8" s="1" t="s">
        <v>80</v>
      </c>
      <c r="N8" s="1" t="s">
        <v>5</v>
      </c>
      <c r="O8" s="1" t="s">
        <v>41</v>
      </c>
      <c r="P8" s="267">
        <v>10</v>
      </c>
      <c r="Q8" s="268">
        <v>70</v>
      </c>
      <c r="R8" s="269">
        <v>0.7</v>
      </c>
      <c r="S8" s="270">
        <f t="shared" si="0"/>
        <v>0.14285714285714285</v>
      </c>
      <c r="T8" s="271">
        <f t="shared" si="1"/>
        <v>13</v>
      </c>
      <c r="U8" s="263">
        <f t="shared" si="2"/>
        <v>7</v>
      </c>
      <c r="V8" s="271">
        <f t="shared" si="3"/>
        <v>2.625</v>
      </c>
      <c r="Y8" s="272">
        <f t="shared" si="4"/>
        <v>17.5</v>
      </c>
    </row>
    <row r="9" spans="1:25" ht="35.25" customHeight="1" x14ac:dyDescent="0.25">
      <c r="A9">
        <f t="shared" si="5"/>
        <v>5</v>
      </c>
      <c r="B9" s="1" t="s">
        <v>0</v>
      </c>
      <c r="C9" s="1" t="s">
        <v>37</v>
      </c>
      <c r="D9" s="276" t="s">
        <v>274</v>
      </c>
      <c r="E9" s="1" t="s">
        <v>275</v>
      </c>
      <c r="F9" s="276" t="s">
        <v>276</v>
      </c>
      <c r="G9" s="276" t="s">
        <v>277</v>
      </c>
      <c r="H9" s="276" t="s">
        <v>278</v>
      </c>
      <c r="I9" s="1" t="s">
        <v>5</v>
      </c>
      <c r="J9" s="1" t="s">
        <v>279</v>
      </c>
      <c r="K9" s="1" t="s">
        <v>7</v>
      </c>
      <c r="L9" s="1" t="s">
        <v>8</v>
      </c>
      <c r="M9" s="1" t="s">
        <v>9</v>
      </c>
      <c r="N9" s="1" t="s">
        <v>5</v>
      </c>
      <c r="O9" s="1" t="s">
        <v>6</v>
      </c>
      <c r="P9" s="267">
        <v>3</v>
      </c>
      <c r="Q9" s="268">
        <v>38</v>
      </c>
      <c r="R9" s="269">
        <v>2.4</v>
      </c>
      <c r="S9" s="270">
        <f t="shared" si="0"/>
        <v>7.8947368421052627E-2</v>
      </c>
      <c r="T9" s="271">
        <f t="shared" si="1"/>
        <v>3.9000000000000004</v>
      </c>
      <c r="U9" s="263">
        <f t="shared" si="2"/>
        <v>2.0999999999999996</v>
      </c>
      <c r="V9" s="271">
        <f t="shared" si="3"/>
        <v>0.78749999999999998</v>
      </c>
      <c r="Y9" s="272">
        <f t="shared" si="4"/>
        <v>9.5</v>
      </c>
    </row>
    <row r="10" spans="1:25" ht="35.25" customHeight="1" x14ac:dyDescent="0.25">
      <c r="A10">
        <f t="shared" si="5"/>
        <v>6</v>
      </c>
      <c r="B10" s="1" t="s">
        <v>0</v>
      </c>
      <c r="C10" s="1" t="s">
        <v>37</v>
      </c>
      <c r="D10" s="276" t="s">
        <v>38</v>
      </c>
      <c r="E10" s="1" t="s">
        <v>39</v>
      </c>
      <c r="F10" s="276" t="s">
        <v>42</v>
      </c>
      <c r="G10" s="276" t="s">
        <v>43</v>
      </c>
      <c r="H10" s="276" t="s">
        <v>44</v>
      </c>
      <c r="I10" s="1" t="s">
        <v>5</v>
      </c>
      <c r="J10" s="1" t="s">
        <v>40</v>
      </c>
      <c r="K10" s="1" t="s">
        <v>2</v>
      </c>
      <c r="L10" s="1" t="s">
        <v>3</v>
      </c>
      <c r="M10" s="1" t="s">
        <v>45</v>
      </c>
      <c r="N10" s="1" t="s">
        <v>5</v>
      </c>
      <c r="O10" s="1" t="s">
        <v>41</v>
      </c>
      <c r="P10" s="267">
        <v>4</v>
      </c>
      <c r="Q10" s="268">
        <v>14</v>
      </c>
      <c r="R10" s="269" t="s">
        <v>273</v>
      </c>
      <c r="S10" s="270">
        <f t="shared" si="0"/>
        <v>0.2857142857142857</v>
      </c>
      <c r="T10" s="271">
        <f t="shared" si="1"/>
        <v>5.2</v>
      </c>
      <c r="U10" s="263">
        <f t="shared" si="2"/>
        <v>2.8</v>
      </c>
      <c r="V10" s="271">
        <f t="shared" si="3"/>
        <v>1.05</v>
      </c>
      <c r="Y10" s="272">
        <f t="shared" si="4"/>
        <v>3.5</v>
      </c>
    </row>
    <row r="11" spans="1:25" ht="35.25" customHeight="1" x14ac:dyDescent="0.25">
      <c r="A11">
        <f t="shared" si="5"/>
        <v>7</v>
      </c>
      <c r="B11" s="1" t="s">
        <v>0</v>
      </c>
      <c r="C11" s="1" t="s">
        <v>37</v>
      </c>
      <c r="D11" s="276" t="s">
        <v>59</v>
      </c>
      <c r="E11" s="1" t="s">
        <v>60</v>
      </c>
      <c r="F11" s="276" t="s">
        <v>66</v>
      </c>
      <c r="G11" s="276" t="s">
        <v>67</v>
      </c>
      <c r="H11" s="276" t="s">
        <v>68</v>
      </c>
      <c r="I11" s="1" t="s">
        <v>5</v>
      </c>
      <c r="J11" s="1" t="s">
        <v>64</v>
      </c>
      <c r="K11" s="1" t="s">
        <v>2</v>
      </c>
      <c r="L11" s="1" t="s">
        <v>3</v>
      </c>
      <c r="M11" s="1" t="s">
        <v>69</v>
      </c>
      <c r="N11" s="1" t="s">
        <v>5</v>
      </c>
      <c r="O11" s="1" t="s">
        <v>41</v>
      </c>
      <c r="P11" s="267">
        <v>6</v>
      </c>
      <c r="Q11" s="268">
        <v>75</v>
      </c>
      <c r="R11" s="269" t="s">
        <v>273</v>
      </c>
      <c r="S11" s="270">
        <f t="shared" si="0"/>
        <v>0.08</v>
      </c>
      <c r="T11" s="271">
        <f t="shared" si="1"/>
        <v>7.8000000000000007</v>
      </c>
      <c r="U11" s="263">
        <f t="shared" si="2"/>
        <v>4.1999999999999993</v>
      </c>
      <c r="V11" s="271">
        <f t="shared" si="3"/>
        <v>1.575</v>
      </c>
      <c r="Y11" s="272">
        <f t="shared" si="4"/>
        <v>18.75</v>
      </c>
    </row>
    <row r="12" spans="1:25" ht="35.25" customHeight="1" x14ac:dyDescent="0.25">
      <c r="A12">
        <f t="shared" si="5"/>
        <v>8</v>
      </c>
      <c r="B12" s="1" t="s">
        <v>0</v>
      </c>
      <c r="C12" s="1" t="s">
        <v>37</v>
      </c>
      <c r="D12" s="276" t="s">
        <v>59</v>
      </c>
      <c r="E12" s="1" t="s">
        <v>60</v>
      </c>
      <c r="F12" s="276" t="s">
        <v>109</v>
      </c>
      <c r="G12" s="276" t="s">
        <v>110</v>
      </c>
      <c r="H12" s="276" t="s">
        <v>111</v>
      </c>
      <c r="I12" s="1" t="s">
        <v>5</v>
      </c>
      <c r="J12" s="1" t="s">
        <v>112</v>
      </c>
      <c r="K12" s="1" t="s">
        <v>7</v>
      </c>
      <c r="L12" s="1" t="s">
        <v>8</v>
      </c>
      <c r="M12" s="1" t="s">
        <v>113</v>
      </c>
      <c r="N12" s="1" t="s">
        <v>5</v>
      </c>
      <c r="O12" s="1" t="s">
        <v>6</v>
      </c>
      <c r="P12" s="267">
        <v>3</v>
      </c>
      <c r="Q12" s="268">
        <v>30</v>
      </c>
      <c r="R12" s="269">
        <v>2.2999999999999998</v>
      </c>
      <c r="S12" s="270">
        <f t="shared" si="0"/>
        <v>0.1</v>
      </c>
      <c r="T12" s="271">
        <f t="shared" si="1"/>
        <v>3.9000000000000004</v>
      </c>
      <c r="U12" s="263">
        <f t="shared" si="2"/>
        <v>2.0999999999999996</v>
      </c>
      <c r="V12" s="271">
        <f t="shared" si="3"/>
        <v>0.78749999999999998</v>
      </c>
      <c r="Y12" s="272">
        <f t="shared" si="4"/>
        <v>7.5</v>
      </c>
    </row>
    <row r="13" spans="1:25" ht="35.25" customHeight="1" x14ac:dyDescent="0.25">
      <c r="A13">
        <f t="shared" si="5"/>
        <v>9</v>
      </c>
      <c r="B13" s="1" t="s">
        <v>0</v>
      </c>
      <c r="C13" s="1" t="s">
        <v>37</v>
      </c>
      <c r="D13" s="276" t="s">
        <v>59</v>
      </c>
      <c r="E13" s="1" t="s">
        <v>60</v>
      </c>
      <c r="F13" s="276" t="s">
        <v>61</v>
      </c>
      <c r="G13" s="276" t="s">
        <v>62</v>
      </c>
      <c r="H13" s="276" t="s">
        <v>63</v>
      </c>
      <c r="I13" s="1" t="s">
        <v>5</v>
      </c>
      <c r="J13" s="1" t="s">
        <v>64</v>
      </c>
      <c r="K13" s="1" t="s">
        <v>7</v>
      </c>
      <c r="L13" s="1" t="s">
        <v>8</v>
      </c>
      <c r="M13" s="1" t="s">
        <v>65</v>
      </c>
      <c r="N13" s="1" t="s">
        <v>5</v>
      </c>
      <c r="O13" s="1" t="s">
        <v>41</v>
      </c>
      <c r="P13" s="267">
        <v>1</v>
      </c>
      <c r="Q13" s="268">
        <v>17</v>
      </c>
      <c r="R13" s="269">
        <v>4.5999999999999996</v>
      </c>
      <c r="S13" s="270">
        <f t="shared" si="0"/>
        <v>5.8823529411764705E-2</v>
      </c>
      <c r="T13" s="271">
        <f t="shared" si="1"/>
        <v>1.3</v>
      </c>
      <c r="U13" s="263">
        <f t="shared" si="2"/>
        <v>0.7</v>
      </c>
      <c r="V13" s="271">
        <f t="shared" si="3"/>
        <v>0.26250000000000001</v>
      </c>
      <c r="Y13" s="272">
        <f t="shared" si="4"/>
        <v>4.25</v>
      </c>
    </row>
    <row r="14" spans="1:25" ht="35.25" customHeight="1" x14ac:dyDescent="0.25">
      <c r="A14">
        <f t="shared" si="5"/>
        <v>10</v>
      </c>
      <c r="B14" s="1" t="s">
        <v>0</v>
      </c>
      <c r="C14" s="1" t="s">
        <v>37</v>
      </c>
      <c r="D14" s="276" t="s">
        <v>116</v>
      </c>
      <c r="E14" s="1" t="s">
        <v>117</v>
      </c>
      <c r="F14" s="276" t="s">
        <v>118</v>
      </c>
      <c r="G14" s="276" t="s">
        <v>119</v>
      </c>
      <c r="H14" s="276" t="s">
        <v>120</v>
      </c>
      <c r="I14" s="1" t="s">
        <v>5</v>
      </c>
      <c r="J14" s="1" t="s">
        <v>121</v>
      </c>
      <c r="K14" s="1" t="s">
        <v>11</v>
      </c>
      <c r="L14" s="1" t="s">
        <v>5</v>
      </c>
      <c r="M14" s="1" t="s">
        <v>5</v>
      </c>
      <c r="N14" s="1" t="s">
        <v>115</v>
      </c>
      <c r="O14" s="1" t="s">
        <v>41</v>
      </c>
      <c r="P14" s="267">
        <v>1.03</v>
      </c>
      <c r="Q14" s="268">
        <v>25</v>
      </c>
      <c r="R14" s="269" t="s">
        <v>273</v>
      </c>
      <c r="S14" s="270">
        <f t="shared" si="0"/>
        <v>4.1200000000000001E-2</v>
      </c>
      <c r="T14" s="271">
        <f t="shared" si="1"/>
        <v>1.3390000000000002</v>
      </c>
      <c r="U14" s="263">
        <f t="shared" si="2"/>
        <v>0.72099999999999997</v>
      </c>
      <c r="V14" s="271">
        <f t="shared" si="3"/>
        <v>0.27037499999999998</v>
      </c>
      <c r="Y14" s="272">
        <f t="shared" si="4"/>
        <v>6.25</v>
      </c>
    </row>
    <row r="15" spans="1:25" ht="35.25" customHeight="1" x14ac:dyDescent="0.25">
      <c r="A15">
        <f t="shared" si="5"/>
        <v>11</v>
      </c>
      <c r="B15" s="1" t="s">
        <v>0</v>
      </c>
      <c r="C15" s="1" t="s">
        <v>37</v>
      </c>
      <c r="D15" s="276" t="s">
        <v>86</v>
      </c>
      <c r="E15" s="1" t="s">
        <v>87</v>
      </c>
      <c r="F15" s="276" t="s">
        <v>321</v>
      </c>
      <c r="G15" s="276" t="s">
        <v>322</v>
      </c>
      <c r="H15" s="276" t="s">
        <v>323</v>
      </c>
      <c r="I15" s="1" t="s">
        <v>5</v>
      </c>
      <c r="J15" s="1" t="s">
        <v>324</v>
      </c>
      <c r="K15" s="1" t="s">
        <v>2</v>
      </c>
      <c r="L15" s="1" t="s">
        <v>3</v>
      </c>
      <c r="M15" s="1" t="s">
        <v>325</v>
      </c>
      <c r="N15" s="1" t="s">
        <v>5</v>
      </c>
      <c r="O15" s="1" t="s">
        <v>41</v>
      </c>
      <c r="P15" s="267">
        <v>21</v>
      </c>
      <c r="Q15" s="268">
        <v>215</v>
      </c>
      <c r="R15" s="1" t="s">
        <v>273</v>
      </c>
      <c r="S15" s="270">
        <f t="shared" si="0"/>
        <v>9.7674418604651161E-2</v>
      </c>
      <c r="T15" s="271">
        <f t="shared" si="1"/>
        <v>27.3</v>
      </c>
      <c r="U15" s="263">
        <f t="shared" si="2"/>
        <v>14.7</v>
      </c>
      <c r="V15" s="271"/>
      <c r="W15" s="271">
        <f>Q15*Sheet3!$E$6/24</f>
        <v>43.895833333333321</v>
      </c>
      <c r="Y15" s="272">
        <f t="shared" si="4"/>
        <v>53.75</v>
      </c>
    </row>
    <row r="16" spans="1:25" ht="35.25" customHeight="1" x14ac:dyDescent="0.25">
      <c r="A16">
        <f t="shared" si="5"/>
        <v>12</v>
      </c>
      <c r="B16" s="1" t="s">
        <v>0</v>
      </c>
      <c r="C16" s="1" t="s">
        <v>37</v>
      </c>
      <c r="D16" s="276" t="s">
        <v>286</v>
      </c>
      <c r="E16" s="1" t="s">
        <v>287</v>
      </c>
      <c r="F16" s="276" t="s">
        <v>288</v>
      </c>
      <c r="G16" s="276" t="s">
        <v>289</v>
      </c>
      <c r="H16" s="276" t="s">
        <v>290</v>
      </c>
      <c r="I16" s="1" t="s">
        <v>5</v>
      </c>
      <c r="J16" s="1" t="s">
        <v>291</v>
      </c>
      <c r="K16" s="1" t="s">
        <v>18</v>
      </c>
      <c r="L16" s="1" t="s">
        <v>8</v>
      </c>
      <c r="M16" s="1" t="s">
        <v>292</v>
      </c>
      <c r="N16" s="1" t="s">
        <v>5</v>
      </c>
      <c r="O16" s="1" t="s">
        <v>41</v>
      </c>
      <c r="P16" s="267">
        <v>3</v>
      </c>
      <c r="Q16" s="268">
        <v>18</v>
      </c>
      <c r="R16" s="273">
        <v>1</v>
      </c>
      <c r="S16" s="270">
        <f t="shared" si="0"/>
        <v>0.16666666666666666</v>
      </c>
      <c r="T16" s="271">
        <f t="shared" si="1"/>
        <v>3.9000000000000004</v>
      </c>
      <c r="U16" s="263">
        <f t="shared" si="2"/>
        <v>2.0999999999999996</v>
      </c>
      <c r="V16" s="271">
        <f t="shared" si="3"/>
        <v>0.78749999999999998</v>
      </c>
      <c r="Y16" s="272">
        <f t="shared" si="4"/>
        <v>4.5</v>
      </c>
    </row>
    <row r="17" spans="1:28" ht="35.25" customHeight="1" x14ac:dyDescent="0.25">
      <c r="A17">
        <f t="shared" si="5"/>
        <v>13</v>
      </c>
      <c r="B17" s="1" t="s">
        <v>0</v>
      </c>
      <c r="C17" s="1" t="s">
        <v>37</v>
      </c>
      <c r="D17" s="276" t="s">
        <v>86</v>
      </c>
      <c r="E17" s="1" t="s">
        <v>87</v>
      </c>
      <c r="F17" s="276" t="s">
        <v>100</v>
      </c>
      <c r="G17" s="276" t="s">
        <v>101</v>
      </c>
      <c r="H17" s="276" t="s">
        <v>102</v>
      </c>
      <c r="I17" s="1" t="s">
        <v>5</v>
      </c>
      <c r="J17" s="1" t="s">
        <v>103</v>
      </c>
      <c r="K17" s="1" t="s">
        <v>7</v>
      </c>
      <c r="L17" s="1" t="s">
        <v>8</v>
      </c>
      <c r="M17" s="1" t="s">
        <v>104</v>
      </c>
      <c r="N17" s="1" t="s">
        <v>5</v>
      </c>
      <c r="O17" s="1" t="s">
        <v>6</v>
      </c>
      <c r="P17" s="267">
        <v>26</v>
      </c>
      <c r="Q17" s="268">
        <v>330</v>
      </c>
      <c r="R17" s="269">
        <v>0.8</v>
      </c>
      <c r="S17" s="270">
        <f t="shared" si="0"/>
        <v>7.8787878787878782E-2</v>
      </c>
      <c r="T17" s="271">
        <f t="shared" si="1"/>
        <v>33.800000000000004</v>
      </c>
      <c r="U17" s="263">
        <f t="shared" si="2"/>
        <v>18.2</v>
      </c>
      <c r="V17" s="271"/>
      <c r="W17" s="271">
        <f>Q17*Sheet3!E7/24</f>
        <v>57.749999999999993</v>
      </c>
      <c r="Y17" s="272">
        <f t="shared" si="4"/>
        <v>82.5</v>
      </c>
    </row>
    <row r="18" spans="1:28" ht="35.25" customHeight="1" x14ac:dyDescent="0.25">
      <c r="A18">
        <f t="shared" si="5"/>
        <v>14</v>
      </c>
      <c r="B18" s="1" t="s">
        <v>0</v>
      </c>
      <c r="C18" s="1" t="s">
        <v>37</v>
      </c>
      <c r="D18" s="276" t="s">
        <v>86</v>
      </c>
      <c r="E18" s="1" t="s">
        <v>87</v>
      </c>
      <c r="F18" s="276" t="s">
        <v>105</v>
      </c>
      <c r="G18" s="276" t="s">
        <v>89</v>
      </c>
      <c r="H18" s="276" t="s">
        <v>106</v>
      </c>
      <c r="I18" s="1" t="s">
        <v>5</v>
      </c>
      <c r="J18" s="1" t="s">
        <v>107</v>
      </c>
      <c r="K18" s="1" t="s">
        <v>2</v>
      </c>
      <c r="L18" s="1" t="s">
        <v>3</v>
      </c>
      <c r="M18" s="1" t="s">
        <v>108</v>
      </c>
      <c r="N18" s="1" t="s">
        <v>5</v>
      </c>
      <c r="O18" s="1" t="s">
        <v>6</v>
      </c>
      <c r="P18" s="267">
        <v>11</v>
      </c>
      <c r="Q18" s="268">
        <v>74</v>
      </c>
      <c r="R18" s="269">
        <v>99</v>
      </c>
      <c r="S18" s="270">
        <f t="shared" si="0"/>
        <v>0.14864864864864866</v>
      </c>
      <c r="T18" s="271">
        <f t="shared" si="1"/>
        <v>14.3</v>
      </c>
      <c r="U18" s="263">
        <f t="shared" si="2"/>
        <v>7.6999999999999993</v>
      </c>
      <c r="V18" s="271">
        <f t="shared" si="3"/>
        <v>2.8874999999999997</v>
      </c>
      <c r="Y18" s="272">
        <f t="shared" si="4"/>
        <v>18.5</v>
      </c>
    </row>
    <row r="19" spans="1:28" ht="35.25" customHeight="1" x14ac:dyDescent="0.25">
      <c r="A19">
        <f t="shared" si="5"/>
        <v>15</v>
      </c>
      <c r="B19" s="1" t="s">
        <v>0</v>
      </c>
      <c r="C19" s="1" t="s">
        <v>37</v>
      </c>
      <c r="D19" s="276" t="s">
        <v>86</v>
      </c>
      <c r="E19" s="1" t="s">
        <v>87</v>
      </c>
      <c r="F19" s="276" t="s">
        <v>93</v>
      </c>
      <c r="G19" s="276" t="s">
        <v>89</v>
      </c>
      <c r="H19" s="276" t="s">
        <v>94</v>
      </c>
      <c r="I19" s="1" t="s">
        <v>5</v>
      </c>
      <c r="J19" s="1" t="s">
        <v>91</v>
      </c>
      <c r="K19" s="1" t="s">
        <v>2</v>
      </c>
      <c r="L19" s="1" t="s">
        <v>3</v>
      </c>
      <c r="M19" s="1" t="s">
        <v>95</v>
      </c>
      <c r="N19" s="1" t="s">
        <v>5</v>
      </c>
      <c r="O19" s="1" t="s">
        <v>41</v>
      </c>
      <c r="P19" s="267">
        <v>2</v>
      </c>
      <c r="Q19" s="268">
        <v>18</v>
      </c>
      <c r="R19" s="269" t="s">
        <v>273</v>
      </c>
      <c r="S19" s="270">
        <f t="shared" si="0"/>
        <v>0.1111111111111111</v>
      </c>
      <c r="T19" s="271">
        <f t="shared" si="1"/>
        <v>2.6</v>
      </c>
      <c r="U19" s="263">
        <f t="shared" si="2"/>
        <v>1.4</v>
      </c>
      <c r="V19" s="271">
        <f t="shared" si="3"/>
        <v>0.52500000000000002</v>
      </c>
      <c r="Y19" s="272">
        <f t="shared" si="4"/>
        <v>4.5</v>
      </c>
    </row>
    <row r="20" spans="1:28" ht="35.25" customHeight="1" x14ac:dyDescent="0.25">
      <c r="A20">
        <f t="shared" si="5"/>
        <v>16</v>
      </c>
      <c r="B20" s="1" t="s">
        <v>0</v>
      </c>
      <c r="C20" s="1" t="s">
        <v>37</v>
      </c>
      <c r="D20" s="276" t="s">
        <v>86</v>
      </c>
      <c r="E20" s="1" t="s">
        <v>87</v>
      </c>
      <c r="F20" s="276" t="s">
        <v>88</v>
      </c>
      <c r="G20" s="276" t="s">
        <v>89</v>
      </c>
      <c r="H20" s="276" t="s">
        <v>90</v>
      </c>
      <c r="I20" s="1" t="s">
        <v>5</v>
      </c>
      <c r="J20" s="1" t="s">
        <v>91</v>
      </c>
      <c r="K20" s="1" t="s">
        <v>18</v>
      </c>
      <c r="L20" s="1" t="s">
        <v>8</v>
      </c>
      <c r="M20" s="1" t="s">
        <v>92</v>
      </c>
      <c r="N20" s="1" t="s">
        <v>5</v>
      </c>
      <c r="O20" s="1" t="s">
        <v>41</v>
      </c>
      <c r="P20" s="267">
        <v>12</v>
      </c>
      <c r="Q20" s="268">
        <v>35</v>
      </c>
      <c r="R20" s="269">
        <v>0.7</v>
      </c>
      <c r="S20" s="270">
        <f t="shared" si="0"/>
        <v>0.34285714285714286</v>
      </c>
      <c r="T20" s="271">
        <f t="shared" si="1"/>
        <v>15.600000000000001</v>
      </c>
      <c r="U20" s="263">
        <f t="shared" si="2"/>
        <v>8.3999999999999986</v>
      </c>
      <c r="V20" s="271">
        <f t="shared" si="3"/>
        <v>3.15</v>
      </c>
      <c r="Y20" s="272">
        <f t="shared" si="4"/>
        <v>8.75</v>
      </c>
    </row>
    <row r="21" spans="1:28" ht="35.25" customHeight="1" x14ac:dyDescent="0.25">
      <c r="A21">
        <f t="shared" si="5"/>
        <v>17</v>
      </c>
      <c r="B21" s="1" t="s">
        <v>0</v>
      </c>
      <c r="C21" s="1" t="s">
        <v>37</v>
      </c>
      <c r="D21" s="276" t="s">
        <v>14</v>
      </c>
      <c r="E21" s="1" t="s">
        <v>189</v>
      </c>
      <c r="F21" s="276" t="s">
        <v>15</v>
      </c>
      <c r="G21" s="276" t="s">
        <v>194</v>
      </c>
      <c r="H21" s="276" t="s">
        <v>195</v>
      </c>
      <c r="I21" s="1" t="s">
        <v>5</v>
      </c>
      <c r="J21" s="1" t="s">
        <v>196</v>
      </c>
      <c r="K21" s="1" t="s">
        <v>7</v>
      </c>
      <c r="L21" s="1" t="s">
        <v>8</v>
      </c>
      <c r="M21" s="1" t="s">
        <v>197</v>
      </c>
      <c r="N21" s="1" t="s">
        <v>5</v>
      </c>
      <c r="O21" s="1" t="s">
        <v>41</v>
      </c>
      <c r="P21" s="267">
        <v>24</v>
      </c>
      <c r="Q21" s="268">
        <v>80</v>
      </c>
      <c r="R21" s="269">
        <v>1.9</v>
      </c>
      <c r="S21" s="270">
        <f t="shared" si="0"/>
        <v>0.3</v>
      </c>
      <c r="T21" s="271">
        <f t="shared" si="1"/>
        <v>31.200000000000003</v>
      </c>
      <c r="U21" s="263">
        <f t="shared" si="2"/>
        <v>16.799999999999997</v>
      </c>
      <c r="V21" s="271">
        <f t="shared" si="3"/>
        <v>6.3</v>
      </c>
      <c r="Y21" s="272">
        <f t="shared" si="4"/>
        <v>20</v>
      </c>
    </row>
    <row r="22" spans="1:28" ht="35.25" customHeight="1" x14ac:dyDescent="0.25">
      <c r="A22">
        <f t="shared" si="5"/>
        <v>18</v>
      </c>
      <c r="B22" s="1" t="s">
        <v>0</v>
      </c>
      <c r="C22" s="1" t="s">
        <v>48</v>
      </c>
      <c r="D22" s="276" t="s">
        <v>164</v>
      </c>
      <c r="E22" s="1" t="s">
        <v>165</v>
      </c>
      <c r="F22" s="276" t="s">
        <v>166</v>
      </c>
      <c r="G22" s="276" t="s">
        <v>167</v>
      </c>
      <c r="H22" s="276" t="s">
        <v>168</v>
      </c>
      <c r="I22" s="1" t="s">
        <v>5</v>
      </c>
      <c r="J22" s="1" t="s">
        <v>169</v>
      </c>
      <c r="K22" s="1" t="s">
        <v>2</v>
      </c>
      <c r="L22" s="1" t="s">
        <v>3</v>
      </c>
      <c r="M22" s="1" t="s">
        <v>81</v>
      </c>
      <c r="N22" s="1" t="s">
        <v>5</v>
      </c>
      <c r="O22" s="1" t="s">
        <v>41</v>
      </c>
      <c r="P22" s="267">
        <v>1.29</v>
      </c>
      <c r="Q22" s="268">
        <v>20</v>
      </c>
      <c r="R22" s="269" t="s">
        <v>273</v>
      </c>
      <c r="S22" s="270">
        <f t="shared" si="0"/>
        <v>6.4500000000000002E-2</v>
      </c>
      <c r="T22" s="271">
        <f t="shared" si="1"/>
        <v>1.677</v>
      </c>
      <c r="U22" s="263">
        <f t="shared" si="2"/>
        <v>0.90299999999999991</v>
      </c>
      <c r="V22" s="271">
        <f t="shared" si="3"/>
        <v>0.33862500000000001</v>
      </c>
      <c r="Y22" s="272">
        <f t="shared" si="4"/>
        <v>5</v>
      </c>
    </row>
    <row r="23" spans="1:28" ht="35.25" customHeight="1" x14ac:dyDescent="0.25">
      <c r="A23">
        <f t="shared" si="5"/>
        <v>19</v>
      </c>
      <c r="B23" s="1" t="s">
        <v>0</v>
      </c>
      <c r="C23" s="1" t="s">
        <v>37</v>
      </c>
      <c r="D23" s="276" t="s">
        <v>145</v>
      </c>
      <c r="E23" s="1" t="s">
        <v>146</v>
      </c>
      <c r="F23" s="276" t="s">
        <v>236</v>
      </c>
      <c r="G23" s="276" t="s">
        <v>237</v>
      </c>
      <c r="H23" s="276" t="s">
        <v>238</v>
      </c>
      <c r="I23" s="1" t="s">
        <v>5</v>
      </c>
      <c r="J23" s="1" t="s">
        <v>239</v>
      </c>
      <c r="K23" s="1" t="s">
        <v>2</v>
      </c>
      <c r="L23" s="1" t="s">
        <v>3</v>
      </c>
      <c r="M23" s="1" t="s">
        <v>4</v>
      </c>
      <c r="N23" s="1" t="s">
        <v>5</v>
      </c>
      <c r="O23" s="1" t="s">
        <v>6</v>
      </c>
      <c r="P23" s="267">
        <v>20</v>
      </c>
      <c r="Q23" s="268">
        <v>277</v>
      </c>
      <c r="R23" s="269" t="s">
        <v>273</v>
      </c>
      <c r="S23" s="270">
        <f t="shared" si="0"/>
        <v>7.2202166064981949E-2</v>
      </c>
      <c r="T23" s="271">
        <f t="shared" si="1"/>
        <v>26</v>
      </c>
      <c r="U23" s="263">
        <f t="shared" si="2"/>
        <v>14</v>
      </c>
      <c r="V23" s="271"/>
      <c r="W23" s="271">
        <f>Q23*Sheet3!$E$6/24</f>
        <v>56.554166666666667</v>
      </c>
      <c r="Y23" s="272">
        <f t="shared" si="4"/>
        <v>69.25</v>
      </c>
    </row>
    <row r="24" spans="1:28" ht="35.25" customHeight="1" x14ac:dyDescent="0.25">
      <c r="A24">
        <f t="shared" si="5"/>
        <v>20</v>
      </c>
      <c r="B24" s="1" t="s">
        <v>0</v>
      </c>
      <c r="C24" s="1" t="s">
        <v>37</v>
      </c>
      <c r="D24" s="276" t="s">
        <v>240</v>
      </c>
      <c r="E24" s="1" t="s">
        <v>241</v>
      </c>
      <c r="F24" s="276" t="s">
        <v>242</v>
      </c>
      <c r="G24" s="276" t="s">
        <v>243</v>
      </c>
      <c r="H24" s="276" t="s">
        <v>244</v>
      </c>
      <c r="I24" s="1" t="s">
        <v>5</v>
      </c>
      <c r="J24" s="1" t="s">
        <v>64</v>
      </c>
      <c r="K24" s="1" t="s">
        <v>11</v>
      </c>
      <c r="L24" s="1" t="s">
        <v>5</v>
      </c>
      <c r="M24" s="1" t="s">
        <v>5</v>
      </c>
      <c r="N24" s="1" t="s">
        <v>225</v>
      </c>
      <c r="O24" s="1" t="s">
        <v>41</v>
      </c>
      <c r="P24" s="267">
        <v>3</v>
      </c>
      <c r="Q24" s="268">
        <v>35</v>
      </c>
      <c r="R24" s="269" t="s">
        <v>273</v>
      </c>
      <c r="S24" s="270">
        <f t="shared" si="0"/>
        <v>8.5714285714285715E-2</v>
      </c>
      <c r="T24" s="271">
        <f t="shared" si="1"/>
        <v>3.9000000000000004</v>
      </c>
      <c r="U24" s="263">
        <f t="shared" si="2"/>
        <v>2.0999999999999996</v>
      </c>
      <c r="V24" s="271">
        <f t="shared" si="3"/>
        <v>0.78749999999999998</v>
      </c>
      <c r="Y24" s="272">
        <f t="shared" si="4"/>
        <v>8.75</v>
      </c>
    </row>
    <row r="25" spans="1:28" ht="35.25" customHeight="1" x14ac:dyDescent="0.25">
      <c r="A25">
        <f t="shared" si="5"/>
        <v>21</v>
      </c>
      <c r="B25" s="1" t="s">
        <v>0</v>
      </c>
      <c r="C25" s="1" t="s">
        <v>37</v>
      </c>
      <c r="D25" s="276" t="s">
        <v>307</v>
      </c>
      <c r="E25" s="1" t="s">
        <v>308</v>
      </c>
      <c r="F25" s="276" t="s">
        <v>309</v>
      </c>
      <c r="G25" s="276" t="s">
        <v>310</v>
      </c>
      <c r="H25" s="276" t="s">
        <v>311</v>
      </c>
      <c r="I25" s="1" t="s">
        <v>5</v>
      </c>
      <c r="J25" s="1" t="s">
        <v>49</v>
      </c>
      <c r="K25" s="1" t="s">
        <v>312</v>
      </c>
      <c r="L25" s="1" t="s">
        <v>8</v>
      </c>
      <c r="M25" s="1" t="s">
        <v>313</v>
      </c>
      <c r="N25" s="1" t="s">
        <v>5</v>
      </c>
      <c r="O25" s="1" t="s">
        <v>6</v>
      </c>
      <c r="P25" s="267">
        <v>850</v>
      </c>
      <c r="Q25" s="268">
        <v>8300</v>
      </c>
      <c r="R25" s="269">
        <v>0.14000000000000001</v>
      </c>
      <c r="S25" s="270">
        <f t="shared" si="0"/>
        <v>0.10240963855421686</v>
      </c>
      <c r="T25" s="271">
        <f t="shared" si="1"/>
        <v>1105</v>
      </c>
      <c r="U25" s="263">
        <f t="shared" si="2"/>
        <v>595</v>
      </c>
      <c r="V25" s="271"/>
      <c r="W25" s="271">
        <f>Q25*Sheet3!E15/24</f>
        <v>629.41666666666663</v>
      </c>
      <c r="Y25" s="272"/>
      <c r="AA25" s="263">
        <f>+Q25/16.41</f>
        <v>505.78915295551491</v>
      </c>
      <c r="AB25" s="263">
        <f>+Y25/100</f>
        <v>0</v>
      </c>
    </row>
    <row r="26" spans="1:28" ht="35.25" customHeight="1" x14ac:dyDescent="0.25">
      <c r="A26">
        <f t="shared" si="5"/>
        <v>22</v>
      </c>
      <c r="B26" s="1" t="s">
        <v>0</v>
      </c>
      <c r="C26" s="1" t="s">
        <v>37</v>
      </c>
      <c r="D26" s="276" t="s">
        <v>245</v>
      </c>
      <c r="E26" s="1" t="s">
        <v>246</v>
      </c>
      <c r="F26" s="276" t="s">
        <v>247</v>
      </c>
      <c r="G26" s="276" t="s">
        <v>248</v>
      </c>
      <c r="H26" s="276" t="s">
        <v>249</v>
      </c>
      <c r="I26" s="1" t="s">
        <v>5</v>
      </c>
      <c r="J26" s="1" t="s">
        <v>250</v>
      </c>
      <c r="K26" s="1" t="s">
        <v>7</v>
      </c>
      <c r="L26" s="1" t="s">
        <v>8</v>
      </c>
      <c r="M26" s="1" t="s">
        <v>188</v>
      </c>
      <c r="N26" s="1" t="s">
        <v>5</v>
      </c>
      <c r="O26" s="1" t="s">
        <v>6</v>
      </c>
      <c r="P26" s="267">
        <v>5</v>
      </c>
      <c r="Q26" s="268">
        <v>26</v>
      </c>
      <c r="R26" s="269">
        <v>0.7</v>
      </c>
      <c r="S26" s="270">
        <f t="shared" si="0"/>
        <v>0.19230769230769232</v>
      </c>
      <c r="T26" s="271">
        <f t="shared" si="1"/>
        <v>6.5</v>
      </c>
      <c r="U26" s="263">
        <f t="shared" si="2"/>
        <v>3.5</v>
      </c>
      <c r="V26" s="271">
        <f t="shared" si="3"/>
        <v>1.3125</v>
      </c>
      <c r="Y26" s="272">
        <f t="shared" si="4"/>
        <v>6.5</v>
      </c>
      <c r="AB26" s="263">
        <f t="shared" ref="AB26:AB35" si="6">+Y26/100</f>
        <v>6.5000000000000002E-2</v>
      </c>
    </row>
    <row r="27" spans="1:28" ht="35.25" customHeight="1" x14ac:dyDescent="0.25">
      <c r="A27">
        <f t="shared" si="5"/>
        <v>23</v>
      </c>
      <c r="B27" s="1" t="s">
        <v>0</v>
      </c>
      <c r="C27" s="1" t="s">
        <v>37</v>
      </c>
      <c r="D27" s="276" t="s">
        <v>198</v>
      </c>
      <c r="E27" s="1" t="s">
        <v>199</v>
      </c>
      <c r="F27" s="276" t="s">
        <v>261</v>
      </c>
      <c r="G27" s="276" t="s">
        <v>262</v>
      </c>
      <c r="H27" s="276" t="s">
        <v>263</v>
      </c>
      <c r="I27" s="1" t="s">
        <v>5</v>
      </c>
      <c r="J27" s="1" t="s">
        <v>264</v>
      </c>
      <c r="K27" s="1" t="s">
        <v>11</v>
      </c>
      <c r="L27" s="1" t="s">
        <v>5</v>
      </c>
      <c r="M27" s="1" t="s">
        <v>5</v>
      </c>
      <c r="N27" s="1" t="s">
        <v>115</v>
      </c>
      <c r="O27" s="1" t="s">
        <v>41</v>
      </c>
      <c r="P27" s="267">
        <v>20</v>
      </c>
      <c r="Q27" s="268">
        <v>15</v>
      </c>
      <c r="R27" s="269" t="s">
        <v>273</v>
      </c>
      <c r="S27" s="270">
        <f t="shared" si="0"/>
        <v>1.3333333333333333</v>
      </c>
      <c r="T27" s="271">
        <f t="shared" si="1"/>
        <v>26</v>
      </c>
      <c r="U27" s="263">
        <f t="shared" si="2"/>
        <v>14</v>
      </c>
      <c r="V27" s="271">
        <f t="shared" si="3"/>
        <v>5.25</v>
      </c>
      <c r="Y27" s="272">
        <f t="shared" si="4"/>
        <v>3.75</v>
      </c>
      <c r="AB27" s="263">
        <f t="shared" si="6"/>
        <v>3.7499999999999999E-2</v>
      </c>
    </row>
    <row r="28" spans="1:28" ht="35.25" customHeight="1" x14ac:dyDescent="0.25">
      <c r="A28">
        <f t="shared" si="5"/>
        <v>24</v>
      </c>
      <c r="B28" s="1" t="s">
        <v>0</v>
      </c>
      <c r="C28" s="1" t="s">
        <v>37</v>
      </c>
      <c r="D28" s="276" t="s">
        <v>198</v>
      </c>
      <c r="E28" s="1" t="s">
        <v>199</v>
      </c>
      <c r="F28" s="276" t="s">
        <v>200</v>
      </c>
      <c r="G28" s="276" t="s">
        <v>201</v>
      </c>
      <c r="H28" s="276" t="s">
        <v>202</v>
      </c>
      <c r="I28" s="1" t="s">
        <v>5</v>
      </c>
      <c r="J28" s="1" t="s">
        <v>203</v>
      </c>
      <c r="K28" s="1" t="s">
        <v>11</v>
      </c>
      <c r="L28" s="1" t="s">
        <v>5</v>
      </c>
      <c r="M28" s="1" t="s">
        <v>5</v>
      </c>
      <c r="N28" s="1" t="s">
        <v>204</v>
      </c>
      <c r="O28" s="1" t="s">
        <v>41</v>
      </c>
      <c r="P28" s="267">
        <v>10</v>
      </c>
      <c r="Q28" s="268">
        <v>18</v>
      </c>
      <c r="R28" s="269" t="s">
        <v>273</v>
      </c>
      <c r="S28" s="270">
        <f t="shared" si="0"/>
        <v>0.55555555555555558</v>
      </c>
      <c r="T28" s="271">
        <f t="shared" si="1"/>
        <v>13</v>
      </c>
      <c r="U28" s="263">
        <f t="shared" si="2"/>
        <v>7</v>
      </c>
      <c r="V28" s="271">
        <f t="shared" si="3"/>
        <v>2.625</v>
      </c>
      <c r="Y28" s="272">
        <f t="shared" si="4"/>
        <v>4.5</v>
      </c>
      <c r="AB28" s="263">
        <f t="shared" si="6"/>
        <v>4.4999999999999998E-2</v>
      </c>
    </row>
    <row r="29" spans="1:28" ht="35.25" customHeight="1" x14ac:dyDescent="0.25">
      <c r="A29">
        <f t="shared" si="5"/>
        <v>25</v>
      </c>
      <c r="B29" s="1" t="s">
        <v>0</v>
      </c>
      <c r="C29" s="1" t="s">
        <v>37</v>
      </c>
      <c r="D29" s="276" t="s">
        <v>198</v>
      </c>
      <c r="E29" s="1" t="s">
        <v>199</v>
      </c>
      <c r="F29" s="276" t="s">
        <v>265</v>
      </c>
      <c r="G29" s="276" t="s">
        <v>266</v>
      </c>
      <c r="H29" s="276" t="s">
        <v>267</v>
      </c>
      <c r="I29" s="1" t="s">
        <v>5</v>
      </c>
      <c r="J29" s="1" t="s">
        <v>268</v>
      </c>
      <c r="K29" s="1" t="s">
        <v>7</v>
      </c>
      <c r="L29" s="1" t="s">
        <v>8</v>
      </c>
      <c r="M29" s="1" t="s">
        <v>269</v>
      </c>
      <c r="N29" s="1" t="s">
        <v>5</v>
      </c>
      <c r="O29" s="1" t="s">
        <v>41</v>
      </c>
      <c r="P29" s="267">
        <v>3.6</v>
      </c>
      <c r="Q29" s="268">
        <v>16</v>
      </c>
      <c r="R29" s="269">
        <v>0.9</v>
      </c>
      <c r="S29" s="270">
        <f t="shared" si="0"/>
        <v>0.22500000000000001</v>
      </c>
      <c r="T29" s="271">
        <f t="shared" si="1"/>
        <v>4.6800000000000006</v>
      </c>
      <c r="U29" s="263">
        <f t="shared" si="2"/>
        <v>2.52</v>
      </c>
      <c r="V29" s="271">
        <f t="shared" si="3"/>
        <v>0.94499999999999995</v>
      </c>
      <c r="Y29" s="272">
        <f t="shared" si="4"/>
        <v>4</v>
      </c>
      <c r="AB29" s="263">
        <f t="shared" si="6"/>
        <v>0.04</v>
      </c>
    </row>
    <row r="30" spans="1:28" ht="35.25" customHeight="1" x14ac:dyDescent="0.25">
      <c r="A30">
        <f t="shared" si="5"/>
        <v>26</v>
      </c>
      <c r="B30" s="1" t="s">
        <v>0</v>
      </c>
      <c r="C30" s="1" t="s">
        <v>37</v>
      </c>
      <c r="D30" s="276" t="s">
        <v>198</v>
      </c>
      <c r="E30" s="1" t="s">
        <v>199</v>
      </c>
      <c r="F30" s="276" t="s">
        <v>205</v>
      </c>
      <c r="G30" s="276" t="s">
        <v>206</v>
      </c>
      <c r="H30" s="276" t="s">
        <v>207</v>
      </c>
      <c r="I30" s="1" t="s">
        <v>5</v>
      </c>
      <c r="J30" s="1" t="s">
        <v>203</v>
      </c>
      <c r="K30" s="1" t="s">
        <v>13</v>
      </c>
      <c r="L30" s="1" t="s">
        <v>5</v>
      </c>
      <c r="M30" s="1" t="s">
        <v>5</v>
      </c>
      <c r="N30" s="1" t="s">
        <v>163</v>
      </c>
      <c r="O30" s="1" t="s">
        <v>41</v>
      </c>
      <c r="P30" s="267">
        <v>21</v>
      </c>
      <c r="Q30" s="268">
        <v>12</v>
      </c>
      <c r="R30" s="269" t="s">
        <v>273</v>
      </c>
      <c r="S30" s="270">
        <f t="shared" si="0"/>
        <v>1.75</v>
      </c>
      <c r="T30" s="271">
        <f t="shared" si="1"/>
        <v>27.3</v>
      </c>
      <c r="U30" s="263">
        <f t="shared" si="2"/>
        <v>14.7</v>
      </c>
      <c r="V30" s="271">
        <f t="shared" si="3"/>
        <v>5.5124999999999993</v>
      </c>
      <c r="Y30" s="272">
        <f t="shared" si="4"/>
        <v>3</v>
      </c>
      <c r="AB30" s="263">
        <f t="shared" si="6"/>
        <v>0.03</v>
      </c>
    </row>
    <row r="31" spans="1:28" ht="35.25" customHeight="1" x14ac:dyDescent="0.25">
      <c r="A31">
        <f t="shared" si="5"/>
        <v>27</v>
      </c>
      <c r="B31" s="1" t="s">
        <v>0</v>
      </c>
      <c r="C31" s="1" t="s">
        <v>37</v>
      </c>
      <c r="D31" s="276" t="s">
        <v>59</v>
      </c>
      <c r="E31" s="1" t="s">
        <v>60</v>
      </c>
      <c r="F31" s="276" t="s">
        <v>70</v>
      </c>
      <c r="G31" s="276" t="s">
        <v>71</v>
      </c>
      <c r="H31" s="276" t="s">
        <v>72</v>
      </c>
      <c r="I31" s="1" t="s">
        <v>5</v>
      </c>
      <c r="J31" s="1" t="s">
        <v>64</v>
      </c>
      <c r="K31" s="1" t="s">
        <v>7</v>
      </c>
      <c r="L31" s="1" t="s">
        <v>8</v>
      </c>
      <c r="M31" s="1" t="s">
        <v>73</v>
      </c>
      <c r="N31" s="1" t="s">
        <v>5</v>
      </c>
      <c r="O31" s="1" t="s">
        <v>41</v>
      </c>
      <c r="P31" s="267">
        <v>2</v>
      </c>
      <c r="Q31" s="268">
        <v>15</v>
      </c>
      <c r="R31" s="269">
        <v>1.4</v>
      </c>
      <c r="S31" s="270">
        <f t="shared" si="0"/>
        <v>0.13333333333333333</v>
      </c>
      <c r="T31" s="271">
        <f t="shared" si="1"/>
        <v>2.6</v>
      </c>
      <c r="U31" s="263">
        <f t="shared" si="2"/>
        <v>1.4</v>
      </c>
      <c r="V31" s="271">
        <f t="shared" si="3"/>
        <v>0.52500000000000002</v>
      </c>
      <c r="Y31" s="272">
        <f t="shared" si="4"/>
        <v>3.75</v>
      </c>
      <c r="AB31" s="263">
        <f t="shared" si="6"/>
        <v>3.7499999999999999E-2</v>
      </c>
    </row>
    <row r="32" spans="1:28" ht="35.25" customHeight="1" x14ac:dyDescent="0.25">
      <c r="A32">
        <f t="shared" si="5"/>
        <v>28</v>
      </c>
      <c r="B32" s="1" t="s">
        <v>0</v>
      </c>
      <c r="C32" s="1" t="s">
        <v>37</v>
      </c>
      <c r="D32" s="276" t="s">
        <v>51</v>
      </c>
      <c r="E32" s="1" t="s">
        <v>52</v>
      </c>
      <c r="F32" s="276" t="s">
        <v>305</v>
      </c>
      <c r="G32" s="276" t="s">
        <v>53</v>
      </c>
      <c r="H32" s="276" t="s">
        <v>54</v>
      </c>
      <c r="I32" s="1" t="s">
        <v>5</v>
      </c>
      <c r="J32" s="1" t="s">
        <v>55</v>
      </c>
      <c r="K32" s="1" t="s">
        <v>7</v>
      </c>
      <c r="L32" s="1" t="s">
        <v>8</v>
      </c>
      <c r="M32" s="1" t="s">
        <v>56</v>
      </c>
      <c r="N32" s="1" t="s">
        <v>5</v>
      </c>
      <c r="O32" s="1" t="s">
        <v>41</v>
      </c>
      <c r="P32" s="267">
        <v>2.5</v>
      </c>
      <c r="Q32" s="268">
        <v>48</v>
      </c>
      <c r="R32" s="269">
        <v>1.4</v>
      </c>
      <c r="S32" s="270">
        <f t="shared" si="0"/>
        <v>5.2083333333333336E-2</v>
      </c>
      <c r="T32" s="271">
        <f t="shared" si="1"/>
        <v>3.25</v>
      </c>
      <c r="U32" s="263">
        <f t="shared" si="2"/>
        <v>1.75</v>
      </c>
      <c r="V32" s="271">
        <f t="shared" si="3"/>
        <v>0.65625</v>
      </c>
      <c r="Y32" s="272">
        <f t="shared" si="4"/>
        <v>12</v>
      </c>
      <c r="AB32" s="263">
        <f t="shared" si="6"/>
        <v>0.12</v>
      </c>
    </row>
    <row r="33" spans="1:28" ht="35.25" customHeight="1" x14ac:dyDescent="0.25">
      <c r="A33">
        <f t="shared" si="5"/>
        <v>29</v>
      </c>
      <c r="B33" s="1" t="s">
        <v>0</v>
      </c>
      <c r="C33" s="1" t="s">
        <v>37</v>
      </c>
      <c r="D33" s="276" t="s">
        <v>208</v>
      </c>
      <c r="E33" s="1" t="s">
        <v>209</v>
      </c>
      <c r="F33" s="276" t="s">
        <v>210</v>
      </c>
      <c r="G33" s="276" t="s">
        <v>211</v>
      </c>
      <c r="H33" s="276" t="s">
        <v>212</v>
      </c>
      <c r="I33" s="1" t="s">
        <v>5</v>
      </c>
      <c r="J33" s="1" t="s">
        <v>213</v>
      </c>
      <c r="K33" s="1" t="s">
        <v>13</v>
      </c>
      <c r="L33" s="1" t="s">
        <v>5</v>
      </c>
      <c r="M33" s="1" t="s">
        <v>5</v>
      </c>
      <c r="N33" s="1" t="s">
        <v>115</v>
      </c>
      <c r="O33" s="1" t="s">
        <v>41</v>
      </c>
      <c r="P33" s="267">
        <v>8.1</v>
      </c>
      <c r="Q33" s="268">
        <v>64</v>
      </c>
      <c r="R33" s="269" t="s">
        <v>273</v>
      </c>
      <c r="S33" s="270">
        <f t="shared" si="0"/>
        <v>0.12656249999999999</v>
      </c>
      <c r="T33" s="271">
        <f t="shared" si="1"/>
        <v>10.53</v>
      </c>
      <c r="U33" s="263">
        <f t="shared" si="2"/>
        <v>5.669999999999999</v>
      </c>
      <c r="V33" s="271">
        <f t="shared" si="3"/>
        <v>2.1262499999999998</v>
      </c>
      <c r="Y33" s="272">
        <f t="shared" si="4"/>
        <v>16</v>
      </c>
      <c r="AB33" s="263">
        <f t="shared" si="6"/>
        <v>0.16</v>
      </c>
    </row>
    <row r="34" spans="1:28" ht="35.25" customHeight="1" x14ac:dyDescent="0.25">
      <c r="A34">
        <f t="shared" si="5"/>
        <v>30</v>
      </c>
      <c r="B34" s="1" t="s">
        <v>0</v>
      </c>
      <c r="C34" s="1" t="s">
        <v>48</v>
      </c>
      <c r="D34" s="276" t="s">
        <v>157</v>
      </c>
      <c r="E34" s="1" t="s">
        <v>158</v>
      </c>
      <c r="F34" s="276" t="s">
        <v>159</v>
      </c>
      <c r="G34" s="276" t="s">
        <v>160</v>
      </c>
      <c r="H34" s="276" t="s">
        <v>161</v>
      </c>
      <c r="I34" s="1" t="s">
        <v>5</v>
      </c>
      <c r="J34" s="1" t="s">
        <v>156</v>
      </c>
      <c r="K34" s="1" t="s">
        <v>18</v>
      </c>
      <c r="L34" s="1" t="s">
        <v>8</v>
      </c>
      <c r="M34" s="1" t="s">
        <v>162</v>
      </c>
      <c r="N34" s="1" t="s">
        <v>5</v>
      </c>
      <c r="O34" s="1" t="s">
        <v>41</v>
      </c>
      <c r="P34" s="267">
        <v>34</v>
      </c>
      <c r="Q34" s="268">
        <v>120</v>
      </c>
      <c r="R34" s="269">
        <v>1.24</v>
      </c>
      <c r="S34" s="270">
        <f t="shared" si="0"/>
        <v>0.28333333333333333</v>
      </c>
      <c r="T34" s="271">
        <f t="shared" si="1"/>
        <v>44.2</v>
      </c>
      <c r="U34" s="263">
        <f t="shared" si="2"/>
        <v>23.799999999999997</v>
      </c>
      <c r="V34" s="271"/>
      <c r="W34" s="271">
        <f>Q34*Sheet3!$E$5/24</f>
        <v>28</v>
      </c>
      <c r="Y34" s="272">
        <f t="shared" si="4"/>
        <v>30</v>
      </c>
      <c r="AB34" s="263">
        <f t="shared" si="6"/>
        <v>0.3</v>
      </c>
    </row>
    <row r="35" spans="1:28" ht="35.25" customHeight="1" x14ac:dyDescent="0.25">
      <c r="A35">
        <f t="shared" si="5"/>
        <v>31</v>
      </c>
      <c r="B35" s="1" t="s">
        <v>0</v>
      </c>
      <c r="C35" s="1" t="s">
        <v>1</v>
      </c>
      <c r="D35" s="276" t="s">
        <v>131</v>
      </c>
      <c r="E35" s="1" t="s">
        <v>132</v>
      </c>
      <c r="F35" s="276" t="s">
        <v>133</v>
      </c>
      <c r="G35" s="276" t="s">
        <v>134</v>
      </c>
      <c r="H35" s="276" t="s">
        <v>135</v>
      </c>
      <c r="I35" s="1" t="s">
        <v>5</v>
      </c>
      <c r="J35" s="1" t="s">
        <v>136</v>
      </c>
      <c r="K35" s="1" t="s">
        <v>18</v>
      </c>
      <c r="L35" s="1" t="s">
        <v>8</v>
      </c>
      <c r="M35" s="1" t="s">
        <v>137</v>
      </c>
      <c r="N35" s="1" t="s">
        <v>5</v>
      </c>
      <c r="O35" s="1" t="s">
        <v>6</v>
      </c>
      <c r="P35" s="267">
        <v>30</v>
      </c>
      <c r="Q35" s="268">
        <v>260</v>
      </c>
      <c r="R35" s="269">
        <v>0.8</v>
      </c>
      <c r="S35" s="270">
        <f t="shared" si="0"/>
        <v>0.11538461538461539</v>
      </c>
      <c r="T35" s="271">
        <f t="shared" si="1"/>
        <v>39</v>
      </c>
      <c r="U35" s="263">
        <f t="shared" si="2"/>
        <v>21</v>
      </c>
      <c r="V35" s="271"/>
      <c r="W35" s="271">
        <f>Q35*Sheet3!$E$6/24</f>
        <v>53.083333333333321</v>
      </c>
      <c r="Y35" s="272">
        <f t="shared" si="4"/>
        <v>65</v>
      </c>
      <c r="AB35" s="263">
        <f t="shared" si="6"/>
        <v>0.65</v>
      </c>
    </row>
    <row r="36" spans="1:28" ht="35.25" customHeight="1" x14ac:dyDescent="0.25">
      <c r="A36">
        <f t="shared" si="5"/>
        <v>32</v>
      </c>
      <c r="B36" s="1" t="s">
        <v>0</v>
      </c>
      <c r="C36" s="1" t="s">
        <v>37</v>
      </c>
      <c r="D36" s="276" t="s">
        <v>251</v>
      </c>
      <c r="E36" s="1" t="s">
        <v>252</v>
      </c>
      <c r="F36" s="276" t="s">
        <v>257</v>
      </c>
      <c r="G36" s="276" t="s">
        <v>258</v>
      </c>
      <c r="H36" s="276" t="s">
        <v>259</v>
      </c>
      <c r="I36" s="1" t="s">
        <v>5</v>
      </c>
      <c r="J36" s="1" t="s">
        <v>50</v>
      </c>
      <c r="K36" s="1" t="s">
        <v>7</v>
      </c>
      <c r="L36" s="1" t="s">
        <v>8</v>
      </c>
      <c r="M36" s="1" t="s">
        <v>260</v>
      </c>
      <c r="N36" s="1" t="s">
        <v>5</v>
      </c>
      <c r="O36" s="1" t="s">
        <v>41</v>
      </c>
      <c r="P36" s="267">
        <v>27</v>
      </c>
      <c r="Q36" s="268">
        <v>107</v>
      </c>
      <c r="R36" s="269">
        <v>2.2000000000000002</v>
      </c>
      <c r="S36" s="270">
        <f t="shared" si="0"/>
        <v>0.25233644859813081</v>
      </c>
      <c r="T36" s="271">
        <f t="shared" si="1"/>
        <v>35.1</v>
      </c>
      <c r="U36" s="263">
        <f t="shared" si="2"/>
        <v>18.899999999999999</v>
      </c>
      <c r="V36" s="271"/>
      <c r="W36" s="271">
        <f>Q36*Sheet3!$E$5/24</f>
        <v>24.966666666666665</v>
      </c>
      <c r="Y36" s="272">
        <f t="shared" si="4"/>
        <v>26.75</v>
      </c>
    </row>
    <row r="37" spans="1:28" ht="35.25" customHeight="1" x14ac:dyDescent="0.25">
      <c r="A37">
        <f t="shared" si="5"/>
        <v>33</v>
      </c>
      <c r="B37" s="1" t="s">
        <v>129</v>
      </c>
      <c r="C37" s="1" t="s">
        <v>37</v>
      </c>
      <c r="D37" s="276" t="s">
        <v>293</v>
      </c>
      <c r="E37" s="1" t="s">
        <v>294</v>
      </c>
      <c r="F37" s="276" t="s">
        <v>295</v>
      </c>
      <c r="G37" s="276" t="s">
        <v>296</v>
      </c>
      <c r="H37" s="276" t="s">
        <v>297</v>
      </c>
      <c r="I37" s="1" t="s">
        <v>5</v>
      </c>
      <c r="J37" s="1" t="s">
        <v>298</v>
      </c>
      <c r="K37" s="1" t="s">
        <v>299</v>
      </c>
      <c r="L37" s="1" t="s">
        <v>8</v>
      </c>
      <c r="M37" s="1" t="s">
        <v>300</v>
      </c>
      <c r="N37" s="1" t="s">
        <v>5</v>
      </c>
      <c r="O37" s="1" t="s">
        <v>41</v>
      </c>
      <c r="P37" s="267">
        <v>135</v>
      </c>
      <c r="Q37" s="268">
        <v>502</v>
      </c>
      <c r="R37" s="273">
        <v>1.7</v>
      </c>
      <c r="S37" s="270">
        <f t="shared" ref="S37:S55" si="7">+P37/Q37</f>
        <v>0.2689243027888446</v>
      </c>
      <c r="T37" s="271">
        <f t="shared" si="1"/>
        <v>175.5</v>
      </c>
      <c r="U37" s="263">
        <f t="shared" si="2"/>
        <v>94.5</v>
      </c>
      <c r="V37" s="271"/>
      <c r="W37" s="271">
        <f>Q37*Sheet3!E8/24</f>
        <v>73.208333333333329</v>
      </c>
      <c r="Y37" s="272">
        <f t="shared" si="4"/>
        <v>125.5</v>
      </c>
    </row>
    <row r="38" spans="1:28" ht="35.25" customHeight="1" x14ac:dyDescent="0.25">
      <c r="A38">
        <f t="shared" si="5"/>
        <v>34</v>
      </c>
      <c r="B38" s="1" t="s">
        <v>0</v>
      </c>
      <c r="C38" s="1" t="s">
        <v>37</v>
      </c>
      <c r="D38" s="276" t="s">
        <v>280</v>
      </c>
      <c r="E38" s="1" t="s">
        <v>281</v>
      </c>
      <c r="F38" s="276" t="s">
        <v>282</v>
      </c>
      <c r="G38" s="276" t="s">
        <v>283</v>
      </c>
      <c r="H38" s="276" t="s">
        <v>284</v>
      </c>
      <c r="I38" s="1" t="s">
        <v>5</v>
      </c>
      <c r="J38" s="1" t="s">
        <v>285</v>
      </c>
      <c r="K38" s="1" t="s">
        <v>46</v>
      </c>
      <c r="L38" s="1" t="s">
        <v>8</v>
      </c>
      <c r="M38" s="1" t="s">
        <v>130</v>
      </c>
      <c r="N38" s="1"/>
      <c r="O38" s="1" t="s">
        <v>41</v>
      </c>
      <c r="P38" s="267">
        <v>4</v>
      </c>
      <c r="Q38" s="268">
        <v>42</v>
      </c>
      <c r="R38" s="269">
        <v>326</v>
      </c>
      <c r="S38" s="270">
        <f t="shared" si="7"/>
        <v>9.5238095238095233E-2</v>
      </c>
      <c r="T38" s="271">
        <f t="shared" si="1"/>
        <v>5.2</v>
      </c>
      <c r="U38" s="263">
        <f t="shared" si="2"/>
        <v>2.8</v>
      </c>
      <c r="V38" s="271">
        <f t="shared" si="3"/>
        <v>1.05</v>
      </c>
      <c r="Y38" s="272">
        <f t="shared" si="4"/>
        <v>10.5</v>
      </c>
    </row>
    <row r="39" spans="1:28" ht="35.25" customHeight="1" x14ac:dyDescent="0.25">
      <c r="A39">
        <f t="shared" si="5"/>
        <v>35</v>
      </c>
      <c r="B39" s="1" t="s">
        <v>0</v>
      </c>
      <c r="C39" s="1" t="s">
        <v>37</v>
      </c>
      <c r="D39" s="276" t="s">
        <v>226</v>
      </c>
      <c r="E39" s="1" t="s">
        <v>227</v>
      </c>
      <c r="F39" s="276" t="s">
        <v>270</v>
      </c>
      <c r="G39" s="276" t="s">
        <v>271</v>
      </c>
      <c r="H39" s="276" t="s">
        <v>272</v>
      </c>
      <c r="I39" s="1" t="s">
        <v>5</v>
      </c>
      <c r="J39" s="1" t="s">
        <v>231</v>
      </c>
      <c r="K39" s="1" t="s">
        <v>7</v>
      </c>
      <c r="L39" s="1" t="s">
        <v>8</v>
      </c>
      <c r="M39" s="1" t="s">
        <v>232</v>
      </c>
      <c r="N39" s="1" t="s">
        <v>5</v>
      </c>
      <c r="O39" s="1" t="s">
        <v>41</v>
      </c>
      <c r="P39" s="267">
        <v>8.4</v>
      </c>
      <c r="Q39" s="268">
        <v>40</v>
      </c>
      <c r="R39" s="269">
        <v>1.1000000000000001</v>
      </c>
      <c r="S39" s="270">
        <f t="shared" si="7"/>
        <v>0.21000000000000002</v>
      </c>
      <c r="T39" s="271">
        <f t="shared" si="1"/>
        <v>10.920000000000002</v>
      </c>
      <c r="U39" s="263">
        <f t="shared" si="2"/>
        <v>5.88</v>
      </c>
      <c r="V39" s="271">
        <f t="shared" si="3"/>
        <v>2.2050000000000001</v>
      </c>
      <c r="Y39" s="272">
        <f t="shared" si="4"/>
        <v>10</v>
      </c>
    </row>
    <row r="40" spans="1:28" ht="35.25" customHeight="1" x14ac:dyDescent="0.25">
      <c r="A40">
        <f t="shared" si="5"/>
        <v>36</v>
      </c>
      <c r="B40" s="1" t="s">
        <v>0</v>
      </c>
      <c r="C40" s="1" t="s">
        <v>37</v>
      </c>
      <c r="D40" s="276" t="s">
        <v>226</v>
      </c>
      <c r="E40" s="1" t="s">
        <v>227</v>
      </c>
      <c r="F40" s="276" t="s">
        <v>228</v>
      </c>
      <c r="G40" s="276" t="s">
        <v>229</v>
      </c>
      <c r="H40" s="276" t="s">
        <v>230</v>
      </c>
      <c r="I40" s="1" t="s">
        <v>5</v>
      </c>
      <c r="J40" s="1" t="s">
        <v>231</v>
      </c>
      <c r="K40" s="1" t="s">
        <v>11</v>
      </c>
      <c r="L40" s="1" t="s">
        <v>5</v>
      </c>
      <c r="M40" s="1" t="s">
        <v>5</v>
      </c>
      <c r="N40" s="1" t="s">
        <v>115</v>
      </c>
      <c r="O40" s="1" t="s">
        <v>41</v>
      </c>
      <c r="P40" s="267">
        <v>7.3</v>
      </c>
      <c r="Q40" s="268">
        <v>20</v>
      </c>
      <c r="R40" s="269" t="s">
        <v>273</v>
      </c>
      <c r="S40" s="270">
        <f t="shared" si="7"/>
        <v>0.36499999999999999</v>
      </c>
      <c r="T40" s="271">
        <f t="shared" si="1"/>
        <v>9.49</v>
      </c>
      <c r="U40" s="263">
        <f t="shared" si="2"/>
        <v>5.1099999999999994</v>
      </c>
      <c r="V40" s="271">
        <f t="shared" si="3"/>
        <v>1.9162499999999998</v>
      </c>
      <c r="Y40" s="272">
        <f t="shared" si="4"/>
        <v>5</v>
      </c>
    </row>
    <row r="41" spans="1:28" ht="35.25" customHeight="1" x14ac:dyDescent="0.25">
      <c r="A41">
        <f t="shared" si="5"/>
        <v>37</v>
      </c>
      <c r="B41" s="1" t="s">
        <v>0</v>
      </c>
      <c r="C41" s="1" t="s">
        <v>37</v>
      </c>
      <c r="D41" s="276" t="s">
        <v>226</v>
      </c>
      <c r="E41" s="1" t="s">
        <v>227</v>
      </c>
      <c r="F41" s="276" t="s">
        <v>233</v>
      </c>
      <c r="G41" s="276" t="s">
        <v>234</v>
      </c>
      <c r="H41" s="276" t="s">
        <v>235</v>
      </c>
      <c r="I41" s="1" t="s">
        <v>5</v>
      </c>
      <c r="J41" s="1" t="s">
        <v>231</v>
      </c>
      <c r="K41" s="1" t="s">
        <v>11</v>
      </c>
      <c r="L41" s="1" t="s">
        <v>5</v>
      </c>
      <c r="M41" s="1" t="s">
        <v>5</v>
      </c>
      <c r="N41" s="1" t="s">
        <v>115</v>
      </c>
      <c r="O41" s="1" t="s">
        <v>41</v>
      </c>
      <c r="P41" s="267">
        <v>1.3</v>
      </c>
      <c r="Q41" s="268">
        <v>7</v>
      </c>
      <c r="R41" s="269" t="s">
        <v>273</v>
      </c>
      <c r="S41" s="270">
        <f t="shared" si="7"/>
        <v>0.18571428571428572</v>
      </c>
      <c r="T41" s="271">
        <f t="shared" si="1"/>
        <v>1.6900000000000002</v>
      </c>
      <c r="U41" s="263">
        <f t="shared" si="2"/>
        <v>0.90999999999999992</v>
      </c>
      <c r="V41" s="271">
        <f t="shared" si="3"/>
        <v>0.34125</v>
      </c>
      <c r="Y41" s="272">
        <f t="shared" si="4"/>
        <v>1.75</v>
      </c>
    </row>
    <row r="42" spans="1:28" ht="35.25" customHeight="1" x14ac:dyDescent="0.25">
      <c r="A42">
        <f t="shared" si="5"/>
        <v>38</v>
      </c>
      <c r="B42" s="1" t="s">
        <v>0</v>
      </c>
      <c r="C42" s="1" t="s">
        <v>48</v>
      </c>
      <c r="D42" s="276" t="s">
        <v>16</v>
      </c>
      <c r="E42" s="1" t="s">
        <v>151</v>
      </c>
      <c r="F42" s="276" t="s">
        <v>17</v>
      </c>
      <c r="G42" s="276" t="s">
        <v>152</v>
      </c>
      <c r="H42" s="276" t="s">
        <v>153</v>
      </c>
      <c r="I42" s="1" t="s">
        <v>5</v>
      </c>
      <c r="J42" s="1" t="s">
        <v>154</v>
      </c>
      <c r="K42" s="1" t="s">
        <v>2</v>
      </c>
      <c r="L42" s="1" t="s">
        <v>3</v>
      </c>
      <c r="M42" s="1" t="s">
        <v>155</v>
      </c>
      <c r="N42" s="1" t="s">
        <v>5</v>
      </c>
      <c r="O42" s="1" t="s">
        <v>6</v>
      </c>
      <c r="P42" s="267">
        <v>12.4</v>
      </c>
      <c r="Q42" s="268">
        <v>25</v>
      </c>
      <c r="R42" s="269" t="s">
        <v>273</v>
      </c>
      <c r="S42" s="270">
        <f t="shared" si="7"/>
        <v>0.496</v>
      </c>
      <c r="T42" s="271">
        <f t="shared" ref="T42:T55" si="8">+P42*$T$1</f>
        <v>16.12</v>
      </c>
      <c r="U42" s="263">
        <f t="shared" ref="U42:U55" si="9">+P42*$U$1</f>
        <v>8.68</v>
      </c>
      <c r="V42" s="271">
        <f t="shared" ref="V42:V54" si="10">+IF(Q42&lt;100,P42*$V$1/24,0)</f>
        <v>3.2550000000000003</v>
      </c>
      <c r="Y42" s="272">
        <f t="shared" ref="Y42:Y55" si="11">+Q42*$Y$1</f>
        <v>6.25</v>
      </c>
    </row>
    <row r="43" spans="1:28" ht="35.25" customHeight="1" x14ac:dyDescent="0.25">
      <c r="A43">
        <f t="shared" si="5"/>
        <v>39</v>
      </c>
      <c r="B43" s="1" t="s">
        <v>0</v>
      </c>
      <c r="C43" s="1" t="s">
        <v>48</v>
      </c>
      <c r="D43" s="276" t="s">
        <v>170</v>
      </c>
      <c r="E43" s="1" t="s">
        <v>171</v>
      </c>
      <c r="F43" s="276" t="s">
        <v>172</v>
      </c>
      <c r="G43" s="276" t="s">
        <v>173</v>
      </c>
      <c r="H43" s="276" t="s">
        <v>174</v>
      </c>
      <c r="I43" s="1" t="s">
        <v>5</v>
      </c>
      <c r="J43" s="1" t="s">
        <v>175</v>
      </c>
      <c r="K43" s="1" t="s">
        <v>2</v>
      </c>
      <c r="L43" s="1" t="s">
        <v>3</v>
      </c>
      <c r="M43" s="1" t="s">
        <v>176</v>
      </c>
      <c r="N43" s="1" t="s">
        <v>5</v>
      </c>
      <c r="O43" s="1" t="s">
        <v>41</v>
      </c>
      <c r="P43" s="267">
        <v>2.1</v>
      </c>
      <c r="Q43" s="268">
        <v>70</v>
      </c>
      <c r="R43" s="269" t="s">
        <v>273</v>
      </c>
      <c r="S43" s="270">
        <f t="shared" si="7"/>
        <v>3.0000000000000002E-2</v>
      </c>
      <c r="T43" s="271">
        <f t="shared" si="8"/>
        <v>2.7300000000000004</v>
      </c>
      <c r="U43" s="263">
        <f t="shared" si="9"/>
        <v>1.47</v>
      </c>
      <c r="V43" s="271">
        <f t="shared" si="10"/>
        <v>0.55125000000000002</v>
      </c>
      <c r="Y43" s="272">
        <f t="shared" si="11"/>
        <v>17.5</v>
      </c>
    </row>
    <row r="44" spans="1:28" ht="35.25" customHeight="1" x14ac:dyDescent="0.25">
      <c r="A44">
        <f t="shared" si="5"/>
        <v>40</v>
      </c>
      <c r="B44" s="1" t="s">
        <v>0</v>
      </c>
      <c r="C44" s="1" t="s">
        <v>48</v>
      </c>
      <c r="D44" s="276" t="s">
        <v>170</v>
      </c>
      <c r="E44" s="1" t="s">
        <v>171</v>
      </c>
      <c r="F44" s="276" t="s">
        <v>177</v>
      </c>
      <c r="G44" s="276" t="s">
        <v>173</v>
      </c>
      <c r="H44" s="276" t="s">
        <v>178</v>
      </c>
      <c r="I44" s="1" t="s">
        <v>5</v>
      </c>
      <c r="J44" s="1" t="s">
        <v>175</v>
      </c>
      <c r="K44" s="1" t="s">
        <v>2</v>
      </c>
      <c r="L44" s="1" t="s">
        <v>3</v>
      </c>
      <c r="M44" s="1" t="s">
        <v>81</v>
      </c>
      <c r="N44" s="1" t="s">
        <v>5</v>
      </c>
      <c r="O44" s="1" t="s">
        <v>41</v>
      </c>
      <c r="P44" s="267">
        <v>8</v>
      </c>
      <c r="Q44" s="268">
        <v>429</v>
      </c>
      <c r="R44" s="269" t="s">
        <v>273</v>
      </c>
      <c r="S44" s="270">
        <f t="shared" si="7"/>
        <v>1.8648018648018648E-2</v>
      </c>
      <c r="T44" s="271">
        <f t="shared" si="8"/>
        <v>10.4</v>
      </c>
      <c r="U44" s="263">
        <f t="shared" si="9"/>
        <v>5.6</v>
      </c>
      <c r="V44" s="271"/>
      <c r="W44" s="271">
        <f>Q44*Sheet3!E8/24</f>
        <v>62.5625</v>
      </c>
      <c r="Y44" s="272">
        <f t="shared" si="11"/>
        <v>107.25</v>
      </c>
    </row>
    <row r="45" spans="1:28" ht="35.25" customHeight="1" x14ac:dyDescent="0.25">
      <c r="A45">
        <f t="shared" ref="A45:A55" si="12">1+A44</f>
        <v>41</v>
      </c>
      <c r="B45" s="1" t="s">
        <v>0</v>
      </c>
      <c r="C45" s="1" t="s">
        <v>48</v>
      </c>
      <c r="D45" s="276" t="s">
        <v>170</v>
      </c>
      <c r="E45" s="1" t="s">
        <v>171</v>
      </c>
      <c r="F45" s="276" t="s">
        <v>179</v>
      </c>
      <c r="G45" s="276" t="s">
        <v>173</v>
      </c>
      <c r="H45" s="276" t="s">
        <v>180</v>
      </c>
      <c r="I45" s="1" t="s">
        <v>5</v>
      </c>
      <c r="J45" s="1" t="s">
        <v>175</v>
      </c>
      <c r="K45" s="1" t="s">
        <v>7</v>
      </c>
      <c r="L45" s="1" t="s">
        <v>8</v>
      </c>
      <c r="M45" s="1" t="s">
        <v>181</v>
      </c>
      <c r="N45" s="1" t="s">
        <v>5</v>
      </c>
      <c r="O45" s="1" t="s">
        <v>41</v>
      </c>
      <c r="P45" s="267">
        <v>36.5</v>
      </c>
      <c r="Q45" s="268">
        <v>30</v>
      </c>
      <c r="R45" s="269">
        <v>1.4</v>
      </c>
      <c r="S45" s="270">
        <f t="shared" si="7"/>
        <v>1.2166666666666666</v>
      </c>
      <c r="T45" s="271">
        <f t="shared" si="8"/>
        <v>47.45</v>
      </c>
      <c r="U45" s="263">
        <f t="shared" si="9"/>
        <v>25.549999999999997</v>
      </c>
      <c r="V45" s="271">
        <f t="shared" si="10"/>
        <v>9.5812499999999989</v>
      </c>
      <c r="Y45" s="272">
        <f t="shared" si="11"/>
        <v>7.5</v>
      </c>
    </row>
    <row r="46" spans="1:28" ht="35.25" customHeight="1" x14ac:dyDescent="0.25">
      <c r="A46">
        <f t="shared" si="12"/>
        <v>42</v>
      </c>
      <c r="B46" s="1" t="s">
        <v>0</v>
      </c>
      <c r="C46" s="1" t="s">
        <v>37</v>
      </c>
      <c r="D46" s="276" t="s">
        <v>14</v>
      </c>
      <c r="E46" s="1" t="s">
        <v>189</v>
      </c>
      <c r="F46" s="276" t="s">
        <v>190</v>
      </c>
      <c r="G46" s="276" t="s">
        <v>191</v>
      </c>
      <c r="H46" s="276" t="s">
        <v>192</v>
      </c>
      <c r="I46" s="1" t="s">
        <v>5</v>
      </c>
      <c r="J46" s="1" t="s">
        <v>193</v>
      </c>
      <c r="K46" s="1" t="s">
        <v>11</v>
      </c>
      <c r="L46" s="1" t="s">
        <v>5</v>
      </c>
      <c r="M46" s="1" t="s">
        <v>5</v>
      </c>
      <c r="N46" s="1" t="s">
        <v>114</v>
      </c>
      <c r="O46" s="1" t="s">
        <v>6</v>
      </c>
      <c r="P46" s="267">
        <v>23</v>
      </c>
      <c r="Q46" s="268">
        <v>1400</v>
      </c>
      <c r="R46" s="269" t="s">
        <v>273</v>
      </c>
      <c r="S46" s="270">
        <f t="shared" si="7"/>
        <v>1.6428571428571428E-2</v>
      </c>
      <c r="T46" s="271">
        <f t="shared" si="8"/>
        <v>29.900000000000002</v>
      </c>
      <c r="U46" s="263">
        <f t="shared" si="9"/>
        <v>16.099999999999998</v>
      </c>
      <c r="V46" s="271"/>
      <c r="W46" s="271">
        <f>Q46*Sheet3!E11/24</f>
        <v>147</v>
      </c>
      <c r="Y46" s="272">
        <f t="shared" si="11"/>
        <v>350</v>
      </c>
    </row>
    <row r="47" spans="1:28" ht="35.25" customHeight="1" x14ac:dyDescent="0.25">
      <c r="A47">
        <f t="shared" si="12"/>
        <v>43</v>
      </c>
      <c r="B47" s="1" t="s">
        <v>0</v>
      </c>
      <c r="C47" s="1" t="s">
        <v>1</v>
      </c>
      <c r="D47" s="276" t="s">
        <v>122</v>
      </c>
      <c r="E47" s="1" t="s">
        <v>123</v>
      </c>
      <c r="F47" s="276" t="s">
        <v>124</v>
      </c>
      <c r="G47" s="276" t="s">
        <v>125</v>
      </c>
      <c r="H47" s="276" t="s">
        <v>126</v>
      </c>
      <c r="I47" s="1" t="s">
        <v>5</v>
      </c>
      <c r="J47" s="1" t="s">
        <v>127</v>
      </c>
      <c r="K47" s="1" t="s">
        <v>18</v>
      </c>
      <c r="L47" s="1" t="s">
        <v>8</v>
      </c>
      <c r="M47" s="1" t="s">
        <v>128</v>
      </c>
      <c r="N47" s="1" t="s">
        <v>5</v>
      </c>
      <c r="O47" s="1" t="s">
        <v>41</v>
      </c>
      <c r="P47" s="267">
        <v>145</v>
      </c>
      <c r="Q47" s="268">
        <v>25</v>
      </c>
      <c r="R47" s="269">
        <v>1.5</v>
      </c>
      <c r="S47" s="270">
        <f t="shared" si="7"/>
        <v>5.8</v>
      </c>
      <c r="T47" s="271">
        <f t="shared" si="8"/>
        <v>188.5</v>
      </c>
      <c r="U47" s="263">
        <f t="shared" si="9"/>
        <v>101.5</v>
      </c>
      <c r="V47" s="271">
        <f t="shared" si="10"/>
        <v>38.0625</v>
      </c>
      <c r="Y47" s="272">
        <f t="shared" si="11"/>
        <v>6.25</v>
      </c>
    </row>
    <row r="48" spans="1:28" ht="35.25" customHeight="1" x14ac:dyDescent="0.25">
      <c r="A48">
        <f t="shared" si="12"/>
        <v>44</v>
      </c>
      <c r="B48" s="1" t="s">
        <v>0</v>
      </c>
      <c r="C48" s="1" t="s">
        <v>37</v>
      </c>
      <c r="D48" s="276" t="s">
        <v>326</v>
      </c>
      <c r="E48" s="1" t="s">
        <v>327</v>
      </c>
      <c r="F48" s="276" t="s">
        <v>57</v>
      </c>
      <c r="G48" s="276" t="s">
        <v>328</v>
      </c>
      <c r="H48" s="276" t="s">
        <v>329</v>
      </c>
      <c r="I48" s="1" t="s">
        <v>5</v>
      </c>
      <c r="J48" s="1" t="s">
        <v>330</v>
      </c>
      <c r="K48" s="1" t="s">
        <v>2</v>
      </c>
      <c r="L48" s="1" t="s">
        <v>3</v>
      </c>
      <c r="M48" s="1" t="s">
        <v>331</v>
      </c>
      <c r="N48" s="1" t="s">
        <v>5</v>
      </c>
      <c r="O48" s="1" t="s">
        <v>41</v>
      </c>
      <c r="P48" s="267">
        <v>3</v>
      </c>
      <c r="Q48" s="268">
        <v>30</v>
      </c>
      <c r="R48" s="1" t="s">
        <v>273</v>
      </c>
      <c r="S48" s="270">
        <f t="shared" si="7"/>
        <v>0.1</v>
      </c>
      <c r="T48" s="271">
        <f t="shared" si="8"/>
        <v>3.9000000000000004</v>
      </c>
      <c r="U48" s="263">
        <f t="shared" si="9"/>
        <v>2.0999999999999996</v>
      </c>
      <c r="V48" s="271">
        <f t="shared" si="10"/>
        <v>0.78749999999999998</v>
      </c>
      <c r="Y48" s="272">
        <f t="shared" si="11"/>
        <v>7.5</v>
      </c>
    </row>
    <row r="49" spans="1:25" ht="35.25" customHeight="1" x14ac:dyDescent="0.25">
      <c r="A49">
        <f t="shared" si="12"/>
        <v>45</v>
      </c>
      <c r="B49" s="1" t="s">
        <v>0</v>
      </c>
      <c r="C49" s="1" t="s">
        <v>37</v>
      </c>
      <c r="D49" s="276" t="s">
        <v>251</v>
      </c>
      <c r="E49" s="1" t="s">
        <v>252</v>
      </c>
      <c r="F49" s="276" t="s">
        <v>253</v>
      </c>
      <c r="G49" s="276" t="s">
        <v>254</v>
      </c>
      <c r="H49" s="276" t="s">
        <v>255</v>
      </c>
      <c r="I49" s="1" t="s">
        <v>5</v>
      </c>
      <c r="J49" s="1" t="s">
        <v>50</v>
      </c>
      <c r="K49" s="1" t="s">
        <v>2</v>
      </c>
      <c r="L49" s="1" t="s">
        <v>3</v>
      </c>
      <c r="M49" s="1" t="s">
        <v>256</v>
      </c>
      <c r="N49" s="1" t="s">
        <v>5</v>
      </c>
      <c r="O49" s="1" t="s">
        <v>41</v>
      </c>
      <c r="P49" s="267">
        <v>3</v>
      </c>
      <c r="Q49" s="268">
        <v>90</v>
      </c>
      <c r="R49" s="269" t="s">
        <v>273</v>
      </c>
      <c r="S49" s="270">
        <f t="shared" si="7"/>
        <v>3.3333333333333333E-2</v>
      </c>
      <c r="T49" s="271">
        <f t="shared" si="8"/>
        <v>3.9000000000000004</v>
      </c>
      <c r="U49" s="263">
        <f t="shared" si="9"/>
        <v>2.0999999999999996</v>
      </c>
      <c r="V49" s="271">
        <f t="shared" si="10"/>
        <v>0.78749999999999998</v>
      </c>
      <c r="Y49" s="272">
        <f t="shared" si="11"/>
        <v>22.5</v>
      </c>
    </row>
    <row r="50" spans="1:25" ht="35.25" customHeight="1" x14ac:dyDescent="0.25">
      <c r="A50">
        <f t="shared" si="12"/>
        <v>46</v>
      </c>
      <c r="B50" s="1" t="s">
        <v>0</v>
      </c>
      <c r="C50" s="1" t="s">
        <v>48</v>
      </c>
      <c r="D50" s="276" t="s">
        <v>182</v>
      </c>
      <c r="E50" s="1" t="s">
        <v>183</v>
      </c>
      <c r="F50" s="276" t="s">
        <v>184</v>
      </c>
      <c r="G50" s="276" t="s">
        <v>185</v>
      </c>
      <c r="H50" s="276" t="s">
        <v>186</v>
      </c>
      <c r="I50" s="1" t="s">
        <v>5</v>
      </c>
      <c r="J50" s="1" t="s">
        <v>187</v>
      </c>
      <c r="K50" s="1" t="s">
        <v>7</v>
      </c>
      <c r="L50" s="1" t="s">
        <v>8</v>
      </c>
      <c r="M50" s="1" t="s">
        <v>10</v>
      </c>
      <c r="N50" s="1" t="s">
        <v>5</v>
      </c>
      <c r="O50" s="1" t="s">
        <v>6</v>
      </c>
      <c r="P50" s="267">
        <v>15</v>
      </c>
      <c r="Q50" s="268">
        <v>10</v>
      </c>
      <c r="R50" s="269">
        <v>0.8</v>
      </c>
      <c r="S50" s="270">
        <f t="shared" si="7"/>
        <v>1.5</v>
      </c>
      <c r="T50" s="271">
        <f t="shared" si="8"/>
        <v>19.5</v>
      </c>
      <c r="U50" s="263">
        <f t="shared" si="9"/>
        <v>10.5</v>
      </c>
      <c r="V50" s="271">
        <f t="shared" si="10"/>
        <v>3.9375</v>
      </c>
      <c r="Y50" s="272">
        <f t="shared" si="11"/>
        <v>2.5</v>
      </c>
    </row>
    <row r="51" spans="1:25" ht="35.25" customHeight="1" x14ac:dyDescent="0.25">
      <c r="A51">
        <f t="shared" si="12"/>
        <v>47</v>
      </c>
      <c r="B51" s="1" t="s">
        <v>0</v>
      </c>
      <c r="C51" s="1" t="s">
        <v>37</v>
      </c>
      <c r="D51" s="276" t="s">
        <v>214</v>
      </c>
      <c r="E51" s="1" t="s">
        <v>215</v>
      </c>
      <c r="F51" s="276" t="s">
        <v>216</v>
      </c>
      <c r="G51" s="276" t="s">
        <v>217</v>
      </c>
      <c r="H51" s="276" t="s">
        <v>218</v>
      </c>
      <c r="I51" s="1" t="s">
        <v>5</v>
      </c>
      <c r="J51" s="1" t="s">
        <v>219</v>
      </c>
      <c r="K51" s="1" t="s">
        <v>18</v>
      </c>
      <c r="L51" s="1" t="s">
        <v>8</v>
      </c>
      <c r="M51" s="1" t="s">
        <v>220</v>
      </c>
      <c r="N51" s="1" t="s">
        <v>5</v>
      </c>
      <c r="O51" s="1" t="s">
        <v>41</v>
      </c>
      <c r="P51" s="267">
        <v>2</v>
      </c>
      <c r="Q51" s="268">
        <v>120</v>
      </c>
      <c r="R51" s="269">
        <v>0.8</v>
      </c>
      <c r="S51" s="270">
        <f t="shared" si="7"/>
        <v>1.6666666666666666E-2</v>
      </c>
      <c r="T51" s="271">
        <f t="shared" si="8"/>
        <v>2.6</v>
      </c>
      <c r="U51" s="263">
        <f t="shared" si="9"/>
        <v>1.4</v>
      </c>
      <c r="V51" s="271"/>
      <c r="W51" s="271">
        <f>Q51*Sheet3!$E$5/24</f>
        <v>28</v>
      </c>
      <c r="Y51" s="272">
        <f t="shared" si="11"/>
        <v>30</v>
      </c>
    </row>
    <row r="52" spans="1:25" ht="35.25" customHeight="1" x14ac:dyDescent="0.25">
      <c r="A52">
        <f t="shared" si="12"/>
        <v>48</v>
      </c>
      <c r="B52" s="1" t="s">
        <v>0</v>
      </c>
      <c r="C52" s="1" t="s">
        <v>37</v>
      </c>
      <c r="D52" s="276" t="s">
        <v>214</v>
      </c>
      <c r="E52" s="1" t="s">
        <v>215</v>
      </c>
      <c r="F52" s="276" t="s">
        <v>301</v>
      </c>
      <c r="G52" s="276" t="s">
        <v>302</v>
      </c>
      <c r="H52" s="276" t="s">
        <v>303</v>
      </c>
      <c r="I52" s="1" t="s">
        <v>5</v>
      </c>
      <c r="J52" s="1" t="s">
        <v>219</v>
      </c>
      <c r="K52" s="1" t="s">
        <v>7</v>
      </c>
      <c r="L52" s="1" t="s">
        <v>8</v>
      </c>
      <c r="M52" s="1" t="s">
        <v>304</v>
      </c>
      <c r="N52" s="1" t="s">
        <v>5</v>
      </c>
      <c r="O52" s="1" t="s">
        <v>41</v>
      </c>
      <c r="P52" s="267">
        <v>31.9</v>
      </c>
      <c r="Q52" s="268">
        <v>13</v>
      </c>
      <c r="R52" s="269">
        <v>0.5</v>
      </c>
      <c r="S52" s="270">
        <f t="shared" si="7"/>
        <v>2.4538461538461536</v>
      </c>
      <c r="T52" s="271">
        <f t="shared" si="8"/>
        <v>41.47</v>
      </c>
      <c r="U52" s="263">
        <f t="shared" si="9"/>
        <v>22.33</v>
      </c>
      <c r="V52" s="271">
        <f t="shared" si="10"/>
        <v>8.3737499999999994</v>
      </c>
      <c r="Y52" s="272">
        <f t="shared" si="11"/>
        <v>3.25</v>
      </c>
    </row>
    <row r="53" spans="1:25" ht="35.25" customHeight="1" x14ac:dyDescent="0.25">
      <c r="A53">
        <f t="shared" si="12"/>
        <v>49</v>
      </c>
      <c r="B53" s="1" t="s">
        <v>0</v>
      </c>
      <c r="C53" s="1" t="s">
        <v>37</v>
      </c>
      <c r="D53" s="276" t="s">
        <v>214</v>
      </c>
      <c r="E53" s="1" t="s">
        <v>215</v>
      </c>
      <c r="F53" s="276" t="s">
        <v>221</v>
      </c>
      <c r="G53" s="276" t="s">
        <v>222</v>
      </c>
      <c r="H53" s="276" t="s">
        <v>223</v>
      </c>
      <c r="I53" s="1" t="s">
        <v>5</v>
      </c>
      <c r="J53" s="1" t="s">
        <v>219</v>
      </c>
      <c r="K53" s="1" t="s">
        <v>2</v>
      </c>
      <c r="L53" s="1" t="s">
        <v>3</v>
      </c>
      <c r="M53" s="1" t="s">
        <v>224</v>
      </c>
      <c r="N53" s="1" t="s">
        <v>5</v>
      </c>
      <c r="O53" s="1" t="s">
        <v>41</v>
      </c>
      <c r="P53" s="267">
        <v>3.1</v>
      </c>
      <c r="Q53" s="268">
        <v>200</v>
      </c>
      <c r="R53" s="269" t="s">
        <v>273</v>
      </c>
      <c r="S53" s="270">
        <f t="shared" si="7"/>
        <v>1.55E-2</v>
      </c>
      <c r="T53" s="271">
        <f t="shared" si="8"/>
        <v>4.03</v>
      </c>
      <c r="U53" s="263">
        <f t="shared" si="9"/>
        <v>2.17</v>
      </c>
      <c r="V53" s="271"/>
      <c r="W53" s="271">
        <f>Q53*Sheet3!$E$6/24</f>
        <v>40.833333333333329</v>
      </c>
      <c r="Y53" s="272">
        <f t="shared" si="11"/>
        <v>50</v>
      </c>
    </row>
    <row r="54" spans="1:25" ht="35.25" customHeight="1" x14ac:dyDescent="0.25">
      <c r="A54">
        <f t="shared" si="12"/>
        <v>50</v>
      </c>
      <c r="B54" s="1" t="s">
        <v>0</v>
      </c>
      <c r="C54" s="1" t="s">
        <v>37</v>
      </c>
      <c r="D54" s="276" t="s">
        <v>59</v>
      </c>
      <c r="E54" s="1" t="s">
        <v>60</v>
      </c>
      <c r="F54" s="276" t="s">
        <v>82</v>
      </c>
      <c r="G54" s="276" t="s">
        <v>83</v>
      </c>
      <c r="H54" s="276" t="s">
        <v>84</v>
      </c>
      <c r="I54" s="1" t="s">
        <v>5</v>
      </c>
      <c r="J54" s="1" t="s">
        <v>85</v>
      </c>
      <c r="K54" s="1" t="s">
        <v>13</v>
      </c>
      <c r="L54" s="1" t="s">
        <v>5</v>
      </c>
      <c r="M54" s="1" t="s">
        <v>5</v>
      </c>
      <c r="N54" s="1" t="s">
        <v>58</v>
      </c>
      <c r="O54" s="1" t="s">
        <v>6</v>
      </c>
      <c r="P54" s="267">
        <v>40</v>
      </c>
      <c r="Q54" s="268">
        <v>57</v>
      </c>
      <c r="R54" s="269" t="s">
        <v>273</v>
      </c>
      <c r="S54" s="270">
        <f t="shared" si="7"/>
        <v>0.70175438596491224</v>
      </c>
      <c r="T54" s="271">
        <f t="shared" si="8"/>
        <v>52</v>
      </c>
      <c r="U54" s="263">
        <f t="shared" si="9"/>
        <v>28</v>
      </c>
      <c r="V54" s="271">
        <f t="shared" si="10"/>
        <v>10.5</v>
      </c>
      <c r="Y54" s="272">
        <f t="shared" si="11"/>
        <v>14.25</v>
      </c>
    </row>
    <row r="55" spans="1:25" ht="35.25" customHeight="1" x14ac:dyDescent="0.25">
      <c r="A55">
        <f t="shared" si="12"/>
        <v>51</v>
      </c>
      <c r="B55" s="1" t="s">
        <v>0</v>
      </c>
      <c r="C55" s="1" t="s">
        <v>37</v>
      </c>
      <c r="D55" s="276" t="s">
        <v>314</v>
      </c>
      <c r="E55" s="1" t="s">
        <v>315</v>
      </c>
      <c r="F55" s="276" t="s">
        <v>316</v>
      </c>
      <c r="G55" s="276" t="s">
        <v>317</v>
      </c>
      <c r="H55" s="276" t="s">
        <v>318</v>
      </c>
      <c r="I55" s="1" t="s">
        <v>5</v>
      </c>
      <c r="J55" s="1" t="s">
        <v>319</v>
      </c>
      <c r="K55" s="1" t="s">
        <v>2</v>
      </c>
      <c r="L55" s="1" t="s">
        <v>3</v>
      </c>
      <c r="M55" s="1" t="s">
        <v>320</v>
      </c>
      <c r="N55" s="1" t="s">
        <v>5</v>
      </c>
      <c r="O55" s="1" t="s">
        <v>41</v>
      </c>
      <c r="P55" s="267">
        <v>9</v>
      </c>
      <c r="Q55" s="268">
        <v>57</v>
      </c>
      <c r="R55" s="269" t="s">
        <v>273</v>
      </c>
      <c r="S55" s="270">
        <f t="shared" si="7"/>
        <v>0.15789473684210525</v>
      </c>
      <c r="T55" s="271">
        <f t="shared" si="8"/>
        <v>11.700000000000001</v>
      </c>
      <c r="U55" s="263">
        <f t="shared" si="9"/>
        <v>6.3</v>
      </c>
      <c r="V55" s="271">
        <f>+IF(Q55&lt;100,P55*$V$1/24,0)</f>
        <v>2.3624999999999998</v>
      </c>
      <c r="Y55" s="272">
        <f t="shared" si="11"/>
        <v>14.25</v>
      </c>
    </row>
    <row r="56" spans="1:25" x14ac:dyDescent="0.25">
      <c r="Y56" s="272"/>
    </row>
    <row r="57" spans="1:25" x14ac:dyDescent="0.25">
      <c r="Y57" s="274">
        <f>SUBTOTAL(9,Y5:Y55)</f>
        <v>1455</v>
      </c>
    </row>
  </sheetData>
  <pageMargins left="0.31" right="0.17" top="0.75" bottom="0.59" header="0.3" footer="0.17"/>
  <pageSetup paperSize="9" scale="50" orientation="landscape" r:id="rId1"/>
  <headerFooter>
    <oddFooter>&amp;C&amp;A&amp;RLapa &amp;P no &amp;N</oddFooter>
  </headerFooter>
  <rowBreaks count="1" manualBreakCount="1">
    <brk id="28" max="1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16"/>
  <sheetViews>
    <sheetView workbookViewId="0">
      <selection activeCell="C10" sqref="C10"/>
    </sheetView>
  </sheetViews>
  <sheetFormatPr defaultRowHeight="15" x14ac:dyDescent="0.25"/>
  <sheetData>
    <row r="2" spans="3:5" x14ac:dyDescent="0.25">
      <c r="E2" t="s">
        <v>349</v>
      </c>
    </row>
    <row r="3" spans="3:5" ht="30" x14ac:dyDescent="0.25">
      <c r="C3" s="9" t="s">
        <v>337</v>
      </c>
      <c r="D3" t="s">
        <v>348</v>
      </c>
      <c r="E3" s="4">
        <v>1.4</v>
      </c>
    </row>
    <row r="4" spans="3:5" x14ac:dyDescent="0.25">
      <c r="C4">
        <v>99</v>
      </c>
      <c r="D4" s="3">
        <v>4.5</v>
      </c>
      <c r="E4" s="11">
        <f>+$E$3*D4</f>
        <v>6.3</v>
      </c>
    </row>
    <row r="5" spans="3:5" x14ac:dyDescent="0.25">
      <c r="C5">
        <v>150</v>
      </c>
      <c r="D5" s="3">
        <v>4</v>
      </c>
      <c r="E5" s="3">
        <f t="shared" ref="E5:E16" si="0">+$E$3*D5</f>
        <v>5.6</v>
      </c>
    </row>
    <row r="6" spans="3:5" x14ac:dyDescent="0.25">
      <c r="C6">
        <v>200</v>
      </c>
      <c r="D6" s="3">
        <v>3.5</v>
      </c>
      <c r="E6" s="3">
        <f t="shared" si="0"/>
        <v>4.8999999999999995</v>
      </c>
    </row>
    <row r="7" spans="3:5" x14ac:dyDescent="0.25">
      <c r="C7">
        <v>300</v>
      </c>
      <c r="D7" s="3">
        <v>3</v>
      </c>
      <c r="E7" s="3">
        <f t="shared" si="0"/>
        <v>4.1999999999999993</v>
      </c>
    </row>
    <row r="8" spans="3:5" x14ac:dyDescent="0.25">
      <c r="C8">
        <v>500</v>
      </c>
      <c r="D8" s="3">
        <v>2.5</v>
      </c>
      <c r="E8" s="3">
        <f t="shared" si="0"/>
        <v>3.5</v>
      </c>
    </row>
    <row r="9" spans="3:5" x14ac:dyDescent="0.25">
      <c r="C9">
        <v>750</v>
      </c>
      <c r="D9" s="3">
        <v>2.2000000000000002</v>
      </c>
      <c r="E9" s="3">
        <f t="shared" si="0"/>
        <v>3.08</v>
      </c>
    </row>
    <row r="10" spans="3:5" x14ac:dyDescent="0.25">
      <c r="C10">
        <v>1000</v>
      </c>
      <c r="D10" s="3">
        <v>2</v>
      </c>
      <c r="E10" s="3">
        <f t="shared" si="0"/>
        <v>2.8</v>
      </c>
    </row>
    <row r="11" spans="3:5" x14ac:dyDescent="0.25">
      <c r="C11">
        <v>1500</v>
      </c>
      <c r="D11" s="3">
        <v>1.8</v>
      </c>
      <c r="E11" s="3">
        <f t="shared" si="0"/>
        <v>2.52</v>
      </c>
    </row>
    <row r="12" spans="3:5" x14ac:dyDescent="0.25">
      <c r="C12">
        <v>2500</v>
      </c>
      <c r="D12" s="3">
        <v>1.6</v>
      </c>
      <c r="E12" s="3">
        <f t="shared" si="0"/>
        <v>2.2399999999999998</v>
      </c>
    </row>
    <row r="13" spans="3:5" x14ac:dyDescent="0.25">
      <c r="C13">
        <v>4000</v>
      </c>
      <c r="D13" s="3">
        <v>1.5</v>
      </c>
      <c r="E13" s="3">
        <f t="shared" si="0"/>
        <v>2.0999999999999996</v>
      </c>
    </row>
    <row r="14" spans="3:5" x14ac:dyDescent="0.25">
      <c r="C14">
        <v>6000</v>
      </c>
      <c r="D14" s="3">
        <v>1.4</v>
      </c>
      <c r="E14" s="3">
        <f t="shared" si="0"/>
        <v>1.9599999999999997</v>
      </c>
    </row>
    <row r="15" spans="3:5" x14ac:dyDescent="0.25">
      <c r="C15">
        <v>10000</v>
      </c>
      <c r="D15" s="3">
        <v>1.3</v>
      </c>
      <c r="E15" s="3">
        <f t="shared" si="0"/>
        <v>1.8199999999999998</v>
      </c>
    </row>
    <row r="16" spans="3:5" x14ac:dyDescent="0.25">
      <c r="C16">
        <v>20000</v>
      </c>
      <c r="D16" s="3">
        <v>1.2</v>
      </c>
      <c r="E16" s="3">
        <f t="shared" si="0"/>
        <v>1.68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R68"/>
  <sheetViews>
    <sheetView zoomScale="115" zoomScaleNormal="115" workbookViewId="0">
      <selection activeCell="H27" sqref="H27"/>
    </sheetView>
  </sheetViews>
  <sheetFormatPr defaultRowHeight="15" x14ac:dyDescent="0.25"/>
  <sheetData>
    <row r="4" spans="2:18" ht="30" x14ac:dyDescent="0.25">
      <c r="B4" s="5" t="s">
        <v>336</v>
      </c>
      <c r="C4" s="467" t="s">
        <v>337</v>
      </c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69"/>
      <c r="O4" s="469"/>
      <c r="P4" s="469"/>
      <c r="Q4" s="469"/>
      <c r="R4" s="468"/>
    </row>
    <row r="5" spans="2:18" ht="15" customHeight="1" x14ac:dyDescent="0.25">
      <c r="B5" s="5"/>
      <c r="C5" s="6" t="s">
        <v>338</v>
      </c>
      <c r="D5" s="467">
        <v>150</v>
      </c>
      <c r="E5" s="468"/>
      <c r="F5" s="467">
        <v>200</v>
      </c>
      <c r="G5" s="468"/>
      <c r="H5" s="467">
        <v>300</v>
      </c>
      <c r="I5" s="468"/>
      <c r="J5" s="467">
        <v>500</v>
      </c>
      <c r="K5" s="468"/>
      <c r="L5" s="467">
        <v>750</v>
      </c>
      <c r="M5" s="468"/>
      <c r="N5" s="467">
        <v>1000</v>
      </c>
      <c r="O5" s="468"/>
      <c r="P5" s="467">
        <v>1500</v>
      </c>
      <c r="Q5" s="468"/>
      <c r="R5" s="6">
        <v>2500</v>
      </c>
    </row>
    <row r="6" spans="2:18" ht="18" x14ac:dyDescent="0.35">
      <c r="B6" s="5" t="s">
        <v>339</v>
      </c>
      <c r="C6" s="6">
        <v>4.5</v>
      </c>
      <c r="D6" s="467">
        <v>4</v>
      </c>
      <c r="E6" s="468"/>
      <c r="F6" s="467">
        <v>3.5</v>
      </c>
      <c r="G6" s="468"/>
      <c r="H6" s="467">
        <v>3</v>
      </c>
      <c r="I6" s="468"/>
      <c r="J6" s="467">
        <v>2.5</v>
      </c>
      <c r="K6" s="468"/>
      <c r="L6" s="467">
        <v>2.2000000000000002</v>
      </c>
      <c r="M6" s="468"/>
      <c r="N6" s="467">
        <v>2</v>
      </c>
      <c r="O6" s="468"/>
      <c r="P6" s="467">
        <v>1.8</v>
      </c>
      <c r="Q6" s="468"/>
      <c r="R6" s="6">
        <v>1.6</v>
      </c>
    </row>
    <row r="7" spans="2:18" ht="18" x14ac:dyDescent="0.35">
      <c r="B7" s="5" t="s">
        <v>340</v>
      </c>
      <c r="C7" s="6">
        <v>0.01</v>
      </c>
      <c r="D7" s="467">
        <v>0.01</v>
      </c>
      <c r="E7" s="468"/>
      <c r="F7" s="467">
        <v>0.02</v>
      </c>
      <c r="G7" s="468"/>
      <c r="H7" s="467">
        <v>0.03</v>
      </c>
      <c r="I7" s="468"/>
      <c r="J7" s="467">
        <v>0.05</v>
      </c>
      <c r="K7" s="468"/>
      <c r="L7" s="467">
        <v>7.0000000000000007E-2</v>
      </c>
      <c r="M7" s="468"/>
      <c r="N7" s="467">
        <v>0.1</v>
      </c>
      <c r="O7" s="468"/>
      <c r="P7" s="467">
        <v>0.1</v>
      </c>
      <c r="Q7" s="468"/>
      <c r="R7" s="6">
        <v>0.1</v>
      </c>
    </row>
    <row r="8" spans="2:18" ht="30" x14ac:dyDescent="0.25">
      <c r="B8" s="5" t="s">
        <v>341</v>
      </c>
      <c r="C8" s="467" t="s">
        <v>337</v>
      </c>
      <c r="D8" s="469"/>
      <c r="E8" s="469"/>
      <c r="F8" s="469"/>
      <c r="G8" s="469"/>
      <c r="H8" s="469"/>
      <c r="I8" s="469"/>
      <c r="J8" s="469"/>
      <c r="K8" s="469"/>
      <c r="L8" s="469"/>
      <c r="M8" s="469"/>
      <c r="N8" s="469"/>
      <c r="O8" s="469"/>
      <c r="P8" s="469"/>
      <c r="Q8" s="469"/>
      <c r="R8" s="468"/>
    </row>
    <row r="9" spans="2:18" ht="15" customHeight="1" x14ac:dyDescent="0.25">
      <c r="B9" s="5"/>
      <c r="C9" s="467">
        <v>4000</v>
      </c>
      <c r="D9" s="468"/>
      <c r="E9" s="467">
        <v>6000</v>
      </c>
      <c r="F9" s="468"/>
      <c r="G9" s="467">
        <v>10000</v>
      </c>
      <c r="H9" s="468"/>
      <c r="I9" s="467">
        <v>20000</v>
      </c>
      <c r="J9" s="468"/>
      <c r="K9" s="467">
        <v>50000</v>
      </c>
      <c r="L9" s="468"/>
      <c r="M9" s="467">
        <v>100000</v>
      </c>
      <c r="N9" s="468"/>
      <c r="O9" s="467">
        <v>300000</v>
      </c>
      <c r="P9" s="468"/>
      <c r="Q9" s="467" t="s">
        <v>342</v>
      </c>
      <c r="R9" s="468"/>
    </row>
    <row r="10" spans="2:18" ht="18" x14ac:dyDescent="0.35">
      <c r="B10" s="5" t="s">
        <v>339</v>
      </c>
      <c r="C10" s="467">
        <v>1.5</v>
      </c>
      <c r="D10" s="468"/>
      <c r="E10" s="467">
        <v>1.4</v>
      </c>
      <c r="F10" s="468"/>
      <c r="G10" s="467">
        <v>1.3</v>
      </c>
      <c r="H10" s="468"/>
      <c r="I10" s="467">
        <v>1.2</v>
      </c>
      <c r="J10" s="468"/>
      <c r="K10" s="467">
        <v>1.1499999999999999</v>
      </c>
      <c r="L10" s="468"/>
      <c r="M10" s="467">
        <v>1.1000000000000001</v>
      </c>
      <c r="N10" s="468"/>
      <c r="O10" s="467">
        <v>1.05</v>
      </c>
      <c r="P10" s="468"/>
      <c r="Q10" s="467">
        <v>1</v>
      </c>
      <c r="R10" s="468"/>
    </row>
    <row r="11" spans="2:18" ht="18" x14ac:dyDescent="0.35">
      <c r="B11" s="5" t="s">
        <v>340</v>
      </c>
      <c r="C11" s="467">
        <v>0.2</v>
      </c>
      <c r="D11" s="468"/>
      <c r="E11" s="467">
        <v>0.25</v>
      </c>
      <c r="F11" s="468"/>
      <c r="G11" s="467">
        <v>0.4</v>
      </c>
      <c r="H11" s="468"/>
      <c r="I11" s="467">
        <v>0.5</v>
      </c>
      <c r="J11" s="468"/>
      <c r="K11" s="467">
        <v>0.6</v>
      </c>
      <c r="L11" s="468"/>
      <c r="M11" s="467">
        <v>0.7</v>
      </c>
      <c r="N11" s="468"/>
      <c r="O11" s="467">
        <v>0.85</v>
      </c>
      <c r="P11" s="468"/>
      <c r="Q11" s="467">
        <v>1</v>
      </c>
      <c r="R11" s="468"/>
    </row>
    <row r="13" spans="2:18" ht="18" x14ac:dyDescent="0.35">
      <c r="B13" t="s">
        <v>343</v>
      </c>
    </row>
    <row r="15" spans="2:18" ht="18" x14ac:dyDescent="0.35">
      <c r="B15" s="7" t="s">
        <v>344</v>
      </c>
      <c r="G15">
        <f>4.5*1.4</f>
        <v>6.3</v>
      </c>
    </row>
    <row r="17" spans="2:6" ht="18" x14ac:dyDescent="0.35">
      <c r="B17" s="7" t="s">
        <v>345</v>
      </c>
    </row>
    <row r="19" spans="2:6" ht="18" x14ac:dyDescent="0.35">
      <c r="B19" t="s">
        <v>346</v>
      </c>
    </row>
    <row r="21" spans="2:6" x14ac:dyDescent="0.25">
      <c r="B21" s="8" t="s">
        <v>347</v>
      </c>
    </row>
    <row r="25" spans="2:6" x14ac:dyDescent="0.25">
      <c r="F25" s="10"/>
    </row>
    <row r="26" spans="2:6" x14ac:dyDescent="0.25">
      <c r="F26" s="10"/>
    </row>
    <row r="27" spans="2:6" x14ac:dyDescent="0.25">
      <c r="F27" s="10"/>
    </row>
    <row r="28" spans="2:6" x14ac:dyDescent="0.25">
      <c r="F28" s="10"/>
    </row>
    <row r="29" spans="2:6" x14ac:dyDescent="0.25">
      <c r="F29" s="10"/>
    </row>
    <row r="30" spans="2:6" x14ac:dyDescent="0.25">
      <c r="F30" s="10"/>
    </row>
    <row r="31" spans="2:6" x14ac:dyDescent="0.25">
      <c r="F31" s="10"/>
    </row>
    <row r="32" spans="2:6" x14ac:dyDescent="0.25">
      <c r="F32" s="10"/>
    </row>
    <row r="33" spans="6:6" x14ac:dyDescent="0.25">
      <c r="F33" s="10"/>
    </row>
    <row r="34" spans="6:6" x14ac:dyDescent="0.25">
      <c r="F34" s="10"/>
    </row>
    <row r="35" spans="6:6" x14ac:dyDescent="0.25">
      <c r="F35" s="10"/>
    </row>
    <row r="36" spans="6:6" x14ac:dyDescent="0.25">
      <c r="F36" s="10"/>
    </row>
    <row r="37" spans="6:6" x14ac:dyDescent="0.25">
      <c r="F37" s="10"/>
    </row>
    <row r="38" spans="6:6" x14ac:dyDescent="0.25">
      <c r="F38" s="10"/>
    </row>
    <row r="39" spans="6:6" x14ac:dyDescent="0.25">
      <c r="F39" s="10"/>
    </row>
    <row r="40" spans="6:6" x14ac:dyDescent="0.25">
      <c r="F40" s="10"/>
    </row>
    <row r="41" spans="6:6" x14ac:dyDescent="0.25">
      <c r="F41" s="10"/>
    </row>
    <row r="42" spans="6:6" x14ac:dyDescent="0.25">
      <c r="F42" s="10"/>
    </row>
    <row r="43" spans="6:6" x14ac:dyDescent="0.25">
      <c r="F43" s="10"/>
    </row>
    <row r="44" spans="6:6" x14ac:dyDescent="0.25">
      <c r="F44" s="10"/>
    </row>
    <row r="45" spans="6:6" x14ac:dyDescent="0.25">
      <c r="F45" s="10"/>
    </row>
    <row r="46" spans="6:6" x14ac:dyDescent="0.25">
      <c r="F46" s="10"/>
    </row>
    <row r="47" spans="6:6" x14ac:dyDescent="0.25">
      <c r="F47" s="10"/>
    </row>
    <row r="48" spans="6:6" x14ac:dyDescent="0.25">
      <c r="F48" s="10"/>
    </row>
    <row r="49" spans="6:6" x14ac:dyDescent="0.25">
      <c r="F49" s="10"/>
    </row>
    <row r="50" spans="6:6" x14ac:dyDescent="0.25">
      <c r="F50" s="10"/>
    </row>
    <row r="51" spans="6:6" x14ac:dyDescent="0.25">
      <c r="F51" s="10"/>
    </row>
    <row r="52" spans="6:6" x14ac:dyDescent="0.25">
      <c r="F52" s="10"/>
    </row>
    <row r="53" spans="6:6" x14ac:dyDescent="0.25">
      <c r="F53" s="10"/>
    </row>
    <row r="54" spans="6:6" x14ac:dyDescent="0.25">
      <c r="F54" s="10"/>
    </row>
    <row r="55" spans="6:6" x14ac:dyDescent="0.25">
      <c r="F55" s="10"/>
    </row>
    <row r="56" spans="6:6" x14ac:dyDescent="0.25">
      <c r="F56" s="10"/>
    </row>
    <row r="57" spans="6:6" x14ac:dyDescent="0.25">
      <c r="F57" s="10"/>
    </row>
    <row r="58" spans="6:6" x14ac:dyDescent="0.25">
      <c r="F58" s="10"/>
    </row>
    <row r="59" spans="6:6" x14ac:dyDescent="0.25">
      <c r="F59" s="10"/>
    </row>
    <row r="60" spans="6:6" x14ac:dyDescent="0.25">
      <c r="F60" s="10"/>
    </row>
    <row r="61" spans="6:6" x14ac:dyDescent="0.25">
      <c r="F61" s="10"/>
    </row>
    <row r="62" spans="6:6" x14ac:dyDescent="0.25">
      <c r="F62" s="10"/>
    </row>
    <row r="63" spans="6:6" x14ac:dyDescent="0.25">
      <c r="F63" s="10"/>
    </row>
    <row r="64" spans="6:6" x14ac:dyDescent="0.25">
      <c r="F64" s="10"/>
    </row>
    <row r="65" spans="6:6" x14ac:dyDescent="0.25">
      <c r="F65" s="10"/>
    </row>
    <row r="66" spans="6:6" x14ac:dyDescent="0.25">
      <c r="F66" s="10"/>
    </row>
    <row r="67" spans="6:6" x14ac:dyDescent="0.25">
      <c r="F67" s="10"/>
    </row>
    <row r="68" spans="6:6" x14ac:dyDescent="0.25">
      <c r="F68" s="10"/>
    </row>
  </sheetData>
  <mergeCells count="47">
    <mergeCell ref="C4:R4"/>
    <mergeCell ref="D5:E5"/>
    <mergeCell ref="F5:G5"/>
    <mergeCell ref="H5:I5"/>
    <mergeCell ref="J5:K5"/>
    <mergeCell ref="L5:M5"/>
    <mergeCell ref="N5:O5"/>
    <mergeCell ref="P5:Q5"/>
    <mergeCell ref="P6:Q6"/>
    <mergeCell ref="D7:E7"/>
    <mergeCell ref="F7:G7"/>
    <mergeCell ref="H7:I7"/>
    <mergeCell ref="J7:K7"/>
    <mergeCell ref="L7:M7"/>
    <mergeCell ref="N7:O7"/>
    <mergeCell ref="P7:Q7"/>
    <mergeCell ref="D6:E6"/>
    <mergeCell ref="F6:G6"/>
    <mergeCell ref="H6:I6"/>
    <mergeCell ref="J6:K6"/>
    <mergeCell ref="L6:M6"/>
    <mergeCell ref="N6:O6"/>
    <mergeCell ref="C8:R8"/>
    <mergeCell ref="C9:D9"/>
    <mergeCell ref="E9:F9"/>
    <mergeCell ref="G9:H9"/>
    <mergeCell ref="I9:J9"/>
    <mergeCell ref="K9:L9"/>
    <mergeCell ref="M9:N9"/>
    <mergeCell ref="O9:P9"/>
    <mergeCell ref="Q9:R9"/>
    <mergeCell ref="O10:P10"/>
    <mergeCell ref="Q10:R10"/>
    <mergeCell ref="C11:D11"/>
    <mergeCell ref="E11:F11"/>
    <mergeCell ref="G11:H11"/>
    <mergeCell ref="I11:J11"/>
    <mergeCell ref="K11:L11"/>
    <mergeCell ref="M11:N11"/>
    <mergeCell ref="O11:P11"/>
    <mergeCell ref="Q11:R11"/>
    <mergeCell ref="C10:D10"/>
    <mergeCell ref="E10:F10"/>
    <mergeCell ref="G10:H10"/>
    <mergeCell ref="I10:J10"/>
    <mergeCell ref="K10:L10"/>
    <mergeCell ref="M10:N10"/>
  </mergeCells>
  <hyperlinks>
    <hyperlink ref="B21" r:id="rId1" location="piel0" display="https://likumi.lv/ta/id/274989 - piel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19"/>
  <sheetViews>
    <sheetView view="pageBreakPreview" topLeftCell="A34" zoomScale="85" zoomScaleNormal="85" zoomScaleSheetLayoutView="85" workbookViewId="0">
      <selection activeCell="P32" sqref="P32"/>
    </sheetView>
  </sheetViews>
  <sheetFormatPr defaultRowHeight="15" x14ac:dyDescent="0.25"/>
  <cols>
    <col min="1" max="1" width="13" style="12" customWidth="1"/>
    <col min="2" max="2" width="8.28515625" style="12" hidden="1" customWidth="1"/>
    <col min="3" max="3" width="8.28515625" style="279" customWidth="1"/>
    <col min="4" max="4" width="7.42578125" style="12" customWidth="1"/>
    <col min="5" max="19" width="9.140625" style="12" customWidth="1"/>
    <col min="20" max="27" width="11.5703125" style="12" customWidth="1"/>
    <col min="28" max="28" width="9.140625" style="12" customWidth="1"/>
    <col min="29" max="29" width="49.85546875" style="27" hidden="1" customWidth="1"/>
    <col min="30" max="30" width="9.140625" style="12" hidden="1" customWidth="1"/>
    <col min="31" max="31" width="14.28515625" style="12" hidden="1" customWidth="1"/>
    <col min="32" max="33" width="9.140625" style="12" hidden="1" customWidth="1"/>
    <col min="34" max="34" width="12.140625" style="12" hidden="1" customWidth="1"/>
    <col min="35" max="35" width="11" style="12" hidden="1" customWidth="1"/>
    <col min="36" max="36" width="16.85546875" style="12" hidden="1" customWidth="1"/>
    <col min="37" max="37" width="9.140625" style="12" hidden="1" customWidth="1"/>
    <col min="38" max="38" width="6" style="12" hidden="1" customWidth="1"/>
    <col min="39" max="39" width="9.140625" style="12" hidden="1" customWidth="1"/>
    <col min="40" max="40" width="4.28515625" style="12" hidden="1" customWidth="1"/>
    <col min="41" max="41" width="12.5703125" style="105" hidden="1" customWidth="1"/>
    <col min="42" max="42" width="12.28515625" style="105" hidden="1" customWidth="1"/>
    <col min="43" max="43" width="14.7109375" style="255" hidden="1" customWidth="1"/>
    <col min="44" max="44" width="14.5703125" style="105" hidden="1" customWidth="1"/>
    <col min="45" max="16384" width="9.140625" style="12"/>
  </cols>
  <sheetData>
    <row r="1" spans="2:44" s="283" customFormat="1" ht="18" x14ac:dyDescent="0.25">
      <c r="C1" s="337"/>
      <c r="D1" s="337"/>
      <c r="E1" s="338" t="s">
        <v>394</v>
      </c>
      <c r="F1" s="339">
        <v>3.5000000000000003E-2</v>
      </c>
      <c r="AC1" s="284"/>
      <c r="AO1" s="285"/>
      <c r="AP1" s="106" t="s">
        <v>396</v>
      </c>
      <c r="AQ1" s="106" t="s">
        <v>397</v>
      </c>
      <c r="AR1" s="106" t="s">
        <v>398</v>
      </c>
    </row>
    <row r="2" spans="2:44" s="283" customFormat="1" ht="15.75" x14ac:dyDescent="0.25">
      <c r="C2" s="337"/>
      <c r="D2" s="337"/>
      <c r="E2" s="338" t="s">
        <v>395</v>
      </c>
      <c r="F2" s="339">
        <v>0.04</v>
      </c>
      <c r="AC2" s="284"/>
      <c r="AO2" s="286" t="s">
        <v>399</v>
      </c>
      <c r="AP2" s="287">
        <f>INTERCEPT(T8:T31,C8:C31)</f>
        <v>32699.630972355411</v>
      </c>
      <c r="AQ2" s="249">
        <f>EXP(INDEX(LINEST(LN(T8:T31),C8:C31),1,2))</f>
        <v>32488.348379828745</v>
      </c>
      <c r="AR2" s="287">
        <f>INDEX(LINEST(T8:T31, LN(C8:C31)), 1)</f>
        <v>14041.872471603707</v>
      </c>
    </row>
    <row r="3" spans="2:44" s="283" customFormat="1" ht="15.75" x14ac:dyDescent="0.25">
      <c r="C3" s="338"/>
      <c r="D3" s="337"/>
      <c r="E3" s="337"/>
      <c r="F3" s="337"/>
      <c r="AC3" s="284"/>
      <c r="AO3" s="286" t="s">
        <v>400</v>
      </c>
      <c r="AP3" s="287">
        <f>SLOPE(T8:T31,C8:C31)</f>
        <v>287.17852039776966</v>
      </c>
      <c r="AQ3" s="250">
        <f>INDEX(LINEST(LN(T8:T31),C8:C31), 1)</f>
        <v>4.6193757481574997E-3</v>
      </c>
      <c r="AR3" s="287">
        <f>INDEX(LINEST(T8:T31, LN(C8:C31)), 1, 2)</f>
        <v>8451.7886534872378</v>
      </c>
    </row>
    <row r="4" spans="2:44" s="283" customFormat="1" x14ac:dyDescent="0.25">
      <c r="C4" s="340">
        <v>1.3</v>
      </c>
      <c r="D4" s="337"/>
      <c r="E4" s="337"/>
      <c r="F4" s="340">
        <v>1</v>
      </c>
      <c r="T4" s="13"/>
      <c r="U4" s="13"/>
      <c r="V4" s="13"/>
      <c r="W4" s="13"/>
      <c r="X4" s="13"/>
      <c r="Y4" s="13"/>
      <c r="Z4" s="13"/>
      <c r="AA4" s="13"/>
      <c r="AC4" s="284"/>
      <c r="AD4" s="288"/>
      <c r="AE4" s="289" t="s">
        <v>351</v>
      </c>
      <c r="AJ4" s="290" t="s">
        <v>390</v>
      </c>
      <c r="AK4" s="283" t="s">
        <v>391</v>
      </c>
      <c r="AO4" s="285"/>
      <c r="AP4" s="291" t="s">
        <v>401</v>
      </c>
      <c r="AQ4" s="256" t="s">
        <v>402</v>
      </c>
      <c r="AR4" s="292" t="s">
        <v>403</v>
      </c>
    </row>
    <row r="5" spans="2:44" s="283" customFormat="1" ht="15.75" x14ac:dyDescent="0.25">
      <c r="C5" s="379" t="s">
        <v>485</v>
      </c>
      <c r="D5" s="337"/>
      <c r="E5" s="337"/>
      <c r="F5" s="340"/>
      <c r="T5" s="13"/>
      <c r="U5" s="13"/>
      <c r="V5" s="13"/>
      <c r="W5" s="13"/>
      <c r="X5" s="13"/>
      <c r="Y5" s="13"/>
      <c r="Z5" s="13"/>
      <c r="AA5" s="13"/>
      <c r="AC5" s="284"/>
      <c r="AD5" s="288"/>
      <c r="AE5" s="289"/>
      <c r="AJ5" s="290"/>
      <c r="AO5" s="285"/>
      <c r="AP5" s="376"/>
      <c r="AQ5" s="377"/>
      <c r="AR5" s="378"/>
    </row>
    <row r="6" spans="2:44" s="283" customFormat="1" ht="15.75" thickBot="1" x14ac:dyDescent="0.3">
      <c r="C6" s="340"/>
      <c r="D6" s="337"/>
      <c r="E6" s="337"/>
      <c r="F6" s="340"/>
      <c r="T6" s="13"/>
      <c r="U6" s="13"/>
      <c r="V6" s="13"/>
      <c r="W6" s="13"/>
      <c r="X6" s="13"/>
      <c r="Y6" s="13"/>
      <c r="Z6" s="13"/>
      <c r="AA6" s="13"/>
      <c r="AC6" s="284"/>
      <c r="AD6" s="288"/>
      <c r="AE6" s="289"/>
      <c r="AJ6" s="290"/>
      <c r="AO6" s="285"/>
      <c r="AP6" s="376"/>
      <c r="AQ6" s="377"/>
      <c r="AR6" s="378"/>
    </row>
    <row r="7" spans="2:44" s="283" customFormat="1" ht="45.75" thickBot="1" x14ac:dyDescent="0.3">
      <c r="B7" s="293" t="s">
        <v>352</v>
      </c>
      <c r="C7" s="307" t="s">
        <v>372</v>
      </c>
      <c r="D7" s="308" t="s">
        <v>478</v>
      </c>
      <c r="E7" s="317" t="s">
        <v>353</v>
      </c>
      <c r="F7" s="309" t="s">
        <v>350</v>
      </c>
      <c r="G7" s="320" t="str">
        <f t="shared" ref="G7:T7" si="0">+G35</f>
        <v>2005</v>
      </c>
      <c r="H7" s="321" t="str">
        <f t="shared" si="0"/>
        <v>2006</v>
      </c>
      <c r="I7" s="321" t="str">
        <f t="shared" si="0"/>
        <v>2007</v>
      </c>
      <c r="J7" s="321" t="str">
        <f t="shared" si="0"/>
        <v>2008</v>
      </c>
      <c r="K7" s="321" t="str">
        <f t="shared" si="0"/>
        <v>2009</v>
      </c>
      <c r="L7" s="321" t="str">
        <f t="shared" si="0"/>
        <v>2010</v>
      </c>
      <c r="M7" s="321" t="str">
        <f t="shared" si="0"/>
        <v>2011</v>
      </c>
      <c r="N7" s="321" t="str">
        <f t="shared" si="0"/>
        <v>2012</v>
      </c>
      <c r="O7" s="321" t="str">
        <f t="shared" si="0"/>
        <v>2013</v>
      </c>
      <c r="P7" s="321" t="str">
        <f t="shared" si="0"/>
        <v>2014</v>
      </c>
      <c r="Q7" s="321" t="str">
        <f t="shared" si="0"/>
        <v>2015</v>
      </c>
      <c r="R7" s="321" t="str">
        <f t="shared" si="0"/>
        <v>2016</v>
      </c>
      <c r="S7" s="326" t="str">
        <f t="shared" si="0"/>
        <v>2017</v>
      </c>
      <c r="T7" s="329" t="str">
        <f t="shared" si="0"/>
        <v>2018</v>
      </c>
      <c r="U7" s="450"/>
      <c r="V7" s="450"/>
      <c r="W7" s="450"/>
      <c r="X7" s="450"/>
      <c r="Y7" s="450"/>
      <c r="Z7" s="450"/>
      <c r="AA7" s="450"/>
      <c r="AC7" s="294"/>
      <c r="AD7" s="295" t="s">
        <v>372</v>
      </c>
      <c r="AE7" s="296" t="s">
        <v>350</v>
      </c>
      <c r="AG7" s="283" t="s">
        <v>352</v>
      </c>
      <c r="AH7" s="290" t="s">
        <v>389</v>
      </c>
      <c r="AI7" s="290" t="s">
        <v>30</v>
      </c>
      <c r="AJ7" s="297">
        <v>51.49</v>
      </c>
      <c r="AK7" s="297">
        <v>2.33</v>
      </c>
      <c r="AO7" s="298" t="s">
        <v>352</v>
      </c>
      <c r="AP7" s="257" t="s">
        <v>350</v>
      </c>
      <c r="AQ7" s="107" t="s">
        <v>350</v>
      </c>
      <c r="AR7" s="258" t="s">
        <v>350</v>
      </c>
    </row>
    <row r="8" spans="2:44" x14ac:dyDescent="0.25">
      <c r="B8" s="15">
        <v>0.65</v>
      </c>
      <c r="C8" s="310">
        <f>+ROUND(B8*$C$4,1)</f>
        <v>0.8</v>
      </c>
      <c r="D8" s="311">
        <v>2011</v>
      </c>
      <c r="E8" s="318">
        <v>10500</v>
      </c>
      <c r="F8" s="312">
        <f t="shared" ref="F8:F31" si="1">+E8/0.702804*$F$4*(1+$F$1)*(1+$F$2)</f>
        <v>16081.581778134445</v>
      </c>
      <c r="G8" s="322"/>
      <c r="H8" s="323"/>
      <c r="I8" s="323"/>
      <c r="J8" s="323"/>
      <c r="K8" s="323"/>
      <c r="L8" s="323"/>
      <c r="M8" s="323">
        <f>+F8</f>
        <v>16081.581778134445</v>
      </c>
      <c r="N8" s="323"/>
      <c r="O8" s="323"/>
      <c r="P8" s="323"/>
      <c r="Q8" s="323"/>
      <c r="R8" s="323"/>
      <c r="S8" s="327"/>
      <c r="T8" s="330">
        <f>+M8*$T$36/$M$36</f>
        <v>18727.12696702444</v>
      </c>
      <c r="U8" s="451"/>
      <c r="V8" s="451"/>
      <c r="W8" s="451"/>
      <c r="X8" s="451"/>
      <c r="Y8" s="451"/>
      <c r="Z8" s="451"/>
      <c r="AA8" s="451"/>
      <c r="AC8" s="28" t="str">
        <f>+'5_Prioritate-1_Pielikums'!F5</f>
        <v>Aglonas ūdensapgādes sistēma Jaunciema iela</v>
      </c>
      <c r="AD8" s="26">
        <f>+'5_Prioritate-1_Pielikums'!T5</f>
        <v>45.5</v>
      </c>
      <c r="AE8" s="17">
        <f t="shared" ref="AE8:AE27" si="2">ROUND(TREND($T$8:$T$31,$C$8:$C$31,AD8,1),0)</f>
        <v>45766</v>
      </c>
      <c r="AF8" s="16"/>
      <c r="AG8" s="30">
        <f>+ROUND(AD8,1)</f>
        <v>45.5</v>
      </c>
      <c r="AH8" s="31">
        <f t="shared" ref="AH8:AH27" si="3">+ROUNDUP(LOOKUP(AG8,$C$8:$C$31,$T$8:$T$31),0)</f>
        <v>46050</v>
      </c>
      <c r="AI8" s="16">
        <f>+'5_Prioritate-1_Pielikums'!Q5</f>
        <v>26</v>
      </c>
      <c r="AJ8" s="14">
        <f>+AI8*$AJ$7/$AK$7</f>
        <v>574.56652360515022</v>
      </c>
      <c r="AO8" s="111">
        <f>+AG8</f>
        <v>45.5</v>
      </c>
      <c r="AP8" s="259">
        <f>+$AP$3*AG8+$AP$2</f>
        <v>45766.253650453931</v>
      </c>
      <c r="AQ8" s="251">
        <f>ROUND($AQ$2*EXP(1)^($AQ$3*AG8),0)</f>
        <v>40087</v>
      </c>
      <c r="AR8" s="260">
        <f>+$AR$2*LN(AO8)+$AR$3</f>
        <v>62059.61826784366</v>
      </c>
    </row>
    <row r="9" spans="2:44" x14ac:dyDescent="0.25">
      <c r="B9" s="15">
        <v>1.6773972602739706</v>
      </c>
      <c r="C9" s="310">
        <f t="shared" ref="C9:C31" si="4">+ROUND(B9*$C$4,1)</f>
        <v>2.2000000000000002</v>
      </c>
      <c r="D9" s="311">
        <v>2009</v>
      </c>
      <c r="E9" s="318">
        <v>13000</v>
      </c>
      <c r="F9" s="312">
        <f t="shared" si="1"/>
        <v>19910.529820547406</v>
      </c>
      <c r="G9" s="322"/>
      <c r="H9" s="323"/>
      <c r="I9" s="323"/>
      <c r="J9" s="323"/>
      <c r="K9" s="323">
        <f>+F9</f>
        <v>19910.529820547406</v>
      </c>
      <c r="L9" s="323"/>
      <c r="M9" s="323"/>
      <c r="N9" s="323"/>
      <c r="O9" s="323"/>
      <c r="P9" s="323"/>
      <c r="Q9" s="323"/>
      <c r="R9" s="323"/>
      <c r="S9" s="327"/>
      <c r="T9" s="330">
        <f>+K9*$T$36/$K$36</f>
        <v>23021.950236234235</v>
      </c>
      <c r="U9" s="451"/>
      <c r="V9" s="451"/>
      <c r="W9" s="451"/>
      <c r="X9" s="451"/>
      <c r="Y9" s="451"/>
      <c r="Z9" s="451"/>
      <c r="AA9" s="451"/>
      <c r="AC9" s="28" t="str">
        <f>+'5_Prioritate-1_Pielikums'!F6</f>
        <v>Bārtas ūdensapgādes sistēma Birzes Puļķi</v>
      </c>
      <c r="AD9" s="26">
        <f>+'5_Prioritate-1_Pielikums'!T6</f>
        <v>15.600000000000001</v>
      </c>
      <c r="AE9" s="17">
        <f t="shared" si="2"/>
        <v>37180</v>
      </c>
      <c r="AF9" s="16"/>
      <c r="AG9" s="32">
        <f t="shared" ref="AG9:AG20" si="5">+ROUND(AD9,1)</f>
        <v>15.6</v>
      </c>
      <c r="AH9" s="33">
        <f t="shared" si="3"/>
        <v>32408</v>
      </c>
      <c r="AI9" s="16">
        <f>+'5_Prioritate-1_Pielikums'!Q6</f>
        <v>25</v>
      </c>
      <c r="AJ9" s="14">
        <f t="shared" ref="AJ9:AJ20" si="6">+AI9*$AJ$7/$AK$7</f>
        <v>552.46781115879821</v>
      </c>
      <c r="AO9" s="111">
        <f t="shared" ref="AO9:AO58" si="7">+AG9</f>
        <v>15.6</v>
      </c>
      <c r="AP9" s="259">
        <f t="shared" ref="AP9:AP13" si="8">+$AP$3*AG9+$AP$2</f>
        <v>37179.615890560621</v>
      </c>
      <c r="AQ9" s="251">
        <f t="shared" ref="AQ9:AQ13" si="9">ROUND($AQ$2*EXP(1)^($AQ$3*AG9),0)</f>
        <v>34916</v>
      </c>
      <c r="AR9" s="260">
        <f t="shared" ref="AR9:AR13" si="10">+$AR$2*LN(AO9)+$AR$3</f>
        <v>47028.61647640897</v>
      </c>
    </row>
    <row r="10" spans="2:44" x14ac:dyDescent="0.25">
      <c r="B10" s="15">
        <v>3</v>
      </c>
      <c r="C10" s="310">
        <f t="shared" si="4"/>
        <v>3.9</v>
      </c>
      <c r="D10" s="311">
        <v>2009</v>
      </c>
      <c r="E10" s="318">
        <v>12400</v>
      </c>
      <c r="F10" s="312">
        <f t="shared" si="1"/>
        <v>18991.582290368297</v>
      </c>
      <c r="G10" s="322"/>
      <c r="H10" s="323"/>
      <c r="I10" s="323"/>
      <c r="J10" s="323"/>
      <c r="K10" s="323">
        <f t="shared" ref="K10:K19" si="11">+F10</f>
        <v>18991.582290368297</v>
      </c>
      <c r="L10" s="323"/>
      <c r="M10" s="323"/>
      <c r="N10" s="323"/>
      <c r="O10" s="323"/>
      <c r="P10" s="323"/>
      <c r="Q10" s="323"/>
      <c r="R10" s="323"/>
      <c r="S10" s="327"/>
      <c r="T10" s="330">
        <f>+K10*$T$36/$K$36</f>
        <v>21959.398686869583</v>
      </c>
      <c r="U10" s="451"/>
      <c r="V10" s="451"/>
      <c r="W10" s="451"/>
      <c r="X10" s="451"/>
      <c r="Y10" s="451"/>
      <c r="Z10" s="451"/>
      <c r="AA10" s="451"/>
      <c r="AC10" s="28" t="str">
        <f>+'5_Prioritate-1_Pielikums'!F7</f>
        <v>Bebru ūdensapgādes sistēma</v>
      </c>
      <c r="AD10" s="26">
        <f>+'5_Prioritate-1_Pielikums'!T7</f>
        <v>84.5</v>
      </c>
      <c r="AE10" s="17">
        <f t="shared" si="2"/>
        <v>56966</v>
      </c>
      <c r="AF10" s="16"/>
      <c r="AG10" s="32">
        <f t="shared" si="5"/>
        <v>84.5</v>
      </c>
      <c r="AH10" s="33">
        <f t="shared" si="3"/>
        <v>46050</v>
      </c>
      <c r="AI10" s="16">
        <f>+'5_Prioritate-1_Pielikums'!Q7</f>
        <v>530</v>
      </c>
      <c r="AJ10" s="14">
        <f t="shared" si="6"/>
        <v>11712.317596566523</v>
      </c>
      <c r="AO10" s="111">
        <f t="shared" si="7"/>
        <v>84.5</v>
      </c>
      <c r="AP10" s="259">
        <f t="shared" si="8"/>
        <v>56966.215945966949</v>
      </c>
      <c r="AQ10" s="251">
        <f t="shared" si="9"/>
        <v>48001</v>
      </c>
      <c r="AR10" s="260">
        <f t="shared" si="10"/>
        <v>70752.087887206348</v>
      </c>
    </row>
    <row r="11" spans="2:44" x14ac:dyDescent="0.25">
      <c r="B11" s="15">
        <v>3</v>
      </c>
      <c r="C11" s="310">
        <f t="shared" si="4"/>
        <v>3.9</v>
      </c>
      <c r="D11" s="311">
        <v>2009</v>
      </c>
      <c r="E11" s="318">
        <v>22596</v>
      </c>
      <c r="F11" s="312">
        <f t="shared" si="1"/>
        <v>34607.563986545319</v>
      </c>
      <c r="G11" s="322"/>
      <c r="H11" s="323"/>
      <c r="I11" s="323"/>
      <c r="J11" s="323"/>
      <c r="K11" s="323">
        <f t="shared" si="11"/>
        <v>34607.563986545319</v>
      </c>
      <c r="L11" s="323"/>
      <c r="M11" s="323"/>
      <c r="N11" s="323"/>
      <c r="O11" s="323"/>
      <c r="P11" s="323"/>
      <c r="Q11" s="323"/>
      <c r="R11" s="323"/>
      <c r="S11" s="327"/>
      <c r="T11" s="330">
        <f>+K11*$T$36/$K$36</f>
        <v>40015.691349072978</v>
      </c>
      <c r="U11" s="451"/>
      <c r="V11" s="451"/>
      <c r="W11" s="451"/>
      <c r="X11" s="451"/>
      <c r="Y11" s="451"/>
      <c r="Z11" s="451"/>
      <c r="AA11" s="451"/>
      <c r="AC11" s="28" t="str">
        <f>+'5_Prioritate-1_Pielikums'!F8</f>
        <v>Beļavas ūdensapgādes sistēma Letes</v>
      </c>
      <c r="AD11" s="26">
        <f>+'5_Prioritate-1_Pielikums'!T8</f>
        <v>13</v>
      </c>
      <c r="AE11" s="17">
        <f t="shared" si="2"/>
        <v>36433</v>
      </c>
      <c r="AF11" s="16"/>
      <c r="AG11" s="32">
        <f t="shared" si="5"/>
        <v>13</v>
      </c>
      <c r="AH11" s="33">
        <f t="shared" si="3"/>
        <v>32408</v>
      </c>
      <c r="AI11" s="16">
        <f>+'5_Prioritate-1_Pielikums'!Q8</f>
        <v>70</v>
      </c>
      <c r="AJ11" s="14">
        <f t="shared" si="6"/>
        <v>1546.9098712446353</v>
      </c>
      <c r="AO11" s="111">
        <f t="shared" si="7"/>
        <v>13</v>
      </c>
      <c r="AP11" s="259">
        <f t="shared" si="8"/>
        <v>36432.951737526419</v>
      </c>
      <c r="AQ11" s="251">
        <f t="shared" si="9"/>
        <v>34499</v>
      </c>
      <c r="AR11" s="260">
        <f t="shared" si="10"/>
        <v>44468.480427084003</v>
      </c>
    </row>
    <row r="12" spans="2:44" x14ac:dyDescent="0.25">
      <c r="B12" s="15">
        <v>3.2</v>
      </c>
      <c r="C12" s="310">
        <f t="shared" si="4"/>
        <v>4.2</v>
      </c>
      <c r="D12" s="311">
        <f>+D8</f>
        <v>2011</v>
      </c>
      <c r="E12" s="318">
        <v>18000</v>
      </c>
      <c r="F12" s="312">
        <f t="shared" si="1"/>
        <v>27568.425905373333</v>
      </c>
      <c r="G12" s="322"/>
      <c r="H12" s="323"/>
      <c r="I12" s="323"/>
      <c r="J12" s="323"/>
      <c r="K12" s="323"/>
      <c r="L12" s="323"/>
      <c r="M12" s="323">
        <f>+F12</f>
        <v>27568.425905373333</v>
      </c>
      <c r="N12" s="323"/>
      <c r="O12" s="323"/>
      <c r="P12" s="323"/>
      <c r="Q12" s="323"/>
      <c r="R12" s="323"/>
      <c r="S12" s="327"/>
      <c r="T12" s="330">
        <f>+M12*$T$36/$M$36</f>
        <v>32103.646229184749</v>
      </c>
      <c r="U12" s="451"/>
      <c r="V12" s="451"/>
      <c r="W12" s="451"/>
      <c r="X12" s="451"/>
      <c r="Y12" s="451"/>
      <c r="Z12" s="451"/>
      <c r="AA12" s="451"/>
      <c r="AC12" s="28" t="str">
        <f>+'5_Prioritate-1_Pielikums'!F9</f>
        <v>Birkineļu ūdensapgādes sistēma</v>
      </c>
      <c r="AD12" s="26">
        <f>+'5_Prioritate-1_Pielikums'!T9</f>
        <v>3.9000000000000004</v>
      </c>
      <c r="AE12" s="17">
        <f t="shared" si="2"/>
        <v>33820</v>
      </c>
      <c r="AF12" s="16"/>
      <c r="AG12" s="32">
        <f t="shared" si="5"/>
        <v>3.9</v>
      </c>
      <c r="AH12" s="33">
        <f t="shared" si="3"/>
        <v>40016</v>
      </c>
      <c r="AI12" s="16">
        <f>+'5_Prioritate-1_Pielikums'!Q9</f>
        <v>38</v>
      </c>
      <c r="AJ12" s="14">
        <f t="shared" si="6"/>
        <v>839.75107296137344</v>
      </c>
      <c r="AO12" s="111">
        <f t="shared" si="7"/>
        <v>3.9</v>
      </c>
      <c r="AP12" s="259">
        <f t="shared" si="8"/>
        <v>33819.627201906711</v>
      </c>
      <c r="AQ12" s="251">
        <f t="shared" si="9"/>
        <v>33079</v>
      </c>
      <c r="AR12" s="260">
        <f t="shared" si="10"/>
        <v>27562.447849460128</v>
      </c>
    </row>
    <row r="13" spans="2:44" x14ac:dyDescent="0.25">
      <c r="B13" s="15">
        <v>4</v>
      </c>
      <c r="C13" s="310">
        <f t="shared" si="4"/>
        <v>5.2</v>
      </c>
      <c r="D13" s="311">
        <f>+D11</f>
        <v>2009</v>
      </c>
      <c r="E13" s="318">
        <v>24500</v>
      </c>
      <c r="F13" s="312">
        <f t="shared" si="1"/>
        <v>37523.690815647038</v>
      </c>
      <c r="G13" s="322"/>
      <c r="H13" s="323"/>
      <c r="I13" s="323"/>
      <c r="J13" s="323"/>
      <c r="K13" s="323">
        <f>+F13</f>
        <v>37523.690815647038</v>
      </c>
      <c r="L13" s="323"/>
      <c r="M13" s="323"/>
      <c r="N13" s="323"/>
      <c r="O13" s="323"/>
      <c r="P13" s="323"/>
      <c r="Q13" s="323"/>
      <c r="R13" s="323"/>
      <c r="S13" s="327"/>
      <c r="T13" s="330">
        <f>+K13*$T$36/$K$36</f>
        <v>43387.521599056832</v>
      </c>
      <c r="U13" s="451"/>
      <c r="V13" s="451"/>
      <c r="W13" s="451"/>
      <c r="X13" s="451"/>
      <c r="Y13" s="451"/>
      <c r="Z13" s="451"/>
      <c r="AA13" s="451"/>
      <c r="AC13" s="28" t="str">
        <f>+'5_Prioritate-1_Pielikums'!F10</f>
        <v>Blontu ūdensapgādes sistēma Kundziņi</v>
      </c>
      <c r="AD13" s="26">
        <f>+'5_Prioritate-1_Pielikums'!T10</f>
        <v>5.2</v>
      </c>
      <c r="AE13" s="17">
        <f t="shared" si="2"/>
        <v>34193</v>
      </c>
      <c r="AF13" s="16"/>
      <c r="AG13" s="32">
        <f t="shared" si="5"/>
        <v>5.2</v>
      </c>
      <c r="AH13" s="33">
        <f t="shared" si="3"/>
        <v>43388</v>
      </c>
      <c r="AI13" s="16">
        <f>+'5_Prioritate-1_Pielikums'!Q10</f>
        <v>14</v>
      </c>
      <c r="AJ13" s="14">
        <f t="shared" si="6"/>
        <v>309.38197424892701</v>
      </c>
      <c r="AO13" s="111">
        <f t="shared" si="7"/>
        <v>5.2</v>
      </c>
      <c r="AP13" s="259">
        <f t="shared" si="8"/>
        <v>34192.959278423812</v>
      </c>
      <c r="AQ13" s="251">
        <f t="shared" si="9"/>
        <v>33278</v>
      </c>
      <c r="AR13" s="260">
        <f t="shared" si="10"/>
        <v>31602.042823194693</v>
      </c>
    </row>
    <row r="14" spans="2:44" x14ac:dyDescent="0.25">
      <c r="B14" s="15">
        <v>4.375</v>
      </c>
      <c r="C14" s="310">
        <f t="shared" si="4"/>
        <v>5.7</v>
      </c>
      <c r="D14" s="311">
        <f>+D13</f>
        <v>2009</v>
      </c>
      <c r="E14" s="318">
        <v>15300</v>
      </c>
      <c r="F14" s="312">
        <f t="shared" si="1"/>
        <v>23433.162019567331</v>
      </c>
      <c r="G14" s="322"/>
      <c r="H14" s="323"/>
      <c r="I14" s="323"/>
      <c r="J14" s="323"/>
      <c r="K14" s="323">
        <f t="shared" si="11"/>
        <v>23433.162019567331</v>
      </c>
      <c r="L14" s="323"/>
      <c r="M14" s="323"/>
      <c r="N14" s="323"/>
      <c r="O14" s="323"/>
      <c r="P14" s="323"/>
      <c r="Q14" s="323"/>
      <c r="R14" s="323"/>
      <c r="S14" s="327"/>
      <c r="T14" s="330">
        <f>+K14*$T$36/$K$36</f>
        <v>27095.064508798758</v>
      </c>
      <c r="U14" s="451"/>
      <c r="V14" s="451"/>
      <c r="W14" s="451"/>
      <c r="X14" s="451"/>
      <c r="Y14" s="451"/>
      <c r="Z14" s="451"/>
      <c r="AA14" s="451"/>
      <c r="AC14" s="28" t="str">
        <f>+'5_Prioritate-1_Pielikums'!F11</f>
        <v>Drabešu ūdensapgādes sistēma Kārļi</v>
      </c>
      <c r="AD14" s="26">
        <f>+'5_Prioritate-1_Pielikums'!T11</f>
        <v>7.8000000000000007</v>
      </c>
      <c r="AE14" s="17">
        <f t="shared" si="2"/>
        <v>34940</v>
      </c>
      <c r="AF14" s="16"/>
      <c r="AG14" s="32">
        <f t="shared" si="5"/>
        <v>7.8</v>
      </c>
      <c r="AH14" s="33">
        <f t="shared" si="3"/>
        <v>29447</v>
      </c>
      <c r="AI14" s="16">
        <f>+'5_Prioritate-1_Pielikums'!Q11</f>
        <v>75</v>
      </c>
      <c r="AJ14" s="14">
        <f t="shared" si="6"/>
        <v>1657.4034334763949</v>
      </c>
      <c r="AO14" s="111">
        <f t="shared" si="7"/>
        <v>7.8</v>
      </c>
      <c r="AP14" s="259">
        <f t="shared" ref="AP14:AP58" si="12">+$AP$3*AG14+$AP$2</f>
        <v>34939.623431458014</v>
      </c>
      <c r="AQ14" s="251">
        <f t="shared" ref="AQ14:AQ58" si="13">ROUND($AQ$2*EXP(1)^($AQ$3*AG14),0)</f>
        <v>33680</v>
      </c>
      <c r="AR14" s="260">
        <f t="shared" ref="AR14:AR58" si="14">+$AR$2*LN(AO14)+$AR$3</f>
        <v>37295.532162934556</v>
      </c>
    </row>
    <row r="15" spans="2:44" x14ac:dyDescent="0.25">
      <c r="B15" s="15">
        <v>4.375</v>
      </c>
      <c r="C15" s="310">
        <f t="shared" si="4"/>
        <v>5.7</v>
      </c>
      <c r="D15" s="311">
        <f>+D14</f>
        <v>2009</v>
      </c>
      <c r="E15" s="318">
        <v>29650</v>
      </c>
      <c r="F15" s="312">
        <f t="shared" si="1"/>
        <v>45411.323783017739</v>
      </c>
      <c r="G15" s="322"/>
      <c r="H15" s="323"/>
      <c r="I15" s="323"/>
      <c r="J15" s="323"/>
      <c r="K15" s="323">
        <f t="shared" si="11"/>
        <v>45411.323783017739</v>
      </c>
      <c r="L15" s="323"/>
      <c r="M15" s="323"/>
      <c r="N15" s="323"/>
      <c r="O15" s="323"/>
      <c r="P15" s="323"/>
      <c r="Q15" s="323"/>
      <c r="R15" s="323"/>
      <c r="S15" s="327"/>
      <c r="T15" s="330">
        <f>+K15*$T$36/$K$36</f>
        <v>52507.755731103476</v>
      </c>
      <c r="U15" s="451"/>
      <c r="V15" s="451"/>
      <c r="W15" s="451"/>
      <c r="X15" s="451"/>
      <c r="Y15" s="451"/>
      <c r="Z15" s="451"/>
      <c r="AA15" s="451"/>
      <c r="AC15" s="28" t="str">
        <f>+'5_Prioritate-1_Pielikums'!F12</f>
        <v>Drabešu ūdensapgādes sistēma Meijermuiža</v>
      </c>
      <c r="AD15" s="26">
        <f>+'5_Prioritate-1_Pielikums'!T12</f>
        <v>3.9000000000000004</v>
      </c>
      <c r="AE15" s="17">
        <f t="shared" si="2"/>
        <v>33820</v>
      </c>
      <c r="AF15" s="16"/>
      <c r="AG15" s="32">
        <f t="shared" si="5"/>
        <v>3.9</v>
      </c>
      <c r="AH15" s="33">
        <f t="shared" si="3"/>
        <v>40016</v>
      </c>
      <c r="AI15" s="16">
        <f>+'5_Prioritate-1_Pielikums'!Q12</f>
        <v>30</v>
      </c>
      <c r="AJ15" s="14">
        <f t="shared" si="6"/>
        <v>662.96137339055792</v>
      </c>
      <c r="AO15" s="111">
        <f t="shared" si="7"/>
        <v>3.9</v>
      </c>
      <c r="AP15" s="259">
        <f t="shared" si="12"/>
        <v>33819.627201906711</v>
      </c>
      <c r="AQ15" s="251">
        <f t="shared" si="13"/>
        <v>33079</v>
      </c>
      <c r="AR15" s="260">
        <f t="shared" si="14"/>
        <v>27562.447849460128</v>
      </c>
    </row>
    <row r="16" spans="2:44" x14ac:dyDescent="0.25">
      <c r="B16" s="15">
        <v>5</v>
      </c>
      <c r="C16" s="310">
        <f t="shared" si="4"/>
        <v>6.5</v>
      </c>
      <c r="D16" s="311">
        <f>+D12</f>
        <v>2011</v>
      </c>
      <c r="E16" s="318">
        <v>12800</v>
      </c>
      <c r="F16" s="312">
        <f t="shared" si="1"/>
        <v>19604.21397715437</v>
      </c>
      <c r="G16" s="322"/>
      <c r="H16" s="323"/>
      <c r="I16" s="323"/>
      <c r="J16" s="323"/>
      <c r="K16" s="323"/>
      <c r="L16" s="323"/>
      <c r="M16" s="323">
        <f>+F16</f>
        <v>19604.21397715437</v>
      </c>
      <c r="N16" s="323"/>
      <c r="O16" s="323"/>
      <c r="P16" s="323"/>
      <c r="Q16" s="323"/>
      <c r="R16" s="323"/>
      <c r="S16" s="327"/>
      <c r="T16" s="330">
        <f>+M16*$T$36/$M$36</f>
        <v>22829.259540753599</v>
      </c>
      <c r="U16" s="451"/>
      <c r="V16" s="451"/>
      <c r="W16" s="451"/>
      <c r="X16" s="451"/>
      <c r="Y16" s="451"/>
      <c r="Z16" s="451"/>
      <c r="AA16" s="451"/>
      <c r="AC16" s="28" t="str">
        <f>+'5_Prioritate-1_Pielikums'!F13</f>
        <v>Drabešu ūdensapgādes sistēma Rāceņi</v>
      </c>
      <c r="AD16" s="26">
        <f>+'5_Prioritate-1_Pielikums'!T13</f>
        <v>1.3</v>
      </c>
      <c r="AE16" s="17">
        <f t="shared" si="2"/>
        <v>33073</v>
      </c>
      <c r="AF16" s="16"/>
      <c r="AG16" s="32">
        <f t="shared" si="5"/>
        <v>1.3</v>
      </c>
      <c r="AH16" s="33">
        <f t="shared" si="3"/>
        <v>18728</v>
      </c>
      <c r="AI16" s="16">
        <f>+'5_Prioritate-1_Pielikums'!Q13</f>
        <v>17</v>
      </c>
      <c r="AJ16" s="14">
        <f t="shared" si="6"/>
        <v>375.67811158798281</v>
      </c>
      <c r="AO16" s="111">
        <f t="shared" si="7"/>
        <v>1.3</v>
      </c>
      <c r="AP16" s="259">
        <f t="shared" si="12"/>
        <v>33072.963048872509</v>
      </c>
      <c r="AQ16" s="251">
        <f t="shared" si="13"/>
        <v>32684</v>
      </c>
      <c r="AR16" s="260">
        <f t="shared" si="14"/>
        <v>12135.874196245855</v>
      </c>
    </row>
    <row r="17" spans="2:44" x14ac:dyDescent="0.25">
      <c r="B17" s="15">
        <v>5</v>
      </c>
      <c r="C17" s="310">
        <f t="shared" si="4"/>
        <v>6.5</v>
      </c>
      <c r="D17" s="311">
        <f>+D15</f>
        <v>2009</v>
      </c>
      <c r="E17" s="318">
        <v>14560</v>
      </c>
      <c r="F17" s="312">
        <f t="shared" si="1"/>
        <v>22299.793399013099</v>
      </c>
      <c r="G17" s="322"/>
      <c r="H17" s="323"/>
      <c r="I17" s="323"/>
      <c r="J17" s="323"/>
      <c r="K17" s="323">
        <f t="shared" si="11"/>
        <v>22299.793399013099</v>
      </c>
      <c r="L17" s="323"/>
      <c r="M17" s="323"/>
      <c r="N17" s="323"/>
      <c r="O17" s="323"/>
      <c r="P17" s="323"/>
      <c r="Q17" s="323"/>
      <c r="R17" s="323"/>
      <c r="S17" s="327"/>
      <c r="T17" s="330">
        <f>+K17*$T$36/$K$36</f>
        <v>25784.58426458235</v>
      </c>
      <c r="U17" s="451"/>
      <c r="V17" s="451"/>
      <c r="W17" s="451"/>
      <c r="X17" s="451"/>
      <c r="Y17" s="451"/>
      <c r="Z17" s="451"/>
      <c r="AA17" s="451"/>
      <c r="AC17" s="28" t="str">
        <f>+'5_Prioritate-1_Pielikums'!F14</f>
        <v>Durbes ūdensapgādes sistēma Līguti</v>
      </c>
      <c r="AD17" s="26">
        <f>+'5_Prioritate-1_Pielikums'!T14</f>
        <v>1.3390000000000002</v>
      </c>
      <c r="AE17" s="17">
        <f t="shared" si="2"/>
        <v>33084</v>
      </c>
      <c r="AF17" s="16"/>
      <c r="AG17" s="32">
        <f t="shared" si="5"/>
        <v>1.3</v>
      </c>
      <c r="AH17" s="33">
        <f t="shared" si="3"/>
        <v>18728</v>
      </c>
      <c r="AI17" s="16">
        <f>+'5_Prioritate-1_Pielikums'!Q14</f>
        <v>25</v>
      </c>
      <c r="AJ17" s="14">
        <f t="shared" si="6"/>
        <v>552.46781115879821</v>
      </c>
      <c r="AO17" s="111">
        <f t="shared" si="7"/>
        <v>1.3</v>
      </c>
      <c r="AP17" s="259">
        <f t="shared" si="12"/>
        <v>33072.963048872509</v>
      </c>
      <c r="AQ17" s="251">
        <f t="shared" si="13"/>
        <v>32684</v>
      </c>
      <c r="AR17" s="260">
        <f t="shared" si="14"/>
        <v>12135.874196245855</v>
      </c>
    </row>
    <row r="18" spans="2:44" x14ac:dyDescent="0.25">
      <c r="B18" s="15">
        <v>5.5</v>
      </c>
      <c r="C18" s="310">
        <f t="shared" si="4"/>
        <v>7.2</v>
      </c>
      <c r="D18" s="311">
        <f>+D16</f>
        <v>2011</v>
      </c>
      <c r="E18" s="318">
        <v>16510</v>
      </c>
      <c r="F18" s="312">
        <f t="shared" si="1"/>
        <v>25286.372872095206</v>
      </c>
      <c r="G18" s="322"/>
      <c r="H18" s="323"/>
      <c r="I18" s="323"/>
      <c r="J18" s="323"/>
      <c r="K18" s="323"/>
      <c r="L18" s="323"/>
      <c r="M18" s="323">
        <f>+F18</f>
        <v>25286.372872095206</v>
      </c>
      <c r="N18" s="323"/>
      <c r="O18" s="323"/>
      <c r="P18" s="323"/>
      <c r="Q18" s="323"/>
      <c r="R18" s="323"/>
      <c r="S18" s="327"/>
      <c r="T18" s="330">
        <f>+M18*$T$36/$M$36</f>
        <v>29446.177735768899</v>
      </c>
      <c r="U18" s="451"/>
      <c r="V18" s="451"/>
      <c r="W18" s="451"/>
      <c r="X18" s="451"/>
      <c r="Y18" s="451"/>
      <c r="Z18" s="451"/>
      <c r="AA18" s="451"/>
      <c r="AC18" s="28" t="str">
        <f>+'5_Prioritate-1_Pielikums'!F15</f>
        <v>Gaviezes ūdensapgādes sistēma Centrs</v>
      </c>
      <c r="AD18" s="26">
        <f>+'5_Prioritate-1_Pielikums'!T15</f>
        <v>27.3</v>
      </c>
      <c r="AE18" s="17">
        <f t="shared" si="2"/>
        <v>40540</v>
      </c>
      <c r="AF18" s="16"/>
      <c r="AG18" s="32">
        <f t="shared" si="5"/>
        <v>27.3</v>
      </c>
      <c r="AH18" s="33">
        <f t="shared" si="3"/>
        <v>78435</v>
      </c>
      <c r="AI18" s="16">
        <f>+'5_Prioritate-1_Pielikums'!Q15</f>
        <v>215</v>
      </c>
      <c r="AJ18" s="14">
        <f t="shared" si="6"/>
        <v>4751.2231759656652</v>
      </c>
      <c r="AO18" s="111">
        <f t="shared" si="7"/>
        <v>27.3</v>
      </c>
      <c r="AP18" s="259">
        <f t="shared" si="12"/>
        <v>40539.604579214523</v>
      </c>
      <c r="AQ18" s="251">
        <f t="shared" si="13"/>
        <v>36855</v>
      </c>
      <c r="AR18" s="260">
        <f t="shared" si="14"/>
        <v>54886.670003694206</v>
      </c>
    </row>
    <row r="19" spans="2:44" x14ac:dyDescent="0.25">
      <c r="B19" s="15">
        <v>7.5</v>
      </c>
      <c r="C19" s="310">
        <f t="shared" si="4"/>
        <v>9.8000000000000007</v>
      </c>
      <c r="D19" s="311">
        <f>+D17</f>
        <v>2009</v>
      </c>
      <c r="E19" s="318">
        <v>26300</v>
      </c>
      <c r="F19" s="312">
        <f t="shared" si="1"/>
        <v>40280.533406184375</v>
      </c>
      <c r="G19" s="322"/>
      <c r="H19" s="323"/>
      <c r="I19" s="323"/>
      <c r="J19" s="323"/>
      <c r="K19" s="323">
        <f t="shared" si="11"/>
        <v>40280.533406184375</v>
      </c>
      <c r="L19" s="323"/>
      <c r="M19" s="323"/>
      <c r="N19" s="323"/>
      <c r="O19" s="323"/>
      <c r="P19" s="323"/>
      <c r="Q19" s="323"/>
      <c r="R19" s="323"/>
      <c r="S19" s="327"/>
      <c r="T19" s="330">
        <f>+K19*$T$36/$K$36</f>
        <v>46575.176247150805</v>
      </c>
      <c r="U19" s="451"/>
      <c r="V19" s="451"/>
      <c r="W19" s="451"/>
      <c r="X19" s="451"/>
      <c r="Y19" s="451"/>
      <c r="Z19" s="451"/>
      <c r="AA19" s="451"/>
      <c r="AC19" s="28" t="str">
        <f>+'5_Prioritate-1_Pielikums'!F16</f>
        <v>Gramzdas ūdensapgādes sistēma Liepas</v>
      </c>
      <c r="AD19" s="26">
        <f>+'5_Prioritate-1_Pielikums'!T16</f>
        <v>3.9000000000000004</v>
      </c>
      <c r="AE19" s="17">
        <f t="shared" si="2"/>
        <v>33820</v>
      </c>
      <c r="AF19" s="16"/>
      <c r="AG19" s="32">
        <f t="shared" si="5"/>
        <v>3.9</v>
      </c>
      <c r="AH19" s="33">
        <f t="shared" si="3"/>
        <v>40016</v>
      </c>
      <c r="AI19" s="16">
        <f>+'5_Prioritate-1_Pielikums'!Q16</f>
        <v>18</v>
      </c>
      <c r="AJ19" s="14">
        <f t="shared" si="6"/>
        <v>397.77682403433477</v>
      </c>
      <c r="AO19" s="111">
        <f t="shared" si="7"/>
        <v>3.9</v>
      </c>
      <c r="AP19" s="259">
        <f t="shared" si="12"/>
        <v>33819.627201906711</v>
      </c>
      <c r="AQ19" s="251">
        <f t="shared" si="13"/>
        <v>33079</v>
      </c>
      <c r="AR19" s="260">
        <f t="shared" si="14"/>
        <v>27562.447849460128</v>
      </c>
    </row>
    <row r="20" spans="2:44" x14ac:dyDescent="0.25">
      <c r="B20" s="15">
        <v>10</v>
      </c>
      <c r="C20" s="310">
        <f t="shared" si="4"/>
        <v>13</v>
      </c>
      <c r="D20" s="311">
        <f>+D19</f>
        <v>2009</v>
      </c>
      <c r="E20" s="318">
        <v>18300</v>
      </c>
      <c r="F20" s="312">
        <f t="shared" si="1"/>
        <v>28027.899670462888</v>
      </c>
      <c r="G20" s="322"/>
      <c r="H20" s="323"/>
      <c r="I20" s="323"/>
      <c r="J20" s="323"/>
      <c r="K20" s="323">
        <f>+F20</f>
        <v>28027.899670462888</v>
      </c>
      <c r="L20" s="323"/>
      <c r="M20" s="323"/>
      <c r="N20" s="323"/>
      <c r="O20" s="323"/>
      <c r="P20" s="323"/>
      <c r="Q20" s="323"/>
      <c r="R20" s="323"/>
      <c r="S20" s="327"/>
      <c r="T20" s="330">
        <f>+K20*$T$36/$K$36</f>
        <v>32407.822255622046</v>
      </c>
      <c r="U20" s="451"/>
      <c r="V20" s="451"/>
      <c r="W20" s="451"/>
      <c r="X20" s="451"/>
      <c r="Y20" s="451"/>
      <c r="Z20" s="451"/>
      <c r="AA20" s="451"/>
      <c r="AC20" s="28" t="str">
        <f>+'5_Prioritate-1_Pielikums'!F17</f>
        <v>Grobiņas ūdensapgādes sistēma Cimdenieki</v>
      </c>
      <c r="AD20" s="26">
        <f>+'5_Prioritate-1_Pielikums'!T17</f>
        <v>33.800000000000004</v>
      </c>
      <c r="AE20" s="17">
        <f t="shared" si="2"/>
        <v>42406</v>
      </c>
      <c r="AF20" s="16"/>
      <c r="AG20" s="32">
        <f t="shared" si="5"/>
        <v>33.799999999999997</v>
      </c>
      <c r="AH20" s="33">
        <f t="shared" si="3"/>
        <v>78435</v>
      </c>
      <c r="AI20" s="16">
        <f>+'5_Prioritate-1_Pielikums'!Q17</f>
        <v>330</v>
      </c>
      <c r="AJ20" s="14">
        <f t="shared" si="6"/>
        <v>7292.5751072961375</v>
      </c>
      <c r="AO20" s="111">
        <f t="shared" si="7"/>
        <v>33.799999999999997</v>
      </c>
      <c r="AP20" s="259">
        <f t="shared" si="12"/>
        <v>42406.264961800029</v>
      </c>
      <c r="AQ20" s="251">
        <f t="shared" si="13"/>
        <v>37978</v>
      </c>
      <c r="AR20" s="260">
        <f t="shared" si="14"/>
        <v>57885.650283317045</v>
      </c>
    </row>
    <row r="21" spans="2:44" x14ac:dyDescent="0.25">
      <c r="B21" s="15">
        <v>14</v>
      </c>
      <c r="C21" s="310">
        <f t="shared" si="4"/>
        <v>18.2</v>
      </c>
      <c r="D21" s="311">
        <v>2012</v>
      </c>
      <c r="E21" s="318">
        <v>21000</v>
      </c>
      <c r="F21" s="312">
        <f t="shared" si="1"/>
        <v>32163.16355626889</v>
      </c>
      <c r="G21" s="322"/>
      <c r="H21" s="323"/>
      <c r="I21" s="323"/>
      <c r="J21" s="323"/>
      <c r="K21" s="323"/>
      <c r="L21" s="323"/>
      <c r="M21" s="323"/>
      <c r="N21" s="323">
        <f>+F21</f>
        <v>32163.16355626889</v>
      </c>
      <c r="O21" s="323"/>
      <c r="P21" s="323"/>
      <c r="Q21" s="323"/>
      <c r="R21" s="323"/>
      <c r="S21" s="327"/>
      <c r="T21" s="330">
        <f>+N21*$T$36/$N$36</f>
        <v>35069.356018296829</v>
      </c>
      <c r="U21" s="451"/>
      <c r="V21" s="451"/>
      <c r="W21" s="451"/>
      <c r="X21" s="451"/>
      <c r="Y21" s="451"/>
      <c r="Z21" s="451"/>
      <c r="AA21" s="451"/>
      <c r="AC21" s="28" t="str">
        <f>+'5_Prioritate-1_Pielikums'!F18</f>
        <v>Grobiņas ūdensapgādes sistēma Gūžas</v>
      </c>
      <c r="AD21" s="26">
        <f>+'5_Prioritate-1_Pielikums'!T18</f>
        <v>14.3</v>
      </c>
      <c r="AE21" s="17">
        <f t="shared" si="2"/>
        <v>36806</v>
      </c>
      <c r="AF21" s="16"/>
      <c r="AG21" s="32">
        <f t="shared" ref="AG21:AG26" si="15">+ROUND(AD21,1)</f>
        <v>14.3</v>
      </c>
      <c r="AH21" s="33">
        <f t="shared" si="3"/>
        <v>32408</v>
      </c>
      <c r="AI21" s="16">
        <f>+'5_Prioritate-1_Pielikums'!Q18</f>
        <v>74</v>
      </c>
      <c r="AJ21" s="14">
        <f t="shared" ref="AJ21:AJ27" si="16">+AI21*$AJ$7/$AK$7</f>
        <v>1635.3047210300429</v>
      </c>
      <c r="AO21" s="111">
        <f t="shared" si="7"/>
        <v>14.3</v>
      </c>
      <c r="AP21" s="259">
        <f t="shared" si="12"/>
        <v>36806.28381404352</v>
      </c>
      <c r="AQ21" s="251">
        <f t="shared" si="13"/>
        <v>34707</v>
      </c>
      <c r="AR21" s="260">
        <f t="shared" si="14"/>
        <v>45806.813817141956</v>
      </c>
    </row>
    <row r="22" spans="2:44" x14ac:dyDescent="0.25">
      <c r="B22" s="15">
        <v>15</v>
      </c>
      <c r="C22" s="310">
        <f t="shared" si="4"/>
        <v>19.5</v>
      </c>
      <c r="D22" s="311">
        <f>+D20</f>
        <v>2009</v>
      </c>
      <c r="E22" s="318">
        <v>44290</v>
      </c>
      <c r="F22" s="312">
        <f t="shared" si="1"/>
        <v>67833.643519388061</v>
      </c>
      <c r="G22" s="322"/>
      <c r="H22" s="323"/>
      <c r="I22" s="323"/>
      <c r="J22" s="323"/>
      <c r="K22" s="323">
        <f>+F22</f>
        <v>67833.643519388061</v>
      </c>
      <c r="L22" s="323"/>
      <c r="M22" s="323"/>
      <c r="N22" s="323"/>
      <c r="O22" s="323"/>
      <c r="P22" s="323"/>
      <c r="Q22" s="323"/>
      <c r="R22" s="323"/>
      <c r="S22" s="327"/>
      <c r="T22" s="330">
        <f>+K22*$T$36/$K$36</f>
        <v>78434.013535601116</v>
      </c>
      <c r="U22" s="451"/>
      <c r="V22" s="451"/>
      <c r="W22" s="451"/>
      <c r="X22" s="451"/>
      <c r="Y22" s="451"/>
      <c r="Z22" s="451"/>
      <c r="AA22" s="451"/>
      <c r="AC22" s="28" t="str">
        <f>+'5_Prioritate-1_Pielikums'!F19</f>
        <v>Grobiņas ūdensapgādes sistēma Krusiņas</v>
      </c>
      <c r="AD22" s="26">
        <f>+'5_Prioritate-1_Pielikums'!T19</f>
        <v>2.6</v>
      </c>
      <c r="AE22" s="17">
        <f t="shared" si="2"/>
        <v>33446</v>
      </c>
      <c r="AF22" s="16"/>
      <c r="AG22" s="32">
        <f t="shared" si="15"/>
        <v>2.6</v>
      </c>
      <c r="AH22" s="33">
        <f t="shared" si="3"/>
        <v>23022</v>
      </c>
      <c r="AI22" s="16">
        <f>+'5_Prioritate-1_Pielikums'!Q19</f>
        <v>18</v>
      </c>
      <c r="AJ22" s="14">
        <f t="shared" si="16"/>
        <v>397.77682403433477</v>
      </c>
      <c r="AO22" s="111">
        <f t="shared" si="7"/>
        <v>2.6</v>
      </c>
      <c r="AP22" s="259">
        <f t="shared" si="12"/>
        <v>33446.29512538961</v>
      </c>
      <c r="AQ22" s="251">
        <f t="shared" si="13"/>
        <v>32881</v>
      </c>
      <c r="AR22" s="260">
        <f t="shared" si="14"/>
        <v>21868.958509720273</v>
      </c>
    </row>
    <row r="23" spans="2:44" x14ac:dyDescent="0.25">
      <c r="B23" s="15">
        <v>28.3</v>
      </c>
      <c r="C23" s="310">
        <f t="shared" si="4"/>
        <v>36.799999999999997</v>
      </c>
      <c r="D23" s="311">
        <v>2011</v>
      </c>
      <c r="E23" s="318">
        <v>14000</v>
      </c>
      <c r="F23" s="312">
        <f t="shared" si="1"/>
        <v>21442.109037512593</v>
      </c>
      <c r="G23" s="322"/>
      <c r="H23" s="323"/>
      <c r="I23" s="323"/>
      <c r="J23" s="323"/>
      <c r="K23" s="323"/>
      <c r="L23" s="323"/>
      <c r="M23" s="323">
        <f>+F23</f>
        <v>21442.109037512593</v>
      </c>
      <c r="N23" s="323"/>
      <c r="O23" s="323"/>
      <c r="P23" s="323"/>
      <c r="Q23" s="323"/>
      <c r="R23" s="323"/>
      <c r="S23" s="327"/>
      <c r="T23" s="330">
        <f>+M23*$T$36/$M$36</f>
        <v>24969.502622699252</v>
      </c>
      <c r="U23" s="451"/>
      <c r="V23" s="451"/>
      <c r="W23" s="451"/>
      <c r="X23" s="451"/>
      <c r="Y23" s="451"/>
      <c r="Z23" s="451"/>
      <c r="AA23" s="451"/>
      <c r="AC23" s="28" t="str">
        <f>+'5_Prioritate-1_Pielikums'!F20</f>
        <v>Grobiņas ūdensapgādes sistēma Vairogi</v>
      </c>
      <c r="AD23" s="26">
        <f>+'5_Prioritate-1_Pielikums'!T20</f>
        <v>15.600000000000001</v>
      </c>
      <c r="AE23" s="17">
        <f t="shared" si="2"/>
        <v>37180</v>
      </c>
      <c r="AF23" s="16"/>
      <c r="AG23" s="32">
        <f t="shared" si="15"/>
        <v>15.6</v>
      </c>
      <c r="AH23" s="33">
        <f t="shared" si="3"/>
        <v>32408</v>
      </c>
      <c r="AI23" s="16">
        <f>+'5_Prioritate-1_Pielikums'!Q20</f>
        <v>35</v>
      </c>
      <c r="AJ23" s="14">
        <f t="shared" si="16"/>
        <v>773.45493562231763</v>
      </c>
      <c r="AO23" s="111">
        <f t="shared" si="7"/>
        <v>15.6</v>
      </c>
      <c r="AP23" s="259">
        <f t="shared" si="12"/>
        <v>37179.615890560621</v>
      </c>
      <c r="AQ23" s="251">
        <f t="shared" si="13"/>
        <v>34916</v>
      </c>
      <c r="AR23" s="260">
        <f t="shared" si="14"/>
        <v>47028.61647640897</v>
      </c>
    </row>
    <row r="24" spans="2:44" x14ac:dyDescent="0.25">
      <c r="B24" s="15">
        <v>25.25</v>
      </c>
      <c r="C24" s="310">
        <f t="shared" si="4"/>
        <v>32.799999999999997</v>
      </c>
      <c r="D24" s="311">
        <v>2004</v>
      </c>
      <c r="E24" s="318">
        <v>15000</v>
      </c>
      <c r="F24" s="312">
        <f t="shared" si="1"/>
        <v>22973.688254477776</v>
      </c>
      <c r="G24" s="322">
        <f>+F24*$G$37</f>
        <v>25611.692591391056</v>
      </c>
      <c r="H24" s="323"/>
      <c r="I24" s="323"/>
      <c r="J24" s="323"/>
      <c r="K24" s="323"/>
      <c r="L24" s="323"/>
      <c r="M24" s="323"/>
      <c r="N24" s="323"/>
      <c r="O24" s="323"/>
      <c r="P24" s="323"/>
      <c r="Q24" s="323"/>
      <c r="R24" s="323"/>
      <c r="S24" s="327"/>
      <c r="T24" s="330">
        <f>+G24*$T$36/100</f>
        <v>46049.823279321121</v>
      </c>
      <c r="U24" s="451"/>
      <c r="V24" s="451"/>
      <c r="W24" s="451"/>
      <c r="X24" s="451"/>
      <c r="Y24" s="451"/>
      <c r="Z24" s="451"/>
      <c r="AA24" s="451"/>
      <c r="AC24" s="28" t="str">
        <f>+'5_Prioritate-1_Pielikums'!F21</f>
        <v>Indras ūdensapgādes sistēma Gagarina iela</v>
      </c>
      <c r="AD24" s="26">
        <f>+'5_Prioritate-1_Pielikums'!T21</f>
        <v>31.200000000000003</v>
      </c>
      <c r="AE24" s="17">
        <f t="shared" si="2"/>
        <v>41660</v>
      </c>
      <c r="AF24" s="16"/>
      <c r="AG24" s="32">
        <f t="shared" si="15"/>
        <v>31.2</v>
      </c>
      <c r="AH24" s="33">
        <f t="shared" si="3"/>
        <v>78435</v>
      </c>
      <c r="AI24" s="16">
        <f>+'5_Prioritate-1_Pielikums'!Q21</f>
        <v>80</v>
      </c>
      <c r="AJ24" s="14">
        <f t="shared" si="16"/>
        <v>1767.8969957081545</v>
      </c>
      <c r="AO24" s="111">
        <f t="shared" si="7"/>
        <v>31.2</v>
      </c>
      <c r="AP24" s="259">
        <f t="shared" si="12"/>
        <v>41659.600808765827</v>
      </c>
      <c r="AQ24" s="251">
        <f t="shared" si="13"/>
        <v>37525</v>
      </c>
      <c r="AR24" s="260">
        <f t="shared" si="14"/>
        <v>56761.700789883391</v>
      </c>
    </row>
    <row r="25" spans="2:44" x14ac:dyDescent="0.25">
      <c r="B25" s="15">
        <v>36</v>
      </c>
      <c r="C25" s="310">
        <f t="shared" si="4"/>
        <v>46.8</v>
      </c>
      <c r="D25" s="311">
        <f>+D18</f>
        <v>2011</v>
      </c>
      <c r="E25" s="318">
        <v>35000</v>
      </c>
      <c r="F25" s="312">
        <f t="shared" si="1"/>
        <v>53605.272593781476</v>
      </c>
      <c r="G25" s="322"/>
      <c r="H25" s="323"/>
      <c r="I25" s="323"/>
      <c r="J25" s="323"/>
      <c r="K25" s="323"/>
      <c r="L25" s="323"/>
      <c r="M25" s="323">
        <f>+F25</f>
        <v>53605.272593781476</v>
      </c>
      <c r="N25" s="323"/>
      <c r="O25" s="323"/>
      <c r="P25" s="323"/>
      <c r="Q25" s="323"/>
      <c r="R25" s="323"/>
      <c r="S25" s="327"/>
      <c r="T25" s="330">
        <f>+M25*$T$36/$M$36</f>
        <v>62423.756556748122</v>
      </c>
      <c r="U25" s="451"/>
      <c r="V25" s="451"/>
      <c r="W25" s="451"/>
      <c r="X25" s="451"/>
      <c r="Y25" s="451"/>
      <c r="Z25" s="451"/>
      <c r="AA25" s="451"/>
      <c r="AC25" s="28" t="str">
        <f>+'5_Prioritate-1_Pielikums'!F22</f>
        <v>Jaunjelgavas ūdensapgādes sistēma Kalna iela</v>
      </c>
      <c r="AD25" s="26">
        <f>+'5_Prioritate-1_Pielikums'!T22</f>
        <v>1.677</v>
      </c>
      <c r="AE25" s="17">
        <f t="shared" si="2"/>
        <v>33181</v>
      </c>
      <c r="AF25" s="16"/>
      <c r="AG25" s="32">
        <f t="shared" si="15"/>
        <v>1.7</v>
      </c>
      <c r="AH25" s="33">
        <f t="shared" si="3"/>
        <v>18728</v>
      </c>
      <c r="AI25" s="16">
        <f>+'5_Prioritate-1_Pielikums'!Q22</f>
        <v>20</v>
      </c>
      <c r="AJ25" s="14">
        <f t="shared" si="16"/>
        <v>441.97424892703862</v>
      </c>
      <c r="AO25" s="111">
        <f t="shared" si="7"/>
        <v>1.7</v>
      </c>
      <c r="AP25" s="259">
        <f t="shared" si="12"/>
        <v>33187.834457031619</v>
      </c>
      <c r="AQ25" s="251">
        <f t="shared" si="13"/>
        <v>32744</v>
      </c>
      <c r="AR25" s="260">
        <f t="shared" si="14"/>
        <v>15902.802884732348</v>
      </c>
    </row>
    <row r="26" spans="2:44" x14ac:dyDescent="0.25">
      <c r="B26" s="15">
        <v>37.553443199999997</v>
      </c>
      <c r="C26" s="310">
        <f t="shared" si="4"/>
        <v>48.8</v>
      </c>
      <c r="D26" s="311">
        <v>2004</v>
      </c>
      <c r="E26" s="318">
        <v>15000</v>
      </c>
      <c r="F26" s="312">
        <f t="shared" si="1"/>
        <v>22973.688254477776</v>
      </c>
      <c r="G26" s="322">
        <f t="shared" ref="G26:G31" si="17">+F26*$G$37</f>
        <v>25611.692591391056</v>
      </c>
      <c r="H26" s="323"/>
      <c r="I26" s="323"/>
      <c r="J26" s="323"/>
      <c r="K26" s="323"/>
      <c r="L26" s="323"/>
      <c r="M26" s="323"/>
      <c r="N26" s="323"/>
      <c r="O26" s="323"/>
      <c r="P26" s="323"/>
      <c r="Q26" s="323"/>
      <c r="R26" s="323"/>
      <c r="S26" s="327"/>
      <c r="T26" s="330">
        <f t="shared" ref="T26:T31" si="18">+G26*$T$36/100</f>
        <v>46049.823279321121</v>
      </c>
      <c r="U26" s="451"/>
      <c r="V26" s="451"/>
      <c r="W26" s="451"/>
      <c r="X26" s="451"/>
      <c r="Y26" s="451"/>
      <c r="Z26" s="451"/>
      <c r="AA26" s="451"/>
      <c r="AC26" s="28" t="str">
        <f>+'5_Prioritate-1_Pielikums'!F23</f>
        <v>Jaunsilavas ūdensapgādes sistēma</v>
      </c>
      <c r="AD26" s="26">
        <f>+'5_Prioritate-1_Pielikums'!T23</f>
        <v>26</v>
      </c>
      <c r="AE26" s="17">
        <f t="shared" si="2"/>
        <v>40166</v>
      </c>
      <c r="AF26" s="16"/>
      <c r="AG26" s="32">
        <f t="shared" si="15"/>
        <v>26</v>
      </c>
      <c r="AH26" s="33">
        <f t="shared" si="3"/>
        <v>78435</v>
      </c>
      <c r="AI26" s="16">
        <f>+'5_Prioritate-1_Pielikums'!Q23</f>
        <v>277</v>
      </c>
      <c r="AJ26" s="14">
        <f t="shared" si="16"/>
        <v>6121.3433476394857</v>
      </c>
      <c r="AO26" s="111">
        <f t="shared" si="7"/>
        <v>26</v>
      </c>
      <c r="AP26" s="259">
        <f t="shared" si="12"/>
        <v>40166.272502697422</v>
      </c>
      <c r="AQ26" s="251">
        <f t="shared" si="13"/>
        <v>36634</v>
      </c>
      <c r="AR26" s="260">
        <f t="shared" si="14"/>
        <v>54201.564740558424</v>
      </c>
    </row>
    <row r="27" spans="2:44" x14ac:dyDescent="0.25">
      <c r="B27" s="22">
        <v>65.050110000000004</v>
      </c>
      <c r="C27" s="310">
        <f t="shared" si="4"/>
        <v>84.6</v>
      </c>
      <c r="D27" s="313">
        <v>2004</v>
      </c>
      <c r="E27" s="318">
        <v>15250</v>
      </c>
      <c r="F27" s="312">
        <f t="shared" si="1"/>
        <v>23356.583058719076</v>
      </c>
      <c r="G27" s="322">
        <f t="shared" si="17"/>
        <v>26038.554134580911</v>
      </c>
      <c r="H27" s="323"/>
      <c r="I27" s="323"/>
      <c r="J27" s="323"/>
      <c r="K27" s="323"/>
      <c r="L27" s="323"/>
      <c r="M27" s="323"/>
      <c r="N27" s="323"/>
      <c r="O27" s="323"/>
      <c r="P27" s="323"/>
      <c r="Q27" s="323"/>
      <c r="R27" s="323"/>
      <c r="S27" s="327"/>
      <c r="T27" s="330">
        <f t="shared" si="18"/>
        <v>46817.320333976488</v>
      </c>
      <c r="U27" s="451"/>
      <c r="V27" s="451"/>
      <c r="W27" s="451"/>
      <c r="X27" s="451"/>
      <c r="Y27" s="451"/>
      <c r="Z27" s="451"/>
      <c r="AA27" s="451"/>
      <c r="AC27" s="28" t="str">
        <f>+'5_Prioritate-1_Pielikums'!F24</f>
        <v>Kokneses ūdensapgādes sistēma 1905. gada iela</v>
      </c>
      <c r="AD27" s="26">
        <f>+'5_Prioritate-1_Pielikums'!T24</f>
        <v>3.9000000000000004</v>
      </c>
      <c r="AE27" s="17">
        <f t="shared" si="2"/>
        <v>33820</v>
      </c>
      <c r="AF27" s="16"/>
      <c r="AG27" s="32">
        <f t="shared" ref="AG27" si="19">+ROUND(AD27,1)</f>
        <v>3.9</v>
      </c>
      <c r="AH27" s="33">
        <f t="shared" si="3"/>
        <v>40016</v>
      </c>
      <c r="AI27" s="16">
        <f>+'5_Prioritate-1_Pielikums'!Q24</f>
        <v>35</v>
      </c>
      <c r="AJ27" s="14">
        <f t="shared" si="16"/>
        <v>773.45493562231763</v>
      </c>
      <c r="AO27" s="111">
        <f t="shared" si="7"/>
        <v>3.9</v>
      </c>
      <c r="AP27" s="259">
        <f t="shared" si="12"/>
        <v>33819.627201906711</v>
      </c>
      <c r="AQ27" s="251">
        <f t="shared" si="13"/>
        <v>33079</v>
      </c>
      <c r="AR27" s="260">
        <f t="shared" si="14"/>
        <v>27562.447849460128</v>
      </c>
    </row>
    <row r="28" spans="2:44" x14ac:dyDescent="0.25">
      <c r="B28" s="22">
        <v>112.87712537497836</v>
      </c>
      <c r="C28" s="310">
        <f t="shared" si="4"/>
        <v>146.69999999999999</v>
      </c>
      <c r="D28" s="313">
        <v>2004</v>
      </c>
      <c r="E28" s="318">
        <v>20100</v>
      </c>
      <c r="F28" s="312">
        <f t="shared" si="1"/>
        <v>30784.742261000221</v>
      </c>
      <c r="G28" s="322">
        <f t="shared" si="17"/>
        <v>34319.668072464017</v>
      </c>
      <c r="H28" s="323"/>
      <c r="I28" s="323"/>
      <c r="J28" s="323"/>
      <c r="K28" s="323"/>
      <c r="L28" s="323"/>
      <c r="M28" s="323"/>
      <c r="N28" s="323"/>
      <c r="O28" s="323"/>
      <c r="P28" s="323"/>
      <c r="Q28" s="323"/>
      <c r="R28" s="323"/>
      <c r="S28" s="327"/>
      <c r="T28" s="330">
        <f t="shared" si="18"/>
        <v>61706.76319429031</v>
      </c>
      <c r="U28" s="451"/>
      <c r="V28" s="451"/>
      <c r="W28" s="451"/>
      <c r="X28" s="451"/>
      <c r="Y28" s="451"/>
      <c r="Z28" s="451"/>
      <c r="AA28" s="451"/>
      <c r="AC28" s="97" t="str">
        <f>+'5_Prioritate-1_Pielikums'!F25</f>
        <v>Krāslavas ūdensapgādes sistēma</v>
      </c>
      <c r="AD28" s="102"/>
      <c r="AE28" s="99"/>
      <c r="AF28" s="16"/>
      <c r="AG28" s="100"/>
      <c r="AH28" s="101"/>
      <c r="AI28" s="99"/>
      <c r="AJ28" s="98"/>
      <c r="AO28" s="111"/>
      <c r="AP28" s="259"/>
      <c r="AQ28" s="251"/>
      <c r="AR28" s="260"/>
    </row>
    <row r="29" spans="2:44" x14ac:dyDescent="0.25">
      <c r="B29" s="22">
        <v>125.58569675557541</v>
      </c>
      <c r="C29" s="310">
        <f t="shared" si="4"/>
        <v>163.30000000000001</v>
      </c>
      <c r="D29" s="313">
        <v>2004</v>
      </c>
      <c r="E29" s="318">
        <v>36620</v>
      </c>
      <c r="F29" s="312">
        <f t="shared" si="1"/>
        <v>56086.430925265078</v>
      </c>
      <c r="G29" s="322">
        <f t="shared" si="17"/>
        <v>62526.678846449366</v>
      </c>
      <c r="H29" s="323"/>
      <c r="I29" s="323"/>
      <c r="J29" s="323"/>
      <c r="K29" s="323"/>
      <c r="L29" s="323"/>
      <c r="M29" s="323"/>
      <c r="N29" s="323"/>
      <c r="O29" s="323"/>
      <c r="P29" s="323"/>
      <c r="Q29" s="323"/>
      <c r="R29" s="323"/>
      <c r="S29" s="327"/>
      <c r="T29" s="330">
        <f t="shared" si="18"/>
        <v>112422.96856591597</v>
      </c>
      <c r="U29" s="451"/>
      <c r="V29" s="451"/>
      <c r="W29" s="451"/>
      <c r="X29" s="451"/>
      <c r="Y29" s="451"/>
      <c r="Z29" s="451"/>
      <c r="AA29" s="451"/>
      <c r="AC29" s="28" t="str">
        <f>+'5_Prioritate-1_Pielikums'!F26</f>
        <v>Lones ūdensapgādes sistēma Ezera iela</v>
      </c>
      <c r="AD29" s="26">
        <f>+'5_Prioritate-1_Pielikums'!T26</f>
        <v>6.5</v>
      </c>
      <c r="AE29" s="17">
        <f t="shared" ref="AE29:AE58" si="20">ROUND(TREND($T$8:$T$31,$C$8:$C$31,AD29,1),0)</f>
        <v>34566</v>
      </c>
      <c r="AF29" s="16"/>
      <c r="AG29" s="32">
        <f t="shared" ref="AG29:AG58" si="21">+ROUND(AD29,1)</f>
        <v>6.5</v>
      </c>
      <c r="AH29" s="33">
        <f t="shared" ref="AH29:AH58" si="22">+ROUNDUP(LOOKUP(AG29,$C$8:$C$31,$T$8:$T$31),0)</f>
        <v>25785</v>
      </c>
      <c r="AI29" s="16">
        <f>+'5_Prioritate-1_Pielikums'!Q26</f>
        <v>26</v>
      </c>
      <c r="AJ29" s="14">
        <f t="shared" ref="AJ29:AJ58" si="23">+AI29*$AJ$7/$AK$7</f>
        <v>574.56652360515022</v>
      </c>
      <c r="AO29" s="111">
        <f t="shared" si="7"/>
        <v>6.5</v>
      </c>
      <c r="AP29" s="259">
        <f t="shared" si="12"/>
        <v>34566.291354940913</v>
      </c>
      <c r="AQ29" s="251">
        <f t="shared" si="13"/>
        <v>33479</v>
      </c>
      <c r="AR29" s="260">
        <f t="shared" si="14"/>
        <v>34735.39611360959</v>
      </c>
    </row>
    <row r="30" spans="2:44" x14ac:dyDescent="0.25">
      <c r="B30" s="22">
        <v>173.65659429095558</v>
      </c>
      <c r="C30" s="310">
        <f t="shared" si="4"/>
        <v>225.8</v>
      </c>
      <c r="D30" s="313">
        <v>2004</v>
      </c>
      <c r="E30" s="318">
        <v>24745</v>
      </c>
      <c r="F30" s="312">
        <f t="shared" si="1"/>
        <v>37898.927723803514</v>
      </c>
      <c r="G30" s="322">
        <f t="shared" si="17"/>
        <v>42250.755544931453</v>
      </c>
      <c r="H30" s="323"/>
      <c r="I30" s="323"/>
      <c r="J30" s="323"/>
      <c r="K30" s="323"/>
      <c r="L30" s="323"/>
      <c r="M30" s="323"/>
      <c r="N30" s="323"/>
      <c r="O30" s="323"/>
      <c r="P30" s="323"/>
      <c r="Q30" s="323"/>
      <c r="R30" s="323"/>
      <c r="S30" s="327"/>
      <c r="T30" s="330">
        <f t="shared" si="18"/>
        <v>75966.858469786763</v>
      </c>
      <c r="U30" s="451"/>
      <c r="V30" s="451"/>
      <c r="W30" s="451"/>
      <c r="X30" s="451"/>
      <c r="Y30" s="451"/>
      <c r="Z30" s="451"/>
      <c r="AA30" s="451"/>
      <c r="AC30" s="28" t="str">
        <f>+'5_Prioritate-1_Pielikums'!F27</f>
        <v>Lutriņu ūdensapgādes sistēma Dzirnieki</v>
      </c>
      <c r="AD30" s="26">
        <f>+'5_Prioritate-1_Pielikums'!T27</f>
        <v>26</v>
      </c>
      <c r="AE30" s="17">
        <f t="shared" si="20"/>
        <v>40166</v>
      </c>
      <c r="AF30" s="16"/>
      <c r="AG30" s="32">
        <f t="shared" si="21"/>
        <v>26</v>
      </c>
      <c r="AH30" s="33">
        <f t="shared" si="22"/>
        <v>78435</v>
      </c>
      <c r="AI30" s="16">
        <f>+'5_Prioritate-1_Pielikums'!Q27</f>
        <v>15</v>
      </c>
      <c r="AJ30" s="14">
        <f t="shared" si="23"/>
        <v>331.48068669527896</v>
      </c>
      <c r="AO30" s="111">
        <f t="shared" si="7"/>
        <v>26</v>
      </c>
      <c r="AP30" s="259">
        <f t="shared" si="12"/>
        <v>40166.272502697422</v>
      </c>
      <c r="AQ30" s="251">
        <f t="shared" si="13"/>
        <v>36634</v>
      </c>
      <c r="AR30" s="260">
        <f t="shared" si="14"/>
        <v>54201.564740558424</v>
      </c>
    </row>
    <row r="31" spans="2:44" ht="15.75" thickBot="1" x14ac:dyDescent="0.3">
      <c r="B31" s="24">
        <v>267.12326591999999</v>
      </c>
      <c r="C31" s="314">
        <f t="shared" si="4"/>
        <v>347.3</v>
      </c>
      <c r="D31" s="315">
        <v>2004</v>
      </c>
      <c r="E31" s="319">
        <v>44500</v>
      </c>
      <c r="F31" s="316">
        <f t="shared" si="1"/>
        <v>68155.275154950737</v>
      </c>
      <c r="G31" s="324">
        <f t="shared" si="17"/>
        <v>75981.354687793471</v>
      </c>
      <c r="H31" s="325"/>
      <c r="I31" s="325"/>
      <c r="J31" s="325"/>
      <c r="K31" s="325"/>
      <c r="L31" s="325"/>
      <c r="M31" s="325"/>
      <c r="N31" s="325"/>
      <c r="O31" s="325"/>
      <c r="P31" s="325"/>
      <c r="Q31" s="325"/>
      <c r="R31" s="325"/>
      <c r="S31" s="328"/>
      <c r="T31" s="331">
        <f t="shared" si="18"/>
        <v>136614.47572865267</v>
      </c>
      <c r="U31" s="451"/>
      <c r="V31" s="451"/>
      <c r="W31" s="451"/>
      <c r="X31" s="451"/>
      <c r="Y31" s="451"/>
      <c r="Z31" s="451"/>
      <c r="AA31" s="451"/>
      <c r="AC31" s="28" t="str">
        <f>+'5_Prioritate-1_Pielikums'!F28</f>
        <v>Lutriņu ūdensapgādes sistēma Kūdrāji</v>
      </c>
      <c r="AD31" s="26">
        <f>+'5_Prioritate-1_Pielikums'!T28</f>
        <v>13</v>
      </c>
      <c r="AE31" s="17">
        <f t="shared" si="20"/>
        <v>36433</v>
      </c>
      <c r="AF31" s="16"/>
      <c r="AG31" s="32">
        <f t="shared" si="21"/>
        <v>13</v>
      </c>
      <c r="AH31" s="33">
        <f t="shared" si="22"/>
        <v>32408</v>
      </c>
      <c r="AI31" s="16">
        <f>+'5_Prioritate-1_Pielikums'!Q28</f>
        <v>18</v>
      </c>
      <c r="AJ31" s="14">
        <f t="shared" si="23"/>
        <v>397.77682403433477</v>
      </c>
      <c r="AO31" s="111">
        <f t="shared" si="7"/>
        <v>13</v>
      </c>
      <c r="AP31" s="259">
        <f t="shared" si="12"/>
        <v>36432.951737526419</v>
      </c>
      <c r="AQ31" s="251">
        <f t="shared" si="13"/>
        <v>34499</v>
      </c>
      <c r="AR31" s="260">
        <f t="shared" si="14"/>
        <v>44468.480427084003</v>
      </c>
    </row>
    <row r="32" spans="2:44" x14ac:dyDescent="0.25"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AC32" s="28" t="str">
        <f>+'5_Prioritate-1_Pielikums'!F29</f>
        <v>Lutriņu ūdensapgādes sistēma Mežmaļi</v>
      </c>
      <c r="AD32" s="26">
        <f>+'5_Prioritate-1_Pielikums'!T29</f>
        <v>4.6800000000000006</v>
      </c>
      <c r="AE32" s="17">
        <f t="shared" si="20"/>
        <v>34044</v>
      </c>
      <c r="AF32" s="16"/>
      <c r="AG32" s="32">
        <f t="shared" si="21"/>
        <v>4.7</v>
      </c>
      <c r="AH32" s="33">
        <f t="shared" si="22"/>
        <v>32104</v>
      </c>
      <c r="AI32" s="16">
        <f>+'5_Prioritate-1_Pielikums'!Q29</f>
        <v>16</v>
      </c>
      <c r="AJ32" s="14">
        <f t="shared" si="23"/>
        <v>353.57939914163092</v>
      </c>
      <c r="AO32" s="111">
        <f t="shared" si="7"/>
        <v>4.7</v>
      </c>
      <c r="AP32" s="259">
        <f t="shared" si="12"/>
        <v>34049.37001822493</v>
      </c>
      <c r="AQ32" s="251">
        <f t="shared" si="13"/>
        <v>33201</v>
      </c>
      <c r="AR32" s="260">
        <f t="shared" si="14"/>
        <v>30182.464042712592</v>
      </c>
    </row>
    <row r="33" spans="1:44" ht="15.75" x14ac:dyDescent="0.25">
      <c r="C33" s="280"/>
      <c r="D33" s="23"/>
      <c r="E33" s="23"/>
      <c r="F33" s="25"/>
      <c r="G33" s="299" t="s">
        <v>475</v>
      </c>
      <c r="H33" s="23"/>
      <c r="I33" s="23"/>
      <c r="J33" s="23"/>
      <c r="K33" s="23"/>
      <c r="L33" s="23"/>
      <c r="M33" s="23"/>
      <c r="N33" s="23"/>
      <c r="O33" s="23"/>
      <c r="P33" s="23"/>
      <c r="R33" s="23"/>
      <c r="S33" s="23"/>
      <c r="AC33" s="28" t="str">
        <f>+'5_Prioritate-1_Pielikums'!F30</f>
        <v>Lutriņu ūdensapgādes sistēma Vizuļi</v>
      </c>
      <c r="AD33" s="26">
        <f>+'5_Prioritate-1_Pielikums'!T30</f>
        <v>27.3</v>
      </c>
      <c r="AE33" s="17">
        <f t="shared" si="20"/>
        <v>40540</v>
      </c>
      <c r="AF33" s="16"/>
      <c r="AG33" s="32">
        <f t="shared" si="21"/>
        <v>27.3</v>
      </c>
      <c r="AH33" s="33">
        <f t="shared" si="22"/>
        <v>78435</v>
      </c>
      <c r="AI33" s="16">
        <f>+'5_Prioritate-1_Pielikums'!Q30</f>
        <v>12</v>
      </c>
      <c r="AJ33" s="14">
        <f t="shared" si="23"/>
        <v>265.18454935622316</v>
      </c>
      <c r="AO33" s="111">
        <f t="shared" si="7"/>
        <v>27.3</v>
      </c>
      <c r="AP33" s="259">
        <f t="shared" si="12"/>
        <v>40539.604579214523</v>
      </c>
      <c r="AQ33" s="251">
        <f t="shared" si="13"/>
        <v>36855</v>
      </c>
      <c r="AR33" s="260">
        <f t="shared" si="14"/>
        <v>54886.670003694206</v>
      </c>
    </row>
    <row r="34" spans="1:44" x14ac:dyDescent="0.25">
      <c r="A34" s="306" t="s">
        <v>477</v>
      </c>
      <c r="C34" s="281"/>
      <c r="D34" s="23"/>
      <c r="E34" s="23"/>
      <c r="F34" s="23"/>
      <c r="G34" s="23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AC34" s="28" t="str">
        <f>+'5_Prioritate-1_Pielikums'!F31</f>
        <v>Nītaures ūdensapgādes sistēma Cirīši</v>
      </c>
      <c r="AD34" s="26">
        <f>+'5_Prioritate-1_Pielikums'!T31</f>
        <v>2.6</v>
      </c>
      <c r="AE34" s="17">
        <f t="shared" si="20"/>
        <v>33446</v>
      </c>
      <c r="AF34" s="16"/>
      <c r="AG34" s="32">
        <f t="shared" si="21"/>
        <v>2.6</v>
      </c>
      <c r="AH34" s="33">
        <f t="shared" si="22"/>
        <v>23022</v>
      </c>
      <c r="AI34" s="16">
        <f>+'5_Prioritate-1_Pielikums'!Q31</f>
        <v>15</v>
      </c>
      <c r="AJ34" s="14">
        <f t="shared" si="23"/>
        <v>331.48068669527896</v>
      </c>
      <c r="AO34" s="111">
        <f t="shared" si="7"/>
        <v>2.6</v>
      </c>
      <c r="AP34" s="259">
        <f t="shared" si="12"/>
        <v>33446.29512538961</v>
      </c>
      <c r="AQ34" s="251">
        <f t="shared" si="13"/>
        <v>32881</v>
      </c>
      <c r="AR34" s="260">
        <f t="shared" si="14"/>
        <v>21868.958509720273</v>
      </c>
    </row>
    <row r="35" spans="1:44" ht="15.75" thickBot="1" x14ac:dyDescent="0.3">
      <c r="A35" s="18"/>
      <c r="C35" s="19" t="s">
        <v>354</v>
      </c>
      <c r="D35" s="19" t="s">
        <v>356</v>
      </c>
      <c r="E35" s="19" t="s">
        <v>357</v>
      </c>
      <c r="F35" s="19" t="s">
        <v>355</v>
      </c>
      <c r="G35" s="19" t="s">
        <v>358</v>
      </c>
      <c r="H35" s="19" t="s">
        <v>359</v>
      </c>
      <c r="I35" s="19" t="s">
        <v>360</v>
      </c>
      <c r="J35" s="19" t="s">
        <v>361</v>
      </c>
      <c r="K35" s="19" t="s">
        <v>362</v>
      </c>
      <c r="L35" s="19" t="s">
        <v>363</v>
      </c>
      <c r="M35" s="19" t="s">
        <v>364</v>
      </c>
      <c r="N35" s="19" t="s">
        <v>365</v>
      </c>
      <c r="O35" s="19" t="s">
        <v>366</v>
      </c>
      <c r="P35" s="19" t="s">
        <v>367</v>
      </c>
      <c r="Q35" s="19" t="s">
        <v>368</v>
      </c>
      <c r="R35" s="19" t="s">
        <v>47</v>
      </c>
      <c r="S35" s="19" t="s">
        <v>48</v>
      </c>
      <c r="T35" s="20" t="s">
        <v>37</v>
      </c>
      <c r="U35" s="452"/>
      <c r="V35" s="452"/>
      <c r="W35" s="452"/>
      <c r="X35" s="452"/>
      <c r="Y35" s="452"/>
      <c r="Z35" s="452"/>
      <c r="AA35" s="452"/>
      <c r="AC35" s="28" t="str">
        <f>+'5_Prioritate-1_Pielikums'!F32</f>
        <v>Ogres novada ūdensapgādes sistēma - Suntaži JUGLA</v>
      </c>
      <c r="AD35" s="26">
        <f>+'5_Prioritate-1_Pielikums'!T32</f>
        <v>3.25</v>
      </c>
      <c r="AE35" s="17">
        <f t="shared" si="20"/>
        <v>33633</v>
      </c>
      <c r="AF35" s="16"/>
      <c r="AG35" s="32">
        <f t="shared" si="21"/>
        <v>3.3</v>
      </c>
      <c r="AH35" s="33">
        <f t="shared" si="22"/>
        <v>23022</v>
      </c>
      <c r="AI35" s="16">
        <f>+'5_Prioritate-1_Pielikums'!Q32</f>
        <v>48</v>
      </c>
      <c r="AJ35" s="14">
        <f t="shared" si="23"/>
        <v>1060.7381974248926</v>
      </c>
      <c r="AO35" s="111">
        <f t="shared" si="7"/>
        <v>3.3</v>
      </c>
      <c r="AP35" s="259">
        <f t="shared" si="12"/>
        <v>33647.32008966805</v>
      </c>
      <c r="AQ35" s="251">
        <f t="shared" si="13"/>
        <v>32987</v>
      </c>
      <c r="AR35" s="260">
        <f t="shared" si="14"/>
        <v>25216.69569675946</v>
      </c>
    </row>
    <row r="36" spans="1:44" ht="15.75" thickBot="1" x14ac:dyDescent="0.3">
      <c r="A36" s="21" t="s">
        <v>369</v>
      </c>
      <c r="C36" s="301">
        <v>89.2</v>
      </c>
      <c r="D36" s="301">
        <v>84.4</v>
      </c>
      <c r="E36" s="301">
        <v>89.7</v>
      </c>
      <c r="F36" s="301">
        <v>85.5</v>
      </c>
      <c r="G36" s="302">
        <v>100</v>
      </c>
      <c r="H36" s="301">
        <v>120.9</v>
      </c>
      <c r="I36" s="301">
        <v>152.5</v>
      </c>
      <c r="J36" s="301">
        <v>174.5</v>
      </c>
      <c r="K36" s="301">
        <v>155.5</v>
      </c>
      <c r="L36" s="301">
        <v>151.30000000000001</v>
      </c>
      <c r="M36" s="301">
        <v>154.4</v>
      </c>
      <c r="N36" s="301">
        <v>164.9</v>
      </c>
      <c r="O36" s="301">
        <v>169.1</v>
      </c>
      <c r="P36" s="301">
        <v>169.8</v>
      </c>
      <c r="Q36" s="301">
        <v>170</v>
      </c>
      <c r="R36" s="301">
        <v>169.2</v>
      </c>
      <c r="S36" s="303">
        <v>172.3</v>
      </c>
      <c r="T36" s="304">
        <v>179.8</v>
      </c>
      <c r="U36" s="453"/>
      <c r="V36" s="453"/>
      <c r="W36" s="453"/>
      <c r="X36" s="453"/>
      <c r="Y36" s="453"/>
      <c r="Z36" s="453"/>
      <c r="AA36" s="453"/>
      <c r="AC36" s="28" t="str">
        <f>+'5_Prioritate-1_Pielikums'!F33</f>
        <v>Ošenieku ūdensapgādes sistēma</v>
      </c>
      <c r="AD36" s="26">
        <f>+'5_Prioritate-1_Pielikums'!T33</f>
        <v>10.53</v>
      </c>
      <c r="AE36" s="17">
        <f t="shared" si="20"/>
        <v>35724</v>
      </c>
      <c r="AF36" s="16"/>
      <c r="AG36" s="32">
        <f t="shared" si="21"/>
        <v>10.5</v>
      </c>
      <c r="AH36" s="33">
        <f t="shared" si="22"/>
        <v>46576</v>
      </c>
      <c r="AI36" s="16">
        <f>+'5_Prioritate-1_Pielikums'!Q33</f>
        <v>64</v>
      </c>
      <c r="AJ36" s="14">
        <f t="shared" si="23"/>
        <v>1414.3175965665237</v>
      </c>
      <c r="AO36" s="111">
        <f t="shared" si="7"/>
        <v>10.5</v>
      </c>
      <c r="AP36" s="259">
        <f t="shared" si="12"/>
        <v>35715.005436531996</v>
      </c>
      <c r="AQ36" s="251">
        <f t="shared" si="13"/>
        <v>34103</v>
      </c>
      <c r="AR36" s="260">
        <f t="shared" si="14"/>
        <v>41469.500147461164</v>
      </c>
    </row>
    <row r="37" spans="1:44" x14ac:dyDescent="0.25">
      <c r="A37" s="21"/>
      <c r="C37" s="301"/>
      <c r="D37" s="301"/>
      <c r="E37" s="301"/>
      <c r="F37" s="301"/>
      <c r="G37" s="336">
        <f>+G36/E36</f>
        <v>1.1148272017837235</v>
      </c>
      <c r="H37" s="305"/>
      <c r="I37" s="305"/>
      <c r="J37" s="305"/>
      <c r="K37" s="305"/>
      <c r="L37" s="305"/>
      <c r="M37" s="305"/>
      <c r="N37" s="305"/>
      <c r="O37" s="305"/>
      <c r="P37" s="305"/>
      <c r="Q37" s="305"/>
      <c r="R37" s="305"/>
      <c r="S37" s="305"/>
      <c r="T37" s="305"/>
      <c r="U37" s="454"/>
      <c r="V37" s="454"/>
      <c r="W37" s="454"/>
      <c r="X37" s="454"/>
      <c r="Y37" s="454"/>
      <c r="Z37" s="454"/>
      <c r="AA37" s="454"/>
      <c r="AC37" s="28" t="str">
        <f>+'5_Prioritate-1_Pielikums'!F34</f>
        <v>Pilskalnes Darbnīcas ūdensapgādes sistēma</v>
      </c>
      <c r="AD37" s="26">
        <f>+'5_Prioritate-1_Pielikums'!T34</f>
        <v>44.2</v>
      </c>
      <c r="AE37" s="17">
        <f t="shared" si="20"/>
        <v>45393</v>
      </c>
      <c r="AF37" s="16"/>
      <c r="AG37" s="32">
        <f t="shared" si="21"/>
        <v>44.2</v>
      </c>
      <c r="AH37" s="33">
        <f t="shared" si="22"/>
        <v>46050</v>
      </c>
      <c r="AI37" s="16">
        <f>+'5_Prioritate-1_Pielikums'!Q34</f>
        <v>120</v>
      </c>
      <c r="AJ37" s="14">
        <f t="shared" si="23"/>
        <v>2651.8454935622317</v>
      </c>
      <c r="AO37" s="111">
        <f t="shared" si="7"/>
        <v>44.2</v>
      </c>
      <c r="AP37" s="259">
        <f t="shared" si="12"/>
        <v>45392.92157393683</v>
      </c>
      <c r="AQ37" s="251">
        <f t="shared" si="13"/>
        <v>39847</v>
      </c>
      <c r="AR37" s="260">
        <f t="shared" si="14"/>
        <v>61652.578971803538</v>
      </c>
    </row>
    <row r="38" spans="1:44" x14ac:dyDescent="0.25">
      <c r="A38" s="21" t="s">
        <v>370</v>
      </c>
      <c r="C38" s="301">
        <v>52.5</v>
      </c>
      <c r="D38" s="301">
        <v>49.6</v>
      </c>
      <c r="E38" s="301">
        <v>52.8</v>
      </c>
      <c r="F38" s="301">
        <v>50.3</v>
      </c>
      <c r="G38" s="301">
        <v>58.8</v>
      </c>
      <c r="H38" s="301">
        <v>71.099999999999994</v>
      </c>
      <c r="I38" s="301">
        <v>89.7</v>
      </c>
      <c r="J38" s="301">
        <v>102.7</v>
      </c>
      <c r="K38" s="301">
        <v>91.5</v>
      </c>
      <c r="L38" s="301">
        <v>89</v>
      </c>
      <c r="M38" s="301">
        <v>90.9</v>
      </c>
      <c r="N38" s="301">
        <v>97</v>
      </c>
      <c r="O38" s="301">
        <v>99.5</v>
      </c>
      <c r="P38" s="301">
        <v>99.9</v>
      </c>
      <c r="Q38" s="302">
        <v>100</v>
      </c>
      <c r="R38" s="301">
        <v>99.5</v>
      </c>
      <c r="S38" s="301">
        <v>101.4</v>
      </c>
      <c r="T38" s="301">
        <v>105.8</v>
      </c>
      <c r="U38" s="453"/>
      <c r="V38" s="453"/>
      <c r="W38" s="453"/>
      <c r="X38" s="453"/>
      <c r="Y38" s="453"/>
      <c r="Z38" s="453"/>
      <c r="AA38" s="453"/>
      <c r="AC38" s="28" t="str">
        <f>+'5_Prioritate-1_Pielikums'!F35</f>
        <v>Ratnieku ūdensapgādes sistēma</v>
      </c>
      <c r="AD38" s="26">
        <f>+'5_Prioritate-1_Pielikums'!T35</f>
        <v>39</v>
      </c>
      <c r="AE38" s="17">
        <f t="shared" si="20"/>
        <v>43900</v>
      </c>
      <c r="AF38" s="16"/>
      <c r="AG38" s="32">
        <f t="shared" si="21"/>
        <v>39</v>
      </c>
      <c r="AH38" s="33">
        <f t="shared" si="22"/>
        <v>46050</v>
      </c>
      <c r="AI38" s="16">
        <f>+'5_Prioritate-1_Pielikums'!Q35</f>
        <v>260</v>
      </c>
      <c r="AJ38" s="14">
        <f t="shared" si="23"/>
        <v>5745.6652360515018</v>
      </c>
      <c r="AO38" s="111">
        <f t="shared" si="7"/>
        <v>39</v>
      </c>
      <c r="AP38" s="259">
        <f t="shared" si="12"/>
        <v>43899.593267868426</v>
      </c>
      <c r="AQ38" s="251">
        <f t="shared" si="13"/>
        <v>38902</v>
      </c>
      <c r="AR38" s="260">
        <f t="shared" si="14"/>
        <v>59895.05408029828</v>
      </c>
    </row>
    <row r="39" spans="1:44" ht="42.75" customHeight="1" x14ac:dyDescent="0.25">
      <c r="A39" s="300" t="s">
        <v>371</v>
      </c>
      <c r="C39" s="301">
        <v>95</v>
      </c>
      <c r="D39" s="301">
        <v>98.7</v>
      </c>
      <c r="E39" s="301">
        <v>106.4</v>
      </c>
      <c r="F39" s="301">
        <v>95.8</v>
      </c>
      <c r="G39" s="301">
        <v>111.4</v>
      </c>
      <c r="H39" s="301">
        <v>120.9</v>
      </c>
      <c r="I39" s="301">
        <v>126.2</v>
      </c>
      <c r="J39" s="301">
        <v>114.4</v>
      </c>
      <c r="K39" s="301">
        <v>89.1</v>
      </c>
      <c r="L39" s="301">
        <v>97.3</v>
      </c>
      <c r="M39" s="301">
        <v>102.1</v>
      </c>
      <c r="N39" s="301">
        <v>106.8</v>
      </c>
      <c r="O39" s="301">
        <v>102.5</v>
      </c>
      <c r="P39" s="301">
        <v>100.4</v>
      </c>
      <c r="Q39" s="301">
        <v>100.1</v>
      </c>
      <c r="R39" s="301">
        <v>99.5</v>
      </c>
      <c r="S39" s="301">
        <v>101.9</v>
      </c>
      <c r="T39" s="301">
        <v>104.4</v>
      </c>
      <c r="U39" s="453"/>
      <c r="V39" s="453"/>
      <c r="W39" s="453"/>
      <c r="X39" s="453"/>
      <c r="Y39" s="453"/>
      <c r="Z39" s="453"/>
      <c r="AA39" s="453"/>
      <c r="AC39" s="28" t="str">
        <f>+'5_Prioritate-1_Pielikums'!F36</f>
        <v>Rimicānu ūdensapgādes sistēma</v>
      </c>
      <c r="AD39" s="26">
        <f>+'5_Prioritate-1_Pielikums'!T36</f>
        <v>35.1</v>
      </c>
      <c r="AE39" s="17">
        <f t="shared" si="20"/>
        <v>42780</v>
      </c>
      <c r="AF39" s="16"/>
      <c r="AG39" s="32">
        <f t="shared" si="21"/>
        <v>35.1</v>
      </c>
      <c r="AH39" s="33">
        <f t="shared" si="22"/>
        <v>78435</v>
      </c>
      <c r="AI39" s="16">
        <f>+'5_Prioritate-1_Pielikums'!Q36</f>
        <v>107</v>
      </c>
      <c r="AJ39" s="14">
        <f t="shared" si="23"/>
        <v>2364.5622317596567</v>
      </c>
      <c r="AO39" s="111">
        <f t="shared" si="7"/>
        <v>35.1</v>
      </c>
      <c r="AP39" s="259">
        <f t="shared" si="12"/>
        <v>42779.597038317122</v>
      </c>
      <c r="AQ39" s="251">
        <f t="shared" si="13"/>
        <v>38207</v>
      </c>
      <c r="AR39" s="260">
        <f t="shared" si="14"/>
        <v>58415.595155888674</v>
      </c>
    </row>
    <row r="40" spans="1:44" x14ac:dyDescent="0.25">
      <c r="C40" s="281"/>
      <c r="F40" s="16"/>
      <c r="AC40" s="28" t="str">
        <f>+'5_Prioritate-1_Pielikums'!F37</f>
        <v>Rucavas ūdensapgādes sistēma Zundes</v>
      </c>
      <c r="AD40" s="26">
        <f>+'5_Prioritate-1_Pielikums'!T37</f>
        <v>175.5</v>
      </c>
      <c r="AE40" s="17">
        <f t="shared" si="20"/>
        <v>83099</v>
      </c>
      <c r="AF40" s="16"/>
      <c r="AG40" s="32">
        <f t="shared" si="21"/>
        <v>175.5</v>
      </c>
      <c r="AH40" s="33">
        <f t="shared" si="22"/>
        <v>112423</v>
      </c>
      <c r="AI40" s="16">
        <f>+'5_Prioritate-1_Pielikums'!Q37</f>
        <v>502</v>
      </c>
      <c r="AJ40" s="14">
        <f t="shared" si="23"/>
        <v>11093.55364806867</v>
      </c>
      <c r="AO40" s="111">
        <f t="shared" si="7"/>
        <v>175.5</v>
      </c>
      <c r="AP40" s="259">
        <f t="shared" si="12"/>
        <v>83099.461302163982</v>
      </c>
      <c r="AQ40" s="251">
        <f t="shared" si="13"/>
        <v>73082</v>
      </c>
      <c r="AR40" s="260">
        <f t="shared" si="14"/>
        <v>81015.117073252419</v>
      </c>
    </row>
    <row r="41" spans="1:44" ht="15.75" x14ac:dyDescent="0.25">
      <c r="C41" s="299" t="s">
        <v>476</v>
      </c>
      <c r="AC41" s="28" t="str">
        <f>+'5_Prioritate-1_Pielikums'!F38</f>
        <v>Sarkaņu ūdensapgādes sistēma</v>
      </c>
      <c r="AD41" s="26">
        <f>+'5_Prioritate-1_Pielikums'!T38</f>
        <v>5.2</v>
      </c>
      <c r="AE41" s="17">
        <f t="shared" si="20"/>
        <v>34193</v>
      </c>
      <c r="AF41" s="16"/>
      <c r="AG41" s="32">
        <f t="shared" si="21"/>
        <v>5.2</v>
      </c>
      <c r="AH41" s="33">
        <f t="shared" si="22"/>
        <v>43388</v>
      </c>
      <c r="AI41" s="16">
        <f>+'5_Prioritate-1_Pielikums'!Q38</f>
        <v>42</v>
      </c>
      <c r="AJ41" s="14">
        <f t="shared" si="23"/>
        <v>928.14592274678103</v>
      </c>
      <c r="AO41" s="111">
        <f t="shared" si="7"/>
        <v>5.2</v>
      </c>
      <c r="AP41" s="259">
        <f t="shared" si="12"/>
        <v>34192.959278423812</v>
      </c>
      <c r="AQ41" s="251">
        <f t="shared" si="13"/>
        <v>33278</v>
      </c>
      <c r="AR41" s="260">
        <f t="shared" si="14"/>
        <v>31602.042823194693</v>
      </c>
    </row>
    <row r="42" spans="1:44" x14ac:dyDescent="0.25">
      <c r="AC42" s="28" t="str">
        <f>+'5_Prioritate-1_Pielikums'!F39</f>
        <v>Tilžas ūdensapgādes sistēma Ceļu daļa</v>
      </c>
      <c r="AD42" s="26">
        <f>+'5_Prioritate-1_Pielikums'!T39</f>
        <v>10.920000000000002</v>
      </c>
      <c r="AE42" s="17">
        <f t="shared" si="20"/>
        <v>35836</v>
      </c>
      <c r="AF42" s="16"/>
      <c r="AG42" s="32">
        <f t="shared" si="21"/>
        <v>10.9</v>
      </c>
      <c r="AH42" s="33">
        <f t="shared" si="22"/>
        <v>46576</v>
      </c>
      <c r="AI42" s="16">
        <f>+'5_Prioritate-1_Pielikums'!Q39</f>
        <v>40</v>
      </c>
      <c r="AJ42" s="14">
        <f t="shared" si="23"/>
        <v>883.94849785407723</v>
      </c>
      <c r="AO42" s="111">
        <f t="shared" si="7"/>
        <v>10.9</v>
      </c>
      <c r="AP42" s="259">
        <f t="shared" si="12"/>
        <v>35829.876844691098</v>
      </c>
      <c r="AQ42" s="251">
        <f t="shared" si="13"/>
        <v>34166</v>
      </c>
      <c r="AR42" s="260">
        <f t="shared" si="14"/>
        <v>41994.491104838846</v>
      </c>
    </row>
    <row r="43" spans="1:44" x14ac:dyDescent="0.25">
      <c r="AC43" s="28" t="str">
        <f>+'5_Prioritate-1_Pielikums'!F40</f>
        <v>Tilžas ūdensapgādes sistēma Darbnīcas</v>
      </c>
      <c r="AD43" s="26">
        <f>+'5_Prioritate-1_Pielikums'!T40</f>
        <v>9.49</v>
      </c>
      <c r="AE43" s="17">
        <f t="shared" si="20"/>
        <v>35425</v>
      </c>
      <c r="AF43" s="16"/>
      <c r="AG43" s="32">
        <f t="shared" si="21"/>
        <v>9.5</v>
      </c>
      <c r="AH43" s="33">
        <f t="shared" si="22"/>
        <v>29447</v>
      </c>
      <c r="AI43" s="16">
        <f>+'5_Prioritate-1_Pielikums'!Q40</f>
        <v>20</v>
      </c>
      <c r="AJ43" s="14">
        <f t="shared" si="23"/>
        <v>441.97424892703862</v>
      </c>
      <c r="AO43" s="111">
        <f t="shared" si="7"/>
        <v>9.5</v>
      </c>
      <c r="AP43" s="259">
        <f t="shared" si="12"/>
        <v>35427.826916134225</v>
      </c>
      <c r="AQ43" s="251">
        <f t="shared" si="13"/>
        <v>33946</v>
      </c>
      <c r="AR43" s="260">
        <f t="shared" si="14"/>
        <v>40064.140985886981</v>
      </c>
    </row>
    <row r="44" spans="1:44" x14ac:dyDescent="0.25">
      <c r="AC44" s="28" t="str">
        <f>+'5_Prioritate-1_Pielikums'!F41</f>
        <v>Tilžas ūdensapgādes sistēma Plēsums</v>
      </c>
      <c r="AD44" s="26">
        <f>+'5_Prioritate-1_Pielikums'!T41</f>
        <v>1.6900000000000002</v>
      </c>
      <c r="AE44" s="17">
        <f t="shared" si="20"/>
        <v>33185</v>
      </c>
      <c r="AF44" s="16"/>
      <c r="AG44" s="32">
        <f t="shared" si="21"/>
        <v>1.7</v>
      </c>
      <c r="AH44" s="33">
        <f t="shared" si="22"/>
        <v>18728</v>
      </c>
      <c r="AI44" s="16">
        <f>+'5_Prioritate-1_Pielikums'!Q41</f>
        <v>7</v>
      </c>
      <c r="AJ44" s="14">
        <f t="shared" si="23"/>
        <v>154.6909871244635</v>
      </c>
      <c r="AO44" s="111">
        <f t="shared" si="7"/>
        <v>1.7</v>
      </c>
      <c r="AP44" s="259">
        <f t="shared" si="12"/>
        <v>33187.834457031619</v>
      </c>
      <c r="AQ44" s="251">
        <f t="shared" si="13"/>
        <v>32744</v>
      </c>
      <c r="AR44" s="260">
        <f t="shared" si="14"/>
        <v>15902.802884732348</v>
      </c>
    </row>
    <row r="45" spans="1:44" x14ac:dyDescent="0.25">
      <c r="AC45" s="28" t="str">
        <f>+'5_Prioritate-1_Pielikums'!F42</f>
        <v>Ūdeņi, Otrie Mežvidi ūdensapgādes sistēma</v>
      </c>
      <c r="AD45" s="26">
        <f>+'5_Prioritate-1_Pielikums'!T42</f>
        <v>16.12</v>
      </c>
      <c r="AE45" s="17">
        <f t="shared" si="20"/>
        <v>37329</v>
      </c>
      <c r="AF45" s="16"/>
      <c r="AG45" s="32">
        <f t="shared" si="21"/>
        <v>16.100000000000001</v>
      </c>
      <c r="AH45" s="33">
        <f t="shared" si="22"/>
        <v>32408</v>
      </c>
      <c r="AI45" s="16">
        <f>+'5_Prioritate-1_Pielikums'!Q42</f>
        <v>25</v>
      </c>
      <c r="AJ45" s="14">
        <f t="shared" si="23"/>
        <v>552.46781115879821</v>
      </c>
      <c r="AO45" s="111">
        <f t="shared" si="7"/>
        <v>16.100000000000001</v>
      </c>
      <c r="AP45" s="259">
        <f t="shared" si="12"/>
        <v>37323.205150759502</v>
      </c>
      <c r="AQ45" s="251">
        <f t="shared" si="13"/>
        <v>34997</v>
      </c>
      <c r="AR45" s="260">
        <f t="shared" si="14"/>
        <v>47471.614492411332</v>
      </c>
    </row>
    <row r="46" spans="1:44" x14ac:dyDescent="0.25">
      <c r="AC46" s="28" t="str">
        <f>+'5_Prioritate-1_Pielikums'!F43</f>
        <v>Ugāles ūdensapgādes sistēma Kalna skola</v>
      </c>
      <c r="AD46" s="26">
        <f>+'5_Prioritate-1_Pielikums'!T43</f>
        <v>2.7300000000000004</v>
      </c>
      <c r="AE46" s="17">
        <f t="shared" si="20"/>
        <v>33484</v>
      </c>
      <c r="AF46" s="16"/>
      <c r="AG46" s="32">
        <f t="shared" si="21"/>
        <v>2.7</v>
      </c>
      <c r="AH46" s="33">
        <f t="shared" si="22"/>
        <v>23022</v>
      </c>
      <c r="AI46" s="16">
        <f>+'5_Prioritate-1_Pielikums'!Q43</f>
        <v>70</v>
      </c>
      <c r="AJ46" s="14">
        <f t="shared" si="23"/>
        <v>1546.9098712446353</v>
      </c>
      <c r="AO46" s="111">
        <f t="shared" si="7"/>
        <v>2.7</v>
      </c>
      <c r="AP46" s="259">
        <f t="shared" si="12"/>
        <v>33475.012977429389</v>
      </c>
      <c r="AQ46" s="251">
        <f t="shared" si="13"/>
        <v>32896</v>
      </c>
      <c r="AR46" s="260">
        <f t="shared" si="14"/>
        <v>22398.903382291908</v>
      </c>
    </row>
    <row r="47" spans="1:44" x14ac:dyDescent="0.25">
      <c r="AC47" s="28" t="str">
        <f>+'5_Prioritate-1_Pielikums'!F44</f>
        <v>Ugāles ūdensapgādes sistēma Rīgas adītājs</v>
      </c>
      <c r="AD47" s="26">
        <f>+'5_Prioritate-1_Pielikums'!T44</f>
        <v>10.4</v>
      </c>
      <c r="AE47" s="17">
        <f t="shared" si="20"/>
        <v>35686</v>
      </c>
      <c r="AF47" s="16"/>
      <c r="AG47" s="32">
        <f t="shared" si="21"/>
        <v>10.4</v>
      </c>
      <c r="AH47" s="33">
        <f t="shared" si="22"/>
        <v>46576</v>
      </c>
      <c r="AI47" s="16">
        <f>+'5_Prioritate-1_Pielikums'!Q44</f>
        <v>429</v>
      </c>
      <c r="AJ47" s="14">
        <f t="shared" si="23"/>
        <v>9480.3476394849786</v>
      </c>
      <c r="AO47" s="111">
        <f t="shared" si="7"/>
        <v>10.4</v>
      </c>
      <c r="AP47" s="259">
        <f t="shared" si="12"/>
        <v>35686.287584492216</v>
      </c>
      <c r="AQ47" s="251">
        <f t="shared" si="13"/>
        <v>34087</v>
      </c>
      <c r="AR47" s="260">
        <f t="shared" si="14"/>
        <v>41335.127136669114</v>
      </c>
    </row>
    <row r="48" spans="1:44" x14ac:dyDescent="0.25">
      <c r="B48" s="15">
        <v>50</v>
      </c>
      <c r="C48" s="282"/>
      <c r="AC48" s="28" t="str">
        <f>+'5_Prioritate-1_Pielikums'!F45</f>
        <v>Ugāles ūdensapgādes sistēma Virpes kalns</v>
      </c>
      <c r="AD48" s="26">
        <f>+'5_Prioritate-1_Pielikums'!T45</f>
        <v>47.45</v>
      </c>
      <c r="AE48" s="17">
        <f t="shared" si="20"/>
        <v>46326</v>
      </c>
      <c r="AF48" s="16"/>
      <c r="AG48" s="32">
        <f t="shared" si="21"/>
        <v>47.5</v>
      </c>
      <c r="AH48" s="33">
        <f t="shared" si="22"/>
        <v>62424</v>
      </c>
      <c r="AI48" s="16">
        <f>+'5_Prioritate-1_Pielikums'!Q45</f>
        <v>30</v>
      </c>
      <c r="AJ48" s="14">
        <f t="shared" si="23"/>
        <v>662.96137339055792</v>
      </c>
      <c r="AO48" s="111">
        <f t="shared" si="7"/>
        <v>47.5</v>
      </c>
      <c r="AP48" s="259">
        <f t="shared" si="12"/>
        <v>46340.610691249472</v>
      </c>
      <c r="AQ48" s="251">
        <f t="shared" si="13"/>
        <v>40460</v>
      </c>
      <c r="AR48" s="260">
        <f t="shared" si="14"/>
        <v>62663.662903250704</v>
      </c>
    </row>
    <row r="49" spans="29:44" x14ac:dyDescent="0.25">
      <c r="AC49" s="28" t="str">
        <f>+'5_Prioritate-1_Pielikums'!F46</f>
        <v>Vaivodu ūdensapgādes sistēma</v>
      </c>
      <c r="AD49" s="26">
        <f>+'5_Prioritate-1_Pielikums'!T46</f>
        <v>29.900000000000002</v>
      </c>
      <c r="AE49" s="17">
        <f t="shared" si="20"/>
        <v>41286</v>
      </c>
      <c r="AF49" s="16"/>
      <c r="AG49" s="32">
        <f t="shared" si="21"/>
        <v>29.9</v>
      </c>
      <c r="AH49" s="33">
        <f t="shared" si="22"/>
        <v>78435</v>
      </c>
      <c r="AI49" s="16">
        <f>+'5_Prioritate-1_Pielikums'!Q46</f>
        <v>1400</v>
      </c>
      <c r="AJ49" s="14">
        <f t="shared" si="23"/>
        <v>30938.197424892704</v>
      </c>
      <c r="AO49" s="111">
        <f t="shared" si="7"/>
        <v>29.9</v>
      </c>
      <c r="AP49" s="259">
        <f t="shared" si="12"/>
        <v>41286.268732248725</v>
      </c>
      <c r="AQ49" s="251">
        <f t="shared" si="13"/>
        <v>37300</v>
      </c>
      <c r="AR49" s="260">
        <f t="shared" si="14"/>
        <v>56164.084111774027</v>
      </c>
    </row>
    <row r="50" spans="29:44" x14ac:dyDescent="0.25">
      <c r="AC50" s="28" t="str">
        <f>+'5_Prioritate-1_Pielikums'!F47</f>
        <v>Valdemārpils ūdensapgādes sistēma Parka iela</v>
      </c>
      <c r="AD50" s="26">
        <f>+'5_Prioritate-1_Pielikums'!T47</f>
        <v>188.5</v>
      </c>
      <c r="AE50" s="17">
        <f t="shared" si="20"/>
        <v>86833</v>
      </c>
      <c r="AF50" s="16"/>
      <c r="AG50" s="32">
        <f t="shared" si="21"/>
        <v>188.5</v>
      </c>
      <c r="AH50" s="33">
        <f t="shared" si="22"/>
        <v>112423</v>
      </c>
      <c r="AI50" s="16">
        <f>+'5_Prioritate-1_Pielikums'!Q47</f>
        <v>25</v>
      </c>
      <c r="AJ50" s="14">
        <f t="shared" si="23"/>
        <v>552.46781115879821</v>
      </c>
      <c r="AO50" s="111">
        <f t="shared" si="7"/>
        <v>188.5</v>
      </c>
      <c r="AP50" s="259">
        <f t="shared" si="12"/>
        <v>86832.782067334992</v>
      </c>
      <c r="AQ50" s="251">
        <f t="shared" si="13"/>
        <v>77605</v>
      </c>
      <c r="AR50" s="260">
        <f t="shared" si="14"/>
        <v>82018.534732442611</v>
      </c>
    </row>
    <row r="51" spans="29:44" x14ac:dyDescent="0.25">
      <c r="AC51" s="28" t="str">
        <f>+'5_Prioritate-1_Pielikums'!F48</f>
        <v>Valmieras pagasta ūdensapgādes sistēma Kalnieši</v>
      </c>
      <c r="AD51" s="26">
        <f>+'5_Prioritate-1_Pielikums'!T48</f>
        <v>3.9000000000000004</v>
      </c>
      <c r="AE51" s="17">
        <f t="shared" si="20"/>
        <v>33820</v>
      </c>
      <c r="AF51" s="16"/>
      <c r="AG51" s="32">
        <f t="shared" si="21"/>
        <v>3.9</v>
      </c>
      <c r="AH51" s="33">
        <f t="shared" si="22"/>
        <v>40016</v>
      </c>
      <c r="AI51" s="16">
        <f>+'5_Prioritate-1_Pielikums'!Q48</f>
        <v>30</v>
      </c>
      <c r="AJ51" s="14">
        <f t="shared" si="23"/>
        <v>662.96137339055792</v>
      </c>
      <c r="AO51" s="111">
        <f t="shared" si="7"/>
        <v>3.9</v>
      </c>
      <c r="AP51" s="259">
        <f t="shared" si="12"/>
        <v>33819.627201906711</v>
      </c>
      <c r="AQ51" s="251">
        <f t="shared" si="13"/>
        <v>33079</v>
      </c>
      <c r="AR51" s="260">
        <f t="shared" si="14"/>
        <v>27562.447849460128</v>
      </c>
    </row>
    <row r="52" spans="29:44" x14ac:dyDescent="0.25">
      <c r="AC52" s="28" t="str">
        <f>+'5_Prioritate-1_Pielikums'!F49</f>
        <v>Vanagu ūdensapgādes sistēma</v>
      </c>
      <c r="AD52" s="26">
        <f>+'5_Prioritate-1_Pielikums'!T49</f>
        <v>3.9000000000000004</v>
      </c>
      <c r="AE52" s="17">
        <f t="shared" si="20"/>
        <v>33820</v>
      </c>
      <c r="AF52" s="16"/>
      <c r="AG52" s="32">
        <f t="shared" si="21"/>
        <v>3.9</v>
      </c>
      <c r="AH52" s="33">
        <f t="shared" si="22"/>
        <v>40016</v>
      </c>
      <c r="AI52" s="16">
        <f>+'5_Prioritate-1_Pielikums'!Q49</f>
        <v>90</v>
      </c>
      <c r="AJ52" s="14">
        <f t="shared" si="23"/>
        <v>1988.8841201716739</v>
      </c>
      <c r="AO52" s="111">
        <f t="shared" si="7"/>
        <v>3.9</v>
      </c>
      <c r="AP52" s="259">
        <f t="shared" si="12"/>
        <v>33819.627201906711</v>
      </c>
      <c r="AQ52" s="251">
        <f t="shared" si="13"/>
        <v>33079</v>
      </c>
      <c r="AR52" s="260">
        <f t="shared" si="14"/>
        <v>27562.447849460128</v>
      </c>
    </row>
    <row r="53" spans="29:44" x14ac:dyDescent="0.25">
      <c r="AC53" s="28" t="str">
        <f>+'5_Prioritate-1_Pielikums'!F50</f>
        <v>Vitrupes ūdensapgādes sistēma</v>
      </c>
      <c r="AD53" s="26">
        <f>+'5_Prioritate-1_Pielikums'!T50</f>
        <v>19.5</v>
      </c>
      <c r="AE53" s="17">
        <f t="shared" si="20"/>
        <v>38300</v>
      </c>
      <c r="AF53" s="16"/>
      <c r="AG53" s="32">
        <f t="shared" si="21"/>
        <v>19.5</v>
      </c>
      <c r="AH53" s="33">
        <f t="shared" si="22"/>
        <v>78435</v>
      </c>
      <c r="AI53" s="16">
        <f>+'5_Prioritate-1_Pielikums'!Q50</f>
        <v>10</v>
      </c>
      <c r="AJ53" s="14">
        <f t="shared" si="23"/>
        <v>220.98712446351931</v>
      </c>
      <c r="AO53" s="111">
        <f t="shared" si="7"/>
        <v>19.5</v>
      </c>
      <c r="AP53" s="259">
        <f t="shared" si="12"/>
        <v>38299.612120111917</v>
      </c>
      <c r="AQ53" s="251">
        <f t="shared" si="13"/>
        <v>35551</v>
      </c>
      <c r="AR53" s="260">
        <f t="shared" si="14"/>
        <v>50161.969766823859</v>
      </c>
    </row>
    <row r="54" spans="29:44" x14ac:dyDescent="0.25">
      <c r="AC54" s="28" t="str">
        <f>+'5_Prioritate-1_Pielikums'!F51</f>
        <v>Zaņas ūdensapgādes sistēma Brīniņi</v>
      </c>
      <c r="AD54" s="26">
        <f>+'5_Prioritate-1_Pielikums'!T51</f>
        <v>2.6</v>
      </c>
      <c r="AE54" s="17">
        <f t="shared" si="20"/>
        <v>33446</v>
      </c>
      <c r="AF54" s="16"/>
      <c r="AG54" s="32">
        <f t="shared" si="21"/>
        <v>2.6</v>
      </c>
      <c r="AH54" s="33">
        <f t="shared" si="22"/>
        <v>23022</v>
      </c>
      <c r="AI54" s="16">
        <f>+'5_Prioritate-1_Pielikums'!Q51</f>
        <v>120</v>
      </c>
      <c r="AJ54" s="14">
        <f t="shared" si="23"/>
        <v>2651.8454935622317</v>
      </c>
      <c r="AO54" s="111">
        <f t="shared" si="7"/>
        <v>2.6</v>
      </c>
      <c r="AP54" s="259">
        <f t="shared" si="12"/>
        <v>33446.29512538961</v>
      </c>
      <c r="AQ54" s="251">
        <f t="shared" si="13"/>
        <v>32881</v>
      </c>
      <c r="AR54" s="260">
        <f t="shared" si="14"/>
        <v>21868.958509720273</v>
      </c>
    </row>
    <row r="55" spans="29:44" x14ac:dyDescent="0.25">
      <c r="AC55" s="28" t="str">
        <f>+'5_Prioritate-1_Pielikums'!F52</f>
        <v>Zaņas ūdensapgādes sistēma Bumbieri</v>
      </c>
      <c r="AD55" s="26">
        <f>+'5_Prioritate-1_Pielikums'!T52</f>
        <v>41.47</v>
      </c>
      <c r="AE55" s="17">
        <f t="shared" si="20"/>
        <v>44609</v>
      </c>
      <c r="AF55" s="16"/>
      <c r="AG55" s="32">
        <f t="shared" si="21"/>
        <v>41.5</v>
      </c>
      <c r="AH55" s="33">
        <f t="shared" si="22"/>
        <v>46050</v>
      </c>
      <c r="AI55" s="16">
        <f>+'5_Prioritate-1_Pielikums'!Q52</f>
        <v>13</v>
      </c>
      <c r="AJ55" s="14">
        <f t="shared" si="23"/>
        <v>287.28326180257511</v>
      </c>
      <c r="AO55" s="111">
        <f t="shared" si="7"/>
        <v>41.5</v>
      </c>
      <c r="AP55" s="259">
        <f t="shared" si="12"/>
        <v>44617.539568862849</v>
      </c>
      <c r="AQ55" s="251">
        <f t="shared" si="13"/>
        <v>39354</v>
      </c>
      <c r="AR55" s="260">
        <f t="shared" si="14"/>
        <v>60767.500627036454</v>
      </c>
    </row>
    <row r="56" spans="29:44" x14ac:dyDescent="0.25">
      <c r="AC56" s="28" t="str">
        <f>+'5_Prioritate-1_Pielikums'!F53</f>
        <v>Zaņas ūdensapgādes sistēma Zaņas muiža</v>
      </c>
      <c r="AD56" s="26">
        <f>+'5_Prioritate-1_Pielikums'!T53</f>
        <v>4.03</v>
      </c>
      <c r="AE56" s="17">
        <f t="shared" si="20"/>
        <v>33857</v>
      </c>
      <c r="AF56" s="16"/>
      <c r="AG56" s="32">
        <f t="shared" si="21"/>
        <v>4</v>
      </c>
      <c r="AH56" s="33">
        <f t="shared" si="22"/>
        <v>40016</v>
      </c>
      <c r="AI56" s="16">
        <f>+'5_Prioritate-1_Pielikums'!Q53</f>
        <v>200</v>
      </c>
      <c r="AJ56" s="14">
        <f t="shared" si="23"/>
        <v>4419.7424892703857</v>
      </c>
      <c r="AO56" s="111">
        <f t="shared" si="7"/>
        <v>4</v>
      </c>
      <c r="AP56" s="259">
        <f t="shared" si="12"/>
        <v>33848.34505394649</v>
      </c>
      <c r="AQ56" s="251">
        <f t="shared" si="13"/>
        <v>33094</v>
      </c>
      <c r="AR56" s="260">
        <f t="shared" si="14"/>
        <v>27917.957280436076</v>
      </c>
    </row>
    <row r="57" spans="29:44" x14ac:dyDescent="0.25">
      <c r="AC57" s="28" t="str">
        <f>+'5_Prioritate-1_Pielikums'!F54</f>
        <v>Zaubes ūdensapgādes sistēma Centrs</v>
      </c>
      <c r="AD57" s="26">
        <f>+'5_Prioritate-1_Pielikums'!T54</f>
        <v>52</v>
      </c>
      <c r="AE57" s="17">
        <f t="shared" si="20"/>
        <v>47633</v>
      </c>
      <c r="AF57" s="16"/>
      <c r="AG57" s="32">
        <f t="shared" si="21"/>
        <v>52</v>
      </c>
      <c r="AH57" s="33">
        <f t="shared" si="22"/>
        <v>46050</v>
      </c>
      <c r="AI57" s="16">
        <f>+'5_Prioritate-1_Pielikums'!Q54</f>
        <v>57</v>
      </c>
      <c r="AJ57" s="14">
        <f t="shared" si="23"/>
        <v>1259.6266094420603</v>
      </c>
      <c r="AO57" s="111">
        <f t="shared" si="7"/>
        <v>52</v>
      </c>
      <c r="AP57" s="259">
        <f t="shared" si="12"/>
        <v>47632.914033039429</v>
      </c>
      <c r="AQ57" s="251">
        <f t="shared" si="13"/>
        <v>41309</v>
      </c>
      <c r="AR57" s="260">
        <f t="shared" si="14"/>
        <v>63934.649054032852</v>
      </c>
    </row>
    <row r="58" spans="29:44" ht="15.75" thickBot="1" x14ac:dyDescent="0.3">
      <c r="AC58" s="28" t="str">
        <f>+'5_Prioritate-1_Pielikums'!F55</f>
        <v>Zosnas ūdensapgādes sistēma</v>
      </c>
      <c r="AD58" s="26">
        <f>+'5_Prioritate-1_Pielikums'!T55</f>
        <v>11.700000000000001</v>
      </c>
      <c r="AE58" s="17">
        <f t="shared" si="20"/>
        <v>36060</v>
      </c>
      <c r="AF58" s="16"/>
      <c r="AG58" s="34">
        <f t="shared" si="21"/>
        <v>11.7</v>
      </c>
      <c r="AH58" s="35">
        <f t="shared" si="22"/>
        <v>46576</v>
      </c>
      <c r="AI58" s="16">
        <f>+'5_Prioritate-1_Pielikums'!Q55</f>
        <v>57</v>
      </c>
      <c r="AJ58" s="14">
        <f t="shared" si="23"/>
        <v>1259.6266094420603</v>
      </c>
      <c r="AO58" s="111">
        <f t="shared" si="7"/>
        <v>11.7</v>
      </c>
      <c r="AP58" s="259">
        <f t="shared" si="12"/>
        <v>36059.619661009317</v>
      </c>
      <c r="AQ58" s="251">
        <f t="shared" si="13"/>
        <v>34293</v>
      </c>
      <c r="AR58" s="260">
        <f t="shared" si="14"/>
        <v>42989.021502674404</v>
      </c>
    </row>
    <row r="59" spans="29:44" ht="15.75" thickBot="1" x14ac:dyDescent="0.3">
      <c r="AC59" s="28"/>
      <c r="AD59" s="26"/>
      <c r="AE59" s="17"/>
      <c r="AF59" s="16"/>
      <c r="AG59" s="34"/>
      <c r="AH59" s="35"/>
      <c r="AI59" s="16"/>
      <c r="AJ59" s="14"/>
      <c r="AO59" s="111"/>
      <c r="AP59" s="259"/>
      <c r="AQ59" s="251"/>
      <c r="AR59" s="260"/>
    </row>
    <row r="60" spans="29:44" ht="15.75" thickBot="1" x14ac:dyDescent="0.3">
      <c r="AC60" s="12"/>
      <c r="AP60" s="261">
        <f>SUM(AP8:AP59)</f>
        <v>1977154.7556717137</v>
      </c>
      <c r="AQ60" s="252">
        <f t="shared" ref="AQ60:AR60" si="24">SUM(AQ8:AQ59)</f>
        <v>1845181</v>
      </c>
      <c r="AR60" s="262">
        <f t="shared" si="24"/>
        <v>2114459.1273004403</v>
      </c>
    </row>
    <row r="62" spans="29:44" ht="15.75" thickBot="1" x14ac:dyDescent="0.3">
      <c r="AO62" s="109" t="s">
        <v>404</v>
      </c>
      <c r="AP62" s="108">
        <f>AVERAGE(AP8:AP12)</f>
        <v>42032.932885282928</v>
      </c>
      <c r="AQ62" s="253">
        <f>AVERAGE(AQ8:AQ12)</f>
        <v>38116.400000000001</v>
      </c>
      <c r="AR62" s="108">
        <f>AVERAGE(AR8:AR12)</f>
        <v>50374.250181600619</v>
      </c>
    </row>
    <row r="63" spans="29:44" ht="15.75" thickBot="1" x14ac:dyDescent="0.3">
      <c r="AE63" s="36">
        <f>SUM(AE8:AE61)</f>
        <v>1977152</v>
      </c>
      <c r="AF63" s="29"/>
      <c r="AH63" s="36">
        <f>SUM(AH8:AH61)</f>
        <v>2323930</v>
      </c>
      <c r="AI63" s="16">
        <f>SUM(AI8:AI59)</f>
        <v>5820</v>
      </c>
      <c r="AJ63" s="36">
        <f>SUM(AJ8:AJ61)</f>
        <v>128614.50643776818</v>
      </c>
      <c r="AO63" s="109" t="s">
        <v>405</v>
      </c>
      <c r="AP63" s="108">
        <f>+STDEVP(AP8:AP12)</f>
        <v>8477.1869374367125</v>
      </c>
      <c r="AQ63" s="253">
        <f>+STDEVP(AQ8:AQ12)</f>
        <v>5482.5563964267621</v>
      </c>
      <c r="AR63" s="108">
        <f>+STDEVP(AR8:AR12)</f>
        <v>14954.957731737812</v>
      </c>
    </row>
    <row r="64" spans="29:44" x14ac:dyDescent="0.25">
      <c r="AI64" s="16">
        <f>+AI63/AK7</f>
        <v>2497.8540772532187</v>
      </c>
      <c r="AJ64" s="12" t="s">
        <v>392</v>
      </c>
      <c r="AO64" s="109" t="s">
        <v>406</v>
      </c>
      <c r="AP64" s="110">
        <f t="shared" ref="AP64:AQ64" si="25">+AP63/AP62</f>
        <v>0.20167964392522431</v>
      </c>
      <c r="AQ64" s="254">
        <f t="shared" si="25"/>
        <v>0.14383720383946969</v>
      </c>
      <c r="AR64" s="110">
        <f>+AR63/AR62</f>
        <v>0.29687702899447155</v>
      </c>
    </row>
    <row r="66" spans="29:42" x14ac:dyDescent="0.25">
      <c r="AH66" s="103">
        <v>1378143</v>
      </c>
    </row>
    <row r="67" spans="29:42" x14ac:dyDescent="0.25">
      <c r="AH67" s="104">
        <f>+AH63/AH66</f>
        <v>1.6862763878639591</v>
      </c>
    </row>
    <row r="68" spans="29:42" x14ac:dyDescent="0.25">
      <c r="AC68" s="12"/>
      <c r="AN68" s="27"/>
      <c r="AO68" s="247"/>
      <c r="AP68" s="248"/>
    </row>
    <row r="69" spans="29:42" x14ac:dyDescent="0.25">
      <c r="AC69" s="12"/>
      <c r="AN69" s="27"/>
      <c r="AO69" s="247"/>
      <c r="AP69" s="248"/>
    </row>
    <row r="70" spans="29:42" x14ac:dyDescent="0.25">
      <c r="AN70" s="27"/>
      <c r="AO70" s="247"/>
      <c r="AP70" s="248"/>
    </row>
    <row r="71" spans="29:42" x14ac:dyDescent="0.25">
      <c r="AN71" s="27"/>
      <c r="AO71" s="247"/>
      <c r="AP71" s="248"/>
    </row>
    <row r="72" spans="29:42" x14ac:dyDescent="0.25">
      <c r="AN72" s="27"/>
      <c r="AO72" s="247"/>
      <c r="AP72" s="248"/>
    </row>
    <row r="73" spans="29:42" x14ac:dyDescent="0.25">
      <c r="AN73" s="27"/>
      <c r="AO73" s="247"/>
      <c r="AP73" s="248"/>
    </row>
    <row r="74" spans="29:42" x14ac:dyDescent="0.25">
      <c r="AN74" s="27"/>
      <c r="AO74" s="247"/>
      <c r="AP74" s="248"/>
    </row>
    <row r="75" spans="29:42" x14ac:dyDescent="0.25">
      <c r="AN75" s="27"/>
      <c r="AO75" s="247"/>
      <c r="AP75" s="248"/>
    </row>
    <row r="76" spans="29:42" x14ac:dyDescent="0.25">
      <c r="AN76" s="27"/>
      <c r="AO76" s="247"/>
      <c r="AP76" s="248"/>
    </row>
    <row r="77" spans="29:42" x14ac:dyDescent="0.25">
      <c r="AN77" s="27"/>
      <c r="AO77" s="247"/>
      <c r="AP77" s="248"/>
    </row>
    <row r="78" spans="29:42" x14ac:dyDescent="0.25">
      <c r="AN78" s="27"/>
      <c r="AO78" s="247"/>
      <c r="AP78" s="248"/>
    </row>
    <row r="79" spans="29:42" x14ac:dyDescent="0.25">
      <c r="AN79" s="27"/>
      <c r="AO79" s="247"/>
      <c r="AP79" s="248"/>
    </row>
    <row r="80" spans="29:42" x14ac:dyDescent="0.25">
      <c r="AN80" s="27"/>
      <c r="AO80" s="247"/>
      <c r="AP80" s="248"/>
    </row>
    <row r="81" spans="40:42" x14ac:dyDescent="0.25">
      <c r="AN81" s="27"/>
      <c r="AO81" s="247"/>
      <c r="AP81" s="248"/>
    </row>
    <row r="82" spans="40:42" x14ac:dyDescent="0.25">
      <c r="AN82" s="27"/>
      <c r="AO82" s="247"/>
      <c r="AP82" s="248"/>
    </row>
    <row r="83" spans="40:42" x14ac:dyDescent="0.25">
      <c r="AN83" s="27"/>
      <c r="AO83" s="247"/>
      <c r="AP83" s="248"/>
    </row>
    <row r="84" spans="40:42" x14ac:dyDescent="0.25">
      <c r="AN84" s="27"/>
      <c r="AO84" s="247"/>
      <c r="AP84" s="248"/>
    </row>
    <row r="85" spans="40:42" x14ac:dyDescent="0.25">
      <c r="AN85" s="27"/>
      <c r="AO85" s="247"/>
      <c r="AP85" s="248"/>
    </row>
    <row r="86" spans="40:42" x14ac:dyDescent="0.25">
      <c r="AN86" s="27"/>
      <c r="AO86" s="247"/>
      <c r="AP86" s="248"/>
    </row>
    <row r="87" spans="40:42" x14ac:dyDescent="0.25">
      <c r="AN87" s="27"/>
      <c r="AO87" s="247"/>
      <c r="AP87" s="248"/>
    </row>
    <row r="88" spans="40:42" x14ac:dyDescent="0.25">
      <c r="AN88" s="27"/>
      <c r="AO88" s="247"/>
      <c r="AP88" s="248"/>
    </row>
    <row r="89" spans="40:42" x14ac:dyDescent="0.25">
      <c r="AN89" s="27"/>
      <c r="AO89" s="247"/>
      <c r="AP89" s="248"/>
    </row>
    <row r="90" spans="40:42" x14ac:dyDescent="0.25">
      <c r="AN90" s="27"/>
      <c r="AO90" s="247"/>
      <c r="AP90" s="248"/>
    </row>
    <row r="91" spans="40:42" x14ac:dyDescent="0.25">
      <c r="AN91" s="27"/>
      <c r="AO91" s="247"/>
      <c r="AP91" s="248"/>
    </row>
    <row r="92" spans="40:42" x14ac:dyDescent="0.25">
      <c r="AN92" s="27"/>
      <c r="AO92" s="247"/>
      <c r="AP92" s="248"/>
    </row>
    <row r="93" spans="40:42" x14ac:dyDescent="0.25">
      <c r="AN93" s="27"/>
      <c r="AO93" s="247"/>
      <c r="AP93" s="248"/>
    </row>
    <row r="94" spans="40:42" x14ac:dyDescent="0.25">
      <c r="AN94" s="27"/>
      <c r="AO94" s="247"/>
      <c r="AP94" s="248"/>
    </row>
    <row r="95" spans="40:42" x14ac:dyDescent="0.25">
      <c r="AN95" s="27"/>
      <c r="AO95" s="247"/>
      <c r="AP95" s="248"/>
    </row>
    <row r="96" spans="40:42" x14ac:dyDescent="0.25">
      <c r="AN96" s="27"/>
      <c r="AO96" s="247"/>
      <c r="AP96" s="248"/>
    </row>
    <row r="97" spans="40:42" x14ac:dyDescent="0.25">
      <c r="AN97" s="27"/>
      <c r="AO97" s="247"/>
      <c r="AP97" s="248"/>
    </row>
    <row r="98" spans="40:42" x14ac:dyDescent="0.25">
      <c r="AN98" s="27"/>
      <c r="AO98" s="247"/>
      <c r="AP98" s="248"/>
    </row>
    <row r="99" spans="40:42" x14ac:dyDescent="0.25">
      <c r="AN99" s="27"/>
      <c r="AO99" s="247"/>
      <c r="AP99" s="248"/>
    </row>
    <row r="100" spans="40:42" x14ac:dyDescent="0.25">
      <c r="AN100" s="27"/>
      <c r="AO100" s="247"/>
      <c r="AP100" s="248"/>
    </row>
    <row r="101" spans="40:42" x14ac:dyDescent="0.25">
      <c r="AN101" s="27"/>
      <c r="AO101" s="247"/>
      <c r="AP101" s="248"/>
    </row>
    <row r="102" spans="40:42" x14ac:dyDescent="0.25">
      <c r="AN102" s="27"/>
      <c r="AO102" s="247"/>
      <c r="AP102" s="248"/>
    </row>
    <row r="103" spans="40:42" x14ac:dyDescent="0.25">
      <c r="AN103" s="27"/>
      <c r="AO103" s="247"/>
      <c r="AP103" s="248"/>
    </row>
    <row r="104" spans="40:42" x14ac:dyDescent="0.25">
      <c r="AN104" s="27"/>
      <c r="AO104" s="247"/>
      <c r="AP104" s="248"/>
    </row>
    <row r="105" spans="40:42" x14ac:dyDescent="0.25">
      <c r="AN105" s="27"/>
      <c r="AO105" s="247"/>
      <c r="AP105" s="248"/>
    </row>
    <row r="106" spans="40:42" x14ac:dyDescent="0.25">
      <c r="AN106" s="27"/>
      <c r="AO106" s="247"/>
      <c r="AP106" s="248"/>
    </row>
    <row r="107" spans="40:42" x14ac:dyDescent="0.25">
      <c r="AN107" s="27"/>
      <c r="AO107" s="247"/>
      <c r="AP107" s="248"/>
    </row>
    <row r="108" spans="40:42" x14ac:dyDescent="0.25">
      <c r="AN108" s="27"/>
      <c r="AO108" s="247"/>
      <c r="AP108" s="248"/>
    </row>
    <row r="109" spans="40:42" x14ac:dyDescent="0.25">
      <c r="AN109" s="27"/>
      <c r="AO109" s="247"/>
      <c r="AP109" s="248"/>
    </row>
    <row r="110" spans="40:42" x14ac:dyDescent="0.25">
      <c r="AN110" s="27"/>
      <c r="AO110" s="247"/>
      <c r="AP110" s="248"/>
    </row>
    <row r="111" spans="40:42" x14ac:dyDescent="0.25">
      <c r="AN111" s="27"/>
      <c r="AO111" s="247"/>
      <c r="AP111" s="248"/>
    </row>
    <row r="112" spans="40:42" x14ac:dyDescent="0.25">
      <c r="AN112" s="27"/>
      <c r="AO112" s="247"/>
      <c r="AP112" s="248"/>
    </row>
    <row r="113" spans="40:42" x14ac:dyDescent="0.25">
      <c r="AN113" s="27"/>
      <c r="AO113" s="247"/>
      <c r="AP113" s="248"/>
    </row>
    <row r="114" spans="40:42" x14ac:dyDescent="0.25">
      <c r="AN114" s="27"/>
      <c r="AO114" s="247"/>
      <c r="AP114" s="248"/>
    </row>
    <row r="115" spans="40:42" x14ac:dyDescent="0.25">
      <c r="AN115" s="27"/>
      <c r="AO115" s="247"/>
      <c r="AP115" s="248"/>
    </row>
    <row r="116" spans="40:42" x14ac:dyDescent="0.25">
      <c r="AN116" s="27"/>
      <c r="AO116" s="247"/>
      <c r="AP116" s="248"/>
    </row>
    <row r="117" spans="40:42" x14ac:dyDescent="0.25">
      <c r="AN117" s="27"/>
      <c r="AO117" s="247"/>
      <c r="AP117" s="248"/>
    </row>
    <row r="118" spans="40:42" x14ac:dyDescent="0.25">
      <c r="AN118" s="27"/>
      <c r="AO118" s="247"/>
      <c r="AP118" s="248"/>
    </row>
    <row r="119" spans="40:42" x14ac:dyDescent="0.25">
      <c r="AN119" s="27"/>
      <c r="AO119" s="247"/>
      <c r="AP119" s="248"/>
    </row>
  </sheetData>
  <sortState ref="AO67:AP117">
    <sortCondition ref="AO67:AO117"/>
  </sortState>
  <pageMargins left="0.26" right="0.17" top="0.75" bottom="0.59" header="0.3" footer="0.16"/>
  <pageSetup paperSize="9" scale="80" orientation="landscape" r:id="rId1"/>
  <headerFooter>
    <oddFooter>&amp;C&amp;A&amp;RLapa &amp;P no &amp;N</oddFooter>
  </headerFooter>
  <rowBreaks count="1" manualBreakCount="1">
    <brk id="42" max="36" man="1"/>
  </rowBreaks>
  <colBreaks count="1" manualBreakCount="1">
    <brk id="27" min="4" max="4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19"/>
  <sheetViews>
    <sheetView view="pageBreakPreview" topLeftCell="U47" zoomScale="85" zoomScaleNormal="85" zoomScaleSheetLayoutView="85" workbookViewId="0">
      <selection activeCell="AO53" sqref="AO53"/>
    </sheetView>
  </sheetViews>
  <sheetFormatPr defaultRowHeight="15" x14ac:dyDescent="0.25"/>
  <cols>
    <col min="1" max="1" width="13" style="12" hidden="1" customWidth="1"/>
    <col min="2" max="2" width="8.28515625" style="12" hidden="1" customWidth="1"/>
    <col min="3" max="3" width="8.28515625" style="279" hidden="1" customWidth="1"/>
    <col min="4" max="4" width="7.42578125" style="12" hidden="1" customWidth="1"/>
    <col min="5" max="19" width="9.140625" style="12" hidden="1" customWidth="1"/>
    <col min="20" max="20" width="11.5703125" style="12" hidden="1" customWidth="1"/>
    <col min="21" max="21" width="9.140625" style="12" customWidth="1"/>
    <col min="22" max="22" width="50" style="27" customWidth="1"/>
    <col min="23" max="23" width="9.140625" style="12" customWidth="1"/>
    <col min="24" max="24" width="14.28515625" style="12" hidden="1" customWidth="1"/>
    <col min="25" max="26" width="9.140625" style="12" hidden="1" customWidth="1"/>
    <col min="27" max="27" width="12.140625" style="12" hidden="1" customWidth="1"/>
    <col min="28" max="28" width="11" style="12" hidden="1" customWidth="1"/>
    <col min="29" max="29" width="16.85546875" style="12" hidden="1" customWidth="1"/>
    <col min="30" max="30" width="9.140625" style="12" hidden="1" customWidth="1"/>
    <col min="31" max="31" width="6" style="12" hidden="1" customWidth="1"/>
    <col min="32" max="32" width="9.140625" style="12" hidden="1" customWidth="1"/>
    <col min="33" max="33" width="4.28515625" style="12" hidden="1" customWidth="1"/>
    <col min="34" max="34" width="12.5703125" style="105" hidden="1" customWidth="1"/>
    <col min="35" max="35" width="12.28515625" style="105" hidden="1" customWidth="1"/>
    <col min="36" max="36" width="14.7109375" style="255" customWidth="1"/>
    <col min="37" max="37" width="14.5703125" style="105" hidden="1" customWidth="1"/>
    <col min="38" max="16384" width="9.140625" style="12"/>
  </cols>
  <sheetData>
    <row r="1" spans="2:38" s="283" customFormat="1" ht="18" x14ac:dyDescent="0.25">
      <c r="C1" s="332"/>
      <c r="D1" s="332"/>
      <c r="E1" s="333" t="s">
        <v>394</v>
      </c>
      <c r="F1" s="334">
        <v>3.5000000000000003E-2</v>
      </c>
      <c r="V1" s="284"/>
      <c r="AH1" s="285"/>
      <c r="AI1" s="106" t="s">
        <v>396</v>
      </c>
      <c r="AJ1" s="341" t="s">
        <v>479</v>
      </c>
      <c r="AK1" s="106" t="s">
        <v>398</v>
      </c>
    </row>
    <row r="2" spans="2:38" s="283" customFormat="1" ht="15.75" x14ac:dyDescent="0.25">
      <c r="C2" s="332"/>
      <c r="D2" s="332"/>
      <c r="E2" s="333" t="s">
        <v>395</v>
      </c>
      <c r="F2" s="334">
        <v>0.04</v>
      </c>
      <c r="V2" s="284"/>
      <c r="AH2" s="286" t="s">
        <v>399</v>
      </c>
      <c r="AI2" s="287">
        <f>INTERCEPT(T8:T31,C8:C31)</f>
        <v>32699.630972355411</v>
      </c>
      <c r="AJ2" s="342">
        <f>EXP(INDEX(LINEST(LN(T8:T31),C8:C31),1,2))</f>
        <v>32488.348379828745</v>
      </c>
      <c r="AK2" s="287">
        <f>INDEX(LINEST(T8:T31, LN(C8:C31)), 1)</f>
        <v>14041.872471603707</v>
      </c>
    </row>
    <row r="3" spans="2:38" s="283" customFormat="1" ht="15.75" x14ac:dyDescent="0.25">
      <c r="C3" s="333"/>
      <c r="D3" s="332"/>
      <c r="E3" s="332"/>
      <c r="F3" s="332"/>
      <c r="V3" s="284"/>
      <c r="AH3" s="286" t="s">
        <v>400</v>
      </c>
      <c r="AI3" s="287">
        <f>SLOPE(T8:T31,C8:C31)</f>
        <v>287.17852039776966</v>
      </c>
      <c r="AJ3" s="343">
        <f>INDEX(LINEST(LN(T8:T31),C8:C31), 1)</f>
        <v>4.6193757481574997E-3</v>
      </c>
      <c r="AK3" s="287">
        <f>INDEX(LINEST(T8:T31, LN(C8:C31)), 1, 2)</f>
        <v>8451.7886534872378</v>
      </c>
    </row>
    <row r="4" spans="2:38" s="283" customFormat="1" x14ac:dyDescent="0.25">
      <c r="C4" s="335">
        <v>1.3</v>
      </c>
      <c r="D4" s="332"/>
      <c r="E4" s="332"/>
      <c r="F4" s="335">
        <v>1</v>
      </c>
      <c r="T4" s="13"/>
      <c r="V4" s="284"/>
      <c r="W4" s="288"/>
      <c r="X4" s="289" t="s">
        <v>351</v>
      </c>
      <c r="AC4" s="290" t="s">
        <v>390</v>
      </c>
      <c r="AD4" s="283" t="s">
        <v>391</v>
      </c>
      <c r="AH4" s="285"/>
      <c r="AI4" s="291" t="s">
        <v>401</v>
      </c>
      <c r="AJ4" s="344" t="s">
        <v>402</v>
      </c>
      <c r="AK4" s="292" t="s">
        <v>403</v>
      </c>
    </row>
    <row r="5" spans="2:38" s="283" customFormat="1" ht="15.75" x14ac:dyDescent="0.25">
      <c r="C5" s="335"/>
      <c r="D5" s="332"/>
      <c r="E5" s="332"/>
      <c r="F5" s="335"/>
      <c r="T5" s="13"/>
      <c r="V5" s="379" t="s">
        <v>486</v>
      </c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</row>
    <row r="6" spans="2:38" s="283" customFormat="1" ht="15.75" thickBot="1" x14ac:dyDescent="0.3">
      <c r="C6" s="335"/>
      <c r="D6" s="332"/>
      <c r="E6" s="332"/>
      <c r="F6" s="335"/>
      <c r="T6" s="13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</row>
    <row r="7" spans="2:38" s="283" customFormat="1" ht="45" x14ac:dyDescent="0.25">
      <c r="B7" s="293" t="s">
        <v>352</v>
      </c>
      <c r="C7" s="307" t="s">
        <v>372</v>
      </c>
      <c r="D7" s="308" t="s">
        <v>478</v>
      </c>
      <c r="E7" s="317" t="s">
        <v>353</v>
      </c>
      <c r="F7" s="309" t="s">
        <v>350</v>
      </c>
      <c r="G7" s="320" t="str">
        <f t="shared" ref="G7:T7" si="0">+G35</f>
        <v>2005</v>
      </c>
      <c r="H7" s="321" t="str">
        <f t="shared" si="0"/>
        <v>2006</v>
      </c>
      <c r="I7" s="321" t="str">
        <f t="shared" si="0"/>
        <v>2007</v>
      </c>
      <c r="J7" s="321" t="str">
        <f t="shared" si="0"/>
        <v>2008</v>
      </c>
      <c r="K7" s="321" t="str">
        <f t="shared" si="0"/>
        <v>2009</v>
      </c>
      <c r="L7" s="321" t="str">
        <f t="shared" si="0"/>
        <v>2010</v>
      </c>
      <c r="M7" s="321" t="str">
        <f t="shared" si="0"/>
        <v>2011</v>
      </c>
      <c r="N7" s="321" t="str">
        <f t="shared" si="0"/>
        <v>2012</v>
      </c>
      <c r="O7" s="321" t="str">
        <f t="shared" si="0"/>
        <v>2013</v>
      </c>
      <c r="P7" s="321" t="str">
        <f t="shared" si="0"/>
        <v>2014</v>
      </c>
      <c r="Q7" s="321" t="str">
        <f t="shared" si="0"/>
        <v>2015</v>
      </c>
      <c r="R7" s="321" t="str">
        <f t="shared" si="0"/>
        <v>2016</v>
      </c>
      <c r="S7" s="326" t="str">
        <f t="shared" si="0"/>
        <v>2017</v>
      </c>
      <c r="T7" s="329" t="str">
        <f t="shared" si="0"/>
        <v>2018</v>
      </c>
      <c r="V7" s="351" t="s">
        <v>480</v>
      </c>
      <c r="W7" s="357" t="s">
        <v>372</v>
      </c>
      <c r="X7" s="351" t="s">
        <v>350</v>
      </c>
      <c r="Y7" s="353"/>
      <c r="Z7" s="353" t="s">
        <v>352</v>
      </c>
      <c r="AA7" s="354" t="s">
        <v>389</v>
      </c>
      <c r="AB7" s="354" t="s">
        <v>30</v>
      </c>
      <c r="AC7" s="352">
        <v>51.49</v>
      </c>
      <c r="AD7" s="352">
        <v>2.41</v>
      </c>
      <c r="AE7" s="353"/>
      <c r="AF7" s="353"/>
      <c r="AG7" s="353"/>
      <c r="AH7" s="355" t="s">
        <v>352</v>
      </c>
      <c r="AI7" s="356" t="s">
        <v>350</v>
      </c>
      <c r="AJ7" s="369" t="s">
        <v>481</v>
      </c>
      <c r="AK7" s="345" t="s">
        <v>350</v>
      </c>
    </row>
    <row r="8" spans="2:38" x14ac:dyDescent="0.25">
      <c r="B8" s="15">
        <v>0.65</v>
      </c>
      <c r="C8" s="310">
        <f>+ROUND(B8*$C$4,1)</f>
        <v>0.8</v>
      </c>
      <c r="D8" s="311">
        <v>2011</v>
      </c>
      <c r="E8" s="318">
        <v>10500</v>
      </c>
      <c r="F8" s="312">
        <f t="shared" ref="F8:F31" si="1">+E8/0.702804*$F$4*(1+$F$1)*(1+$F$2)</f>
        <v>16081.581778134445</v>
      </c>
      <c r="G8" s="322"/>
      <c r="H8" s="323"/>
      <c r="I8" s="323"/>
      <c r="J8" s="323"/>
      <c r="K8" s="323"/>
      <c r="L8" s="323"/>
      <c r="M8" s="323">
        <f>+F8</f>
        <v>16081.581778134445</v>
      </c>
      <c r="N8" s="323"/>
      <c r="O8" s="323"/>
      <c r="P8" s="323"/>
      <c r="Q8" s="323"/>
      <c r="R8" s="323"/>
      <c r="S8" s="327"/>
      <c r="T8" s="330">
        <f>+M8*$T$36/$M$36</f>
        <v>18727.12696702444</v>
      </c>
      <c r="V8" s="347" t="str">
        <f>+'5_Prioritate-1_Pielikums'!F5</f>
        <v>Aglonas ūdensapgādes sistēma Jaunciema iela</v>
      </c>
      <c r="W8" s="358">
        <f>+'5_Prioritate-1_Pielikums'!T5</f>
        <v>45.5</v>
      </c>
      <c r="X8" s="359">
        <f t="shared" ref="X8:X27" si="2">ROUND(TREND($T$8:$T$31,$C$8:$C$31,W8,1),0)</f>
        <v>45766</v>
      </c>
      <c r="Y8" s="359"/>
      <c r="Z8" s="360">
        <f>+ROUND(W8,1)</f>
        <v>45.5</v>
      </c>
      <c r="AA8" s="359">
        <f t="shared" ref="AA8:AA27" si="3">+ROUNDUP(LOOKUP(Z8,$C$8:$C$31,$T$8:$T$31),0)</f>
        <v>46050</v>
      </c>
      <c r="AB8" s="359">
        <f>+'5_Prioritate-1_Pielikums'!Q5</f>
        <v>26</v>
      </c>
      <c r="AC8" s="361">
        <f>+AB8*$AC$7/$AD$7</f>
        <v>555.49377593360998</v>
      </c>
      <c r="AD8" s="347"/>
      <c r="AE8" s="347"/>
      <c r="AF8" s="347"/>
      <c r="AG8" s="347"/>
      <c r="AH8" s="362">
        <f>+Z8</f>
        <v>45.5</v>
      </c>
      <c r="AI8" s="348">
        <f>+$AI$3*Z8+$AI$2</f>
        <v>45766.253650453931</v>
      </c>
      <c r="AJ8" s="363">
        <f>ROUND($AJ$2*EXP(1)^($AJ$3*Z8),0)</f>
        <v>40087</v>
      </c>
      <c r="AK8" s="346">
        <f>+$AK$2*LN(AH8)+$AK$3</f>
        <v>62059.61826784366</v>
      </c>
    </row>
    <row r="9" spans="2:38" x14ac:dyDescent="0.25">
      <c r="B9" s="15">
        <v>1.6773972602739706</v>
      </c>
      <c r="C9" s="310">
        <f t="shared" ref="C9:C31" si="4">+ROUND(B9*$C$4,1)</f>
        <v>2.2000000000000002</v>
      </c>
      <c r="D9" s="311">
        <v>2009</v>
      </c>
      <c r="E9" s="318">
        <v>13000</v>
      </c>
      <c r="F9" s="312">
        <f t="shared" si="1"/>
        <v>19910.529820547406</v>
      </c>
      <c r="G9" s="322"/>
      <c r="H9" s="323"/>
      <c r="I9" s="323"/>
      <c r="J9" s="323"/>
      <c r="K9" s="323">
        <f>+F9</f>
        <v>19910.529820547406</v>
      </c>
      <c r="L9" s="323"/>
      <c r="M9" s="323"/>
      <c r="N9" s="323"/>
      <c r="O9" s="323"/>
      <c r="P9" s="323"/>
      <c r="Q9" s="323"/>
      <c r="R9" s="323"/>
      <c r="S9" s="327"/>
      <c r="T9" s="330">
        <f>+K9*$T$36/$K$36</f>
        <v>23021.950236234235</v>
      </c>
      <c r="V9" s="347" t="str">
        <f>+'5_Prioritate-1_Pielikums'!F6</f>
        <v>Bārtas ūdensapgādes sistēma Birzes Puļķi</v>
      </c>
      <c r="W9" s="358">
        <f>+'5_Prioritate-1_Pielikums'!T6</f>
        <v>15.600000000000001</v>
      </c>
      <c r="X9" s="359">
        <f t="shared" si="2"/>
        <v>37180</v>
      </c>
      <c r="Y9" s="359"/>
      <c r="Z9" s="360">
        <f t="shared" ref="Z9:Z27" si="5">+ROUND(W9,1)</f>
        <v>15.6</v>
      </c>
      <c r="AA9" s="359">
        <f t="shared" si="3"/>
        <v>32408</v>
      </c>
      <c r="AB9" s="359">
        <f>+'5_Prioritate-1_Pielikums'!Q6</f>
        <v>25</v>
      </c>
      <c r="AC9" s="361">
        <f t="shared" ref="AC9:AC27" si="6">+AB9*$AC$7/$AD$7</f>
        <v>534.12863070539413</v>
      </c>
      <c r="AD9" s="347"/>
      <c r="AE9" s="347"/>
      <c r="AF9" s="347"/>
      <c r="AG9" s="347"/>
      <c r="AH9" s="362">
        <f t="shared" ref="AH9:AH58" si="7">+Z9</f>
        <v>15.6</v>
      </c>
      <c r="AI9" s="348">
        <f t="shared" ref="AI9:AI58" si="8">+$AI$3*Z9+$AI$2</f>
        <v>37179.615890560621</v>
      </c>
      <c r="AJ9" s="363">
        <f t="shared" ref="AJ9:AJ58" si="9">ROUND($AJ$2*EXP(1)^($AJ$3*Z9),0)</f>
        <v>34916</v>
      </c>
      <c r="AK9" s="346">
        <f t="shared" ref="AK9:AK58" si="10">+$AK$2*LN(AH9)+$AK$3</f>
        <v>47028.61647640897</v>
      </c>
    </row>
    <row r="10" spans="2:38" x14ac:dyDescent="0.25">
      <c r="B10" s="15">
        <v>3</v>
      </c>
      <c r="C10" s="310">
        <f t="shared" si="4"/>
        <v>3.9</v>
      </c>
      <c r="D10" s="311">
        <v>2009</v>
      </c>
      <c r="E10" s="318">
        <v>12400</v>
      </c>
      <c r="F10" s="312">
        <f t="shared" si="1"/>
        <v>18991.582290368297</v>
      </c>
      <c r="G10" s="322"/>
      <c r="H10" s="323"/>
      <c r="I10" s="323"/>
      <c r="J10" s="323"/>
      <c r="K10" s="323">
        <f t="shared" ref="K10:K19" si="11">+F10</f>
        <v>18991.582290368297</v>
      </c>
      <c r="L10" s="323"/>
      <c r="M10" s="323"/>
      <c r="N10" s="323"/>
      <c r="O10" s="323"/>
      <c r="P10" s="323"/>
      <c r="Q10" s="323"/>
      <c r="R10" s="323"/>
      <c r="S10" s="327"/>
      <c r="T10" s="330">
        <f>+K10*$T$36/$K$36</f>
        <v>21959.398686869583</v>
      </c>
      <c r="V10" s="347" t="str">
        <f>+'5_Prioritate-1_Pielikums'!F7</f>
        <v>Bebru ūdensapgādes sistēma</v>
      </c>
      <c r="W10" s="358">
        <f>+'5_Prioritate-1_Pielikums'!T7</f>
        <v>84.5</v>
      </c>
      <c r="X10" s="359">
        <f t="shared" si="2"/>
        <v>56966</v>
      </c>
      <c r="Y10" s="359"/>
      <c r="Z10" s="360">
        <f t="shared" si="5"/>
        <v>84.5</v>
      </c>
      <c r="AA10" s="359">
        <f t="shared" si="3"/>
        <v>46050</v>
      </c>
      <c r="AB10" s="359">
        <f>+'5_Prioritate-1_Pielikums'!Q7</f>
        <v>530</v>
      </c>
      <c r="AC10" s="361">
        <f t="shared" si="6"/>
        <v>11323.526970954357</v>
      </c>
      <c r="AD10" s="347"/>
      <c r="AE10" s="347"/>
      <c r="AF10" s="347"/>
      <c r="AG10" s="347"/>
      <c r="AH10" s="362">
        <f t="shared" si="7"/>
        <v>84.5</v>
      </c>
      <c r="AI10" s="348">
        <f t="shared" si="8"/>
        <v>56966.215945966949</v>
      </c>
      <c r="AJ10" s="363">
        <f t="shared" si="9"/>
        <v>48001</v>
      </c>
      <c r="AK10" s="346">
        <f t="shared" si="10"/>
        <v>70752.087887206348</v>
      </c>
    </row>
    <row r="11" spans="2:38" x14ac:dyDescent="0.25">
      <c r="B11" s="15">
        <v>3</v>
      </c>
      <c r="C11" s="310">
        <f t="shared" si="4"/>
        <v>3.9</v>
      </c>
      <c r="D11" s="311">
        <v>2009</v>
      </c>
      <c r="E11" s="318">
        <v>22596</v>
      </c>
      <c r="F11" s="312">
        <f t="shared" si="1"/>
        <v>34607.563986545319</v>
      </c>
      <c r="G11" s="322"/>
      <c r="H11" s="323"/>
      <c r="I11" s="323"/>
      <c r="J11" s="323"/>
      <c r="K11" s="323">
        <f t="shared" si="11"/>
        <v>34607.563986545319</v>
      </c>
      <c r="L11" s="323"/>
      <c r="M11" s="323"/>
      <c r="N11" s="323"/>
      <c r="O11" s="323"/>
      <c r="P11" s="323"/>
      <c r="Q11" s="323"/>
      <c r="R11" s="323"/>
      <c r="S11" s="327"/>
      <c r="T11" s="330">
        <f>+K11*$T$36/$K$36</f>
        <v>40015.691349072978</v>
      </c>
      <c r="V11" s="347" t="str">
        <f>+'5_Prioritate-1_Pielikums'!F8</f>
        <v>Beļavas ūdensapgādes sistēma Letes</v>
      </c>
      <c r="W11" s="358">
        <f>+'5_Prioritate-1_Pielikums'!T8</f>
        <v>13</v>
      </c>
      <c r="X11" s="359">
        <f t="shared" si="2"/>
        <v>36433</v>
      </c>
      <c r="Y11" s="359"/>
      <c r="Z11" s="360">
        <f t="shared" si="5"/>
        <v>13</v>
      </c>
      <c r="AA11" s="359">
        <f t="shared" si="3"/>
        <v>32408</v>
      </c>
      <c r="AB11" s="359">
        <f>+'5_Prioritate-1_Pielikums'!Q8</f>
        <v>70</v>
      </c>
      <c r="AC11" s="361">
        <f t="shared" si="6"/>
        <v>1495.5601659751037</v>
      </c>
      <c r="AD11" s="347"/>
      <c r="AE11" s="347"/>
      <c r="AF11" s="347"/>
      <c r="AG11" s="347"/>
      <c r="AH11" s="362">
        <f t="shared" si="7"/>
        <v>13</v>
      </c>
      <c r="AI11" s="348">
        <f t="shared" si="8"/>
        <v>36432.951737526419</v>
      </c>
      <c r="AJ11" s="363">
        <f t="shared" si="9"/>
        <v>34499</v>
      </c>
      <c r="AK11" s="346">
        <f t="shared" si="10"/>
        <v>44468.480427084003</v>
      </c>
    </row>
    <row r="12" spans="2:38" x14ac:dyDescent="0.25">
      <c r="B12" s="15">
        <v>3.2</v>
      </c>
      <c r="C12" s="310">
        <f t="shared" si="4"/>
        <v>4.2</v>
      </c>
      <c r="D12" s="311">
        <f>+D8</f>
        <v>2011</v>
      </c>
      <c r="E12" s="318">
        <v>18000</v>
      </c>
      <c r="F12" s="312">
        <f t="shared" si="1"/>
        <v>27568.425905373333</v>
      </c>
      <c r="G12" s="322"/>
      <c r="H12" s="323"/>
      <c r="I12" s="323"/>
      <c r="J12" s="323"/>
      <c r="K12" s="323"/>
      <c r="L12" s="323"/>
      <c r="M12" s="323">
        <f>+F12</f>
        <v>27568.425905373333</v>
      </c>
      <c r="N12" s="323"/>
      <c r="O12" s="323"/>
      <c r="P12" s="323"/>
      <c r="Q12" s="323"/>
      <c r="R12" s="323"/>
      <c r="S12" s="327"/>
      <c r="T12" s="330">
        <f>+M12*$T$36/$M$36</f>
        <v>32103.646229184749</v>
      </c>
      <c r="V12" s="347" t="str">
        <f>+'5_Prioritate-1_Pielikums'!F9</f>
        <v>Birkineļu ūdensapgādes sistēma</v>
      </c>
      <c r="W12" s="358">
        <f>+'5_Prioritate-1_Pielikums'!T9</f>
        <v>3.9000000000000004</v>
      </c>
      <c r="X12" s="359">
        <f t="shared" si="2"/>
        <v>33820</v>
      </c>
      <c r="Y12" s="359"/>
      <c r="Z12" s="360">
        <f t="shared" si="5"/>
        <v>3.9</v>
      </c>
      <c r="AA12" s="359">
        <f t="shared" si="3"/>
        <v>40016</v>
      </c>
      <c r="AB12" s="359">
        <f>+'5_Prioritate-1_Pielikums'!Q9</f>
        <v>38</v>
      </c>
      <c r="AC12" s="361">
        <f t="shared" si="6"/>
        <v>811.87551867219918</v>
      </c>
      <c r="AD12" s="347"/>
      <c r="AE12" s="347"/>
      <c r="AF12" s="347"/>
      <c r="AG12" s="347"/>
      <c r="AH12" s="362">
        <f t="shared" si="7"/>
        <v>3.9</v>
      </c>
      <c r="AI12" s="348">
        <f t="shared" si="8"/>
        <v>33819.627201906711</v>
      </c>
      <c r="AJ12" s="363">
        <f t="shared" si="9"/>
        <v>33079</v>
      </c>
      <c r="AK12" s="346">
        <f t="shared" si="10"/>
        <v>27562.447849460128</v>
      </c>
    </row>
    <row r="13" spans="2:38" x14ac:dyDescent="0.25">
      <c r="B13" s="15">
        <v>4</v>
      </c>
      <c r="C13" s="310">
        <f t="shared" si="4"/>
        <v>5.2</v>
      </c>
      <c r="D13" s="311">
        <f>+D11</f>
        <v>2009</v>
      </c>
      <c r="E13" s="318">
        <v>24500</v>
      </c>
      <c r="F13" s="312">
        <f t="shared" si="1"/>
        <v>37523.690815647038</v>
      </c>
      <c r="G13" s="322"/>
      <c r="H13" s="323"/>
      <c r="I13" s="323"/>
      <c r="J13" s="323"/>
      <c r="K13" s="323">
        <f>+F13</f>
        <v>37523.690815647038</v>
      </c>
      <c r="L13" s="323"/>
      <c r="M13" s="323"/>
      <c r="N13" s="323"/>
      <c r="O13" s="323"/>
      <c r="P13" s="323"/>
      <c r="Q13" s="323"/>
      <c r="R13" s="323"/>
      <c r="S13" s="327"/>
      <c r="T13" s="330">
        <f>+K13*$T$36/$K$36</f>
        <v>43387.521599056832</v>
      </c>
      <c r="V13" s="347" t="str">
        <f>+'5_Prioritate-1_Pielikums'!F10</f>
        <v>Blontu ūdensapgādes sistēma Kundziņi</v>
      </c>
      <c r="W13" s="358">
        <f>+'5_Prioritate-1_Pielikums'!T10</f>
        <v>5.2</v>
      </c>
      <c r="X13" s="359">
        <f t="shared" si="2"/>
        <v>34193</v>
      </c>
      <c r="Y13" s="359"/>
      <c r="Z13" s="360">
        <f t="shared" si="5"/>
        <v>5.2</v>
      </c>
      <c r="AA13" s="359">
        <f t="shared" si="3"/>
        <v>43388</v>
      </c>
      <c r="AB13" s="359">
        <f>+'5_Prioritate-1_Pielikums'!Q10</f>
        <v>14</v>
      </c>
      <c r="AC13" s="361">
        <f t="shared" si="6"/>
        <v>299.11203319502073</v>
      </c>
      <c r="AD13" s="347"/>
      <c r="AE13" s="347"/>
      <c r="AF13" s="347"/>
      <c r="AG13" s="347"/>
      <c r="AH13" s="362">
        <f t="shared" si="7"/>
        <v>5.2</v>
      </c>
      <c r="AI13" s="348">
        <f t="shared" si="8"/>
        <v>34192.959278423812</v>
      </c>
      <c r="AJ13" s="363">
        <f t="shared" si="9"/>
        <v>33278</v>
      </c>
      <c r="AK13" s="346">
        <f t="shared" si="10"/>
        <v>31602.042823194693</v>
      </c>
    </row>
    <row r="14" spans="2:38" x14ac:dyDescent="0.25">
      <c r="B14" s="15">
        <v>4.375</v>
      </c>
      <c r="C14" s="310">
        <f t="shared" si="4"/>
        <v>5.7</v>
      </c>
      <c r="D14" s="311">
        <f>+D13</f>
        <v>2009</v>
      </c>
      <c r="E14" s="318">
        <v>15300</v>
      </c>
      <c r="F14" s="312">
        <f t="shared" si="1"/>
        <v>23433.162019567331</v>
      </c>
      <c r="G14" s="322"/>
      <c r="H14" s="323"/>
      <c r="I14" s="323"/>
      <c r="J14" s="323"/>
      <c r="K14" s="323">
        <f t="shared" si="11"/>
        <v>23433.162019567331</v>
      </c>
      <c r="L14" s="323"/>
      <c r="M14" s="323"/>
      <c r="N14" s="323"/>
      <c r="O14" s="323"/>
      <c r="P14" s="323"/>
      <c r="Q14" s="323"/>
      <c r="R14" s="323"/>
      <c r="S14" s="327"/>
      <c r="T14" s="330">
        <f>+K14*$T$36/$K$36</f>
        <v>27095.064508798758</v>
      </c>
      <c r="V14" s="347" t="str">
        <f>+'5_Prioritate-1_Pielikums'!F11</f>
        <v>Drabešu ūdensapgādes sistēma Kārļi</v>
      </c>
      <c r="W14" s="358">
        <f>+'5_Prioritate-1_Pielikums'!T11</f>
        <v>7.8000000000000007</v>
      </c>
      <c r="X14" s="359">
        <f t="shared" si="2"/>
        <v>34940</v>
      </c>
      <c r="Y14" s="359"/>
      <c r="Z14" s="360">
        <f t="shared" si="5"/>
        <v>7.8</v>
      </c>
      <c r="AA14" s="359">
        <f t="shared" si="3"/>
        <v>29447</v>
      </c>
      <c r="AB14" s="359">
        <f>+'5_Prioritate-1_Pielikums'!Q11</f>
        <v>75</v>
      </c>
      <c r="AC14" s="361">
        <f t="shared" si="6"/>
        <v>1602.3858921161825</v>
      </c>
      <c r="AD14" s="347"/>
      <c r="AE14" s="347"/>
      <c r="AF14" s="347"/>
      <c r="AG14" s="347"/>
      <c r="AH14" s="362">
        <f t="shared" si="7"/>
        <v>7.8</v>
      </c>
      <c r="AI14" s="348">
        <f t="shared" si="8"/>
        <v>34939.623431458014</v>
      </c>
      <c r="AJ14" s="363">
        <f t="shared" si="9"/>
        <v>33680</v>
      </c>
      <c r="AK14" s="346">
        <f t="shared" si="10"/>
        <v>37295.532162934556</v>
      </c>
    </row>
    <row r="15" spans="2:38" x14ac:dyDescent="0.25">
      <c r="B15" s="15">
        <v>4.375</v>
      </c>
      <c r="C15" s="310">
        <f t="shared" si="4"/>
        <v>5.7</v>
      </c>
      <c r="D15" s="311">
        <f>+D14</f>
        <v>2009</v>
      </c>
      <c r="E15" s="318">
        <v>29650</v>
      </c>
      <c r="F15" s="312">
        <f t="shared" si="1"/>
        <v>45411.323783017739</v>
      </c>
      <c r="G15" s="322"/>
      <c r="H15" s="323"/>
      <c r="I15" s="323"/>
      <c r="J15" s="323"/>
      <c r="K15" s="323">
        <f t="shared" si="11"/>
        <v>45411.323783017739</v>
      </c>
      <c r="L15" s="323"/>
      <c r="M15" s="323"/>
      <c r="N15" s="323"/>
      <c r="O15" s="323"/>
      <c r="P15" s="323"/>
      <c r="Q15" s="323"/>
      <c r="R15" s="323"/>
      <c r="S15" s="327"/>
      <c r="T15" s="330">
        <f>+K15*$T$36/$K$36</f>
        <v>52507.755731103476</v>
      </c>
      <c r="V15" s="347" t="str">
        <f>+'5_Prioritate-1_Pielikums'!F12</f>
        <v>Drabešu ūdensapgādes sistēma Meijermuiža</v>
      </c>
      <c r="W15" s="358">
        <f>+'5_Prioritate-1_Pielikums'!T12</f>
        <v>3.9000000000000004</v>
      </c>
      <c r="X15" s="359">
        <f t="shared" si="2"/>
        <v>33820</v>
      </c>
      <c r="Y15" s="359"/>
      <c r="Z15" s="360">
        <f t="shared" si="5"/>
        <v>3.9</v>
      </c>
      <c r="AA15" s="359">
        <f t="shared" si="3"/>
        <v>40016</v>
      </c>
      <c r="AB15" s="359">
        <f>+'5_Prioritate-1_Pielikums'!Q12</f>
        <v>30</v>
      </c>
      <c r="AC15" s="361">
        <f t="shared" si="6"/>
        <v>640.95435684647305</v>
      </c>
      <c r="AD15" s="347"/>
      <c r="AE15" s="347"/>
      <c r="AF15" s="347"/>
      <c r="AG15" s="347"/>
      <c r="AH15" s="362">
        <f t="shared" si="7"/>
        <v>3.9</v>
      </c>
      <c r="AI15" s="348">
        <f t="shared" si="8"/>
        <v>33819.627201906711</v>
      </c>
      <c r="AJ15" s="363">
        <f t="shared" si="9"/>
        <v>33079</v>
      </c>
      <c r="AK15" s="346">
        <f t="shared" si="10"/>
        <v>27562.447849460128</v>
      </c>
    </row>
    <row r="16" spans="2:38" x14ac:dyDescent="0.25">
      <c r="B16" s="15">
        <v>5</v>
      </c>
      <c r="C16" s="310">
        <f t="shared" si="4"/>
        <v>6.5</v>
      </c>
      <c r="D16" s="311">
        <f>+D12</f>
        <v>2011</v>
      </c>
      <c r="E16" s="318">
        <v>12800</v>
      </c>
      <c r="F16" s="312">
        <f t="shared" si="1"/>
        <v>19604.21397715437</v>
      </c>
      <c r="G16" s="322"/>
      <c r="H16" s="323"/>
      <c r="I16" s="323"/>
      <c r="J16" s="323"/>
      <c r="K16" s="323"/>
      <c r="L16" s="323"/>
      <c r="M16" s="323">
        <f>+F16</f>
        <v>19604.21397715437</v>
      </c>
      <c r="N16" s="323"/>
      <c r="O16" s="323"/>
      <c r="P16" s="323"/>
      <c r="Q16" s="323"/>
      <c r="R16" s="323"/>
      <c r="S16" s="327"/>
      <c r="T16" s="330">
        <f>+M16*$T$36/$M$36</f>
        <v>22829.259540753599</v>
      </c>
      <c r="V16" s="347" t="str">
        <f>+'5_Prioritate-1_Pielikums'!F13</f>
        <v>Drabešu ūdensapgādes sistēma Rāceņi</v>
      </c>
      <c r="W16" s="358">
        <f>+'5_Prioritate-1_Pielikums'!T13</f>
        <v>1.3</v>
      </c>
      <c r="X16" s="359">
        <f t="shared" si="2"/>
        <v>33073</v>
      </c>
      <c r="Y16" s="359"/>
      <c r="Z16" s="360">
        <f t="shared" si="5"/>
        <v>1.3</v>
      </c>
      <c r="AA16" s="359">
        <f t="shared" si="3"/>
        <v>18728</v>
      </c>
      <c r="AB16" s="359">
        <f>+'5_Prioritate-1_Pielikums'!Q13</f>
        <v>17</v>
      </c>
      <c r="AC16" s="361">
        <f t="shared" si="6"/>
        <v>363.20746887966806</v>
      </c>
      <c r="AD16" s="347"/>
      <c r="AE16" s="347"/>
      <c r="AF16" s="347"/>
      <c r="AG16" s="347"/>
      <c r="AH16" s="362">
        <f t="shared" si="7"/>
        <v>1.3</v>
      </c>
      <c r="AI16" s="348">
        <f t="shared" si="8"/>
        <v>33072.963048872509</v>
      </c>
      <c r="AJ16" s="363">
        <f t="shared" si="9"/>
        <v>32684</v>
      </c>
      <c r="AK16" s="346">
        <f t="shared" si="10"/>
        <v>12135.874196245855</v>
      </c>
    </row>
    <row r="17" spans="2:37" x14ac:dyDescent="0.25">
      <c r="B17" s="15">
        <v>5</v>
      </c>
      <c r="C17" s="310">
        <f t="shared" si="4"/>
        <v>6.5</v>
      </c>
      <c r="D17" s="311">
        <f>+D15</f>
        <v>2009</v>
      </c>
      <c r="E17" s="318">
        <v>14560</v>
      </c>
      <c r="F17" s="312">
        <f t="shared" si="1"/>
        <v>22299.793399013099</v>
      </c>
      <c r="G17" s="322"/>
      <c r="H17" s="323"/>
      <c r="I17" s="323"/>
      <c r="J17" s="323"/>
      <c r="K17" s="323">
        <f t="shared" si="11"/>
        <v>22299.793399013099</v>
      </c>
      <c r="L17" s="323"/>
      <c r="M17" s="323"/>
      <c r="N17" s="323"/>
      <c r="O17" s="323"/>
      <c r="P17" s="323"/>
      <c r="Q17" s="323"/>
      <c r="R17" s="323"/>
      <c r="S17" s="327"/>
      <c r="T17" s="330">
        <f>+K17*$T$36/$K$36</f>
        <v>25784.58426458235</v>
      </c>
      <c r="V17" s="347" t="str">
        <f>+'5_Prioritate-1_Pielikums'!F14</f>
        <v>Durbes ūdensapgādes sistēma Līguti</v>
      </c>
      <c r="W17" s="358">
        <f>+'5_Prioritate-1_Pielikums'!T14</f>
        <v>1.3390000000000002</v>
      </c>
      <c r="X17" s="359">
        <f t="shared" si="2"/>
        <v>33084</v>
      </c>
      <c r="Y17" s="359"/>
      <c r="Z17" s="360">
        <f t="shared" si="5"/>
        <v>1.3</v>
      </c>
      <c r="AA17" s="359">
        <f t="shared" si="3"/>
        <v>18728</v>
      </c>
      <c r="AB17" s="359">
        <f>+'5_Prioritate-1_Pielikums'!Q14</f>
        <v>25</v>
      </c>
      <c r="AC17" s="361">
        <f t="shared" si="6"/>
        <v>534.12863070539413</v>
      </c>
      <c r="AD17" s="347"/>
      <c r="AE17" s="347"/>
      <c r="AF17" s="347"/>
      <c r="AG17" s="347"/>
      <c r="AH17" s="362">
        <f t="shared" si="7"/>
        <v>1.3</v>
      </c>
      <c r="AI17" s="348">
        <f t="shared" si="8"/>
        <v>33072.963048872509</v>
      </c>
      <c r="AJ17" s="363">
        <f t="shared" si="9"/>
        <v>32684</v>
      </c>
      <c r="AK17" s="346">
        <f t="shared" si="10"/>
        <v>12135.874196245855</v>
      </c>
    </row>
    <row r="18" spans="2:37" x14ac:dyDescent="0.25">
      <c r="B18" s="15">
        <v>5.5</v>
      </c>
      <c r="C18" s="310">
        <f t="shared" si="4"/>
        <v>7.2</v>
      </c>
      <c r="D18" s="311">
        <f>+D16</f>
        <v>2011</v>
      </c>
      <c r="E18" s="318">
        <v>16510</v>
      </c>
      <c r="F18" s="312">
        <f t="shared" si="1"/>
        <v>25286.372872095206</v>
      </c>
      <c r="G18" s="322"/>
      <c r="H18" s="323"/>
      <c r="I18" s="323"/>
      <c r="J18" s="323"/>
      <c r="K18" s="323"/>
      <c r="L18" s="323"/>
      <c r="M18" s="323">
        <f>+F18</f>
        <v>25286.372872095206</v>
      </c>
      <c r="N18" s="323"/>
      <c r="O18" s="323"/>
      <c r="P18" s="323"/>
      <c r="Q18" s="323"/>
      <c r="R18" s="323"/>
      <c r="S18" s="327"/>
      <c r="T18" s="330">
        <f>+M18*$T$36/$M$36</f>
        <v>29446.177735768899</v>
      </c>
      <c r="V18" s="347" t="str">
        <f>+'5_Prioritate-1_Pielikums'!F15</f>
        <v>Gaviezes ūdensapgādes sistēma Centrs</v>
      </c>
      <c r="W18" s="358">
        <f>+'5_Prioritate-1_Pielikums'!T15</f>
        <v>27.3</v>
      </c>
      <c r="X18" s="359">
        <f t="shared" si="2"/>
        <v>40540</v>
      </c>
      <c r="Y18" s="359"/>
      <c r="Z18" s="360">
        <f t="shared" si="5"/>
        <v>27.3</v>
      </c>
      <c r="AA18" s="359">
        <f t="shared" si="3"/>
        <v>78435</v>
      </c>
      <c r="AB18" s="359">
        <f>+'5_Prioritate-1_Pielikums'!Q15</f>
        <v>215</v>
      </c>
      <c r="AC18" s="361">
        <f t="shared" si="6"/>
        <v>4593.5062240663901</v>
      </c>
      <c r="AD18" s="347"/>
      <c r="AE18" s="347"/>
      <c r="AF18" s="347"/>
      <c r="AG18" s="347"/>
      <c r="AH18" s="362">
        <f t="shared" si="7"/>
        <v>27.3</v>
      </c>
      <c r="AI18" s="348">
        <f t="shared" si="8"/>
        <v>40539.604579214523</v>
      </c>
      <c r="AJ18" s="363">
        <f t="shared" si="9"/>
        <v>36855</v>
      </c>
      <c r="AK18" s="346">
        <f t="shared" si="10"/>
        <v>54886.670003694206</v>
      </c>
    </row>
    <row r="19" spans="2:37" x14ac:dyDescent="0.25">
      <c r="B19" s="15">
        <v>7.5</v>
      </c>
      <c r="C19" s="310">
        <f t="shared" si="4"/>
        <v>9.8000000000000007</v>
      </c>
      <c r="D19" s="311">
        <f>+D17</f>
        <v>2009</v>
      </c>
      <c r="E19" s="318">
        <v>26300</v>
      </c>
      <c r="F19" s="312">
        <f t="shared" si="1"/>
        <v>40280.533406184375</v>
      </c>
      <c r="G19" s="322"/>
      <c r="H19" s="323"/>
      <c r="I19" s="323"/>
      <c r="J19" s="323"/>
      <c r="K19" s="323">
        <f t="shared" si="11"/>
        <v>40280.533406184375</v>
      </c>
      <c r="L19" s="323"/>
      <c r="M19" s="323"/>
      <c r="N19" s="323"/>
      <c r="O19" s="323"/>
      <c r="P19" s="323"/>
      <c r="Q19" s="323"/>
      <c r="R19" s="323"/>
      <c r="S19" s="327"/>
      <c r="T19" s="330">
        <f>+K19*$T$36/$K$36</f>
        <v>46575.176247150805</v>
      </c>
      <c r="V19" s="347" t="str">
        <f>+'5_Prioritate-1_Pielikums'!F16</f>
        <v>Gramzdas ūdensapgādes sistēma Liepas</v>
      </c>
      <c r="W19" s="358">
        <f>+'5_Prioritate-1_Pielikums'!T16</f>
        <v>3.9000000000000004</v>
      </c>
      <c r="X19" s="359">
        <f t="shared" si="2"/>
        <v>33820</v>
      </c>
      <c r="Y19" s="359"/>
      <c r="Z19" s="360">
        <f t="shared" si="5"/>
        <v>3.9</v>
      </c>
      <c r="AA19" s="359">
        <f t="shared" si="3"/>
        <v>40016</v>
      </c>
      <c r="AB19" s="359">
        <f>+'5_Prioritate-1_Pielikums'!Q16</f>
        <v>18</v>
      </c>
      <c r="AC19" s="361">
        <f t="shared" si="6"/>
        <v>384.57261410788379</v>
      </c>
      <c r="AD19" s="347"/>
      <c r="AE19" s="347"/>
      <c r="AF19" s="347"/>
      <c r="AG19" s="347"/>
      <c r="AH19" s="362">
        <f t="shared" si="7"/>
        <v>3.9</v>
      </c>
      <c r="AI19" s="348">
        <f t="shared" si="8"/>
        <v>33819.627201906711</v>
      </c>
      <c r="AJ19" s="363">
        <f t="shared" si="9"/>
        <v>33079</v>
      </c>
      <c r="AK19" s="346">
        <f t="shared" si="10"/>
        <v>27562.447849460128</v>
      </c>
    </row>
    <row r="20" spans="2:37" x14ac:dyDescent="0.25">
      <c r="B20" s="15">
        <v>10</v>
      </c>
      <c r="C20" s="310">
        <f t="shared" si="4"/>
        <v>13</v>
      </c>
      <c r="D20" s="311">
        <f>+D19</f>
        <v>2009</v>
      </c>
      <c r="E20" s="318">
        <v>18300</v>
      </c>
      <c r="F20" s="312">
        <f t="shared" si="1"/>
        <v>28027.899670462888</v>
      </c>
      <c r="G20" s="322"/>
      <c r="H20" s="323"/>
      <c r="I20" s="323"/>
      <c r="J20" s="323"/>
      <c r="K20" s="323">
        <f>+F20</f>
        <v>28027.899670462888</v>
      </c>
      <c r="L20" s="323"/>
      <c r="M20" s="323"/>
      <c r="N20" s="323"/>
      <c r="O20" s="323"/>
      <c r="P20" s="323"/>
      <c r="Q20" s="323"/>
      <c r="R20" s="323"/>
      <c r="S20" s="327"/>
      <c r="T20" s="330">
        <f>+K20*$T$36/$K$36</f>
        <v>32407.822255622046</v>
      </c>
      <c r="V20" s="347" t="str">
        <f>+'5_Prioritate-1_Pielikums'!F17</f>
        <v>Grobiņas ūdensapgādes sistēma Cimdenieki</v>
      </c>
      <c r="W20" s="358">
        <f>+'5_Prioritate-1_Pielikums'!T17</f>
        <v>33.800000000000004</v>
      </c>
      <c r="X20" s="359">
        <f t="shared" si="2"/>
        <v>42406</v>
      </c>
      <c r="Y20" s="359"/>
      <c r="Z20" s="360">
        <f t="shared" si="5"/>
        <v>33.799999999999997</v>
      </c>
      <c r="AA20" s="359">
        <f t="shared" si="3"/>
        <v>78435</v>
      </c>
      <c r="AB20" s="359">
        <f>+'5_Prioritate-1_Pielikums'!Q17</f>
        <v>330</v>
      </c>
      <c r="AC20" s="361">
        <f t="shared" si="6"/>
        <v>7050.4979253112033</v>
      </c>
      <c r="AD20" s="347"/>
      <c r="AE20" s="347"/>
      <c r="AF20" s="347"/>
      <c r="AG20" s="347"/>
      <c r="AH20" s="362">
        <f t="shared" si="7"/>
        <v>33.799999999999997</v>
      </c>
      <c r="AI20" s="348">
        <f t="shared" si="8"/>
        <v>42406.264961800029</v>
      </c>
      <c r="AJ20" s="363">
        <f t="shared" si="9"/>
        <v>37978</v>
      </c>
      <c r="AK20" s="346">
        <f t="shared" si="10"/>
        <v>57885.650283317045</v>
      </c>
    </row>
    <row r="21" spans="2:37" x14ac:dyDescent="0.25">
      <c r="B21" s="15">
        <v>14</v>
      </c>
      <c r="C21" s="310">
        <f t="shared" si="4"/>
        <v>18.2</v>
      </c>
      <c r="D21" s="311">
        <v>2012</v>
      </c>
      <c r="E21" s="318">
        <v>21000</v>
      </c>
      <c r="F21" s="312">
        <f t="shared" si="1"/>
        <v>32163.16355626889</v>
      </c>
      <c r="G21" s="322"/>
      <c r="H21" s="323"/>
      <c r="I21" s="323"/>
      <c r="J21" s="323"/>
      <c r="K21" s="323"/>
      <c r="L21" s="323"/>
      <c r="M21" s="323"/>
      <c r="N21" s="323">
        <f>+F21</f>
        <v>32163.16355626889</v>
      </c>
      <c r="O21" s="323"/>
      <c r="P21" s="323"/>
      <c r="Q21" s="323"/>
      <c r="R21" s="323"/>
      <c r="S21" s="327"/>
      <c r="T21" s="330">
        <f>+N21*$T$36/$N$36</f>
        <v>35069.356018296829</v>
      </c>
      <c r="V21" s="347" t="str">
        <f>+'5_Prioritate-1_Pielikums'!F18</f>
        <v>Grobiņas ūdensapgādes sistēma Gūžas</v>
      </c>
      <c r="W21" s="358">
        <f>+'5_Prioritate-1_Pielikums'!T18</f>
        <v>14.3</v>
      </c>
      <c r="X21" s="359">
        <f t="shared" si="2"/>
        <v>36806</v>
      </c>
      <c r="Y21" s="359"/>
      <c r="Z21" s="360">
        <f t="shared" si="5"/>
        <v>14.3</v>
      </c>
      <c r="AA21" s="359">
        <f t="shared" si="3"/>
        <v>32408</v>
      </c>
      <c r="AB21" s="359">
        <f>+'5_Prioritate-1_Pielikums'!Q18</f>
        <v>74</v>
      </c>
      <c r="AC21" s="361">
        <f t="shared" si="6"/>
        <v>1581.0207468879669</v>
      </c>
      <c r="AD21" s="347"/>
      <c r="AE21" s="347"/>
      <c r="AF21" s="347"/>
      <c r="AG21" s="347"/>
      <c r="AH21" s="362">
        <f t="shared" si="7"/>
        <v>14.3</v>
      </c>
      <c r="AI21" s="348">
        <f t="shared" si="8"/>
        <v>36806.28381404352</v>
      </c>
      <c r="AJ21" s="363">
        <f t="shared" si="9"/>
        <v>34707</v>
      </c>
      <c r="AK21" s="346">
        <f t="shared" si="10"/>
        <v>45806.813817141956</v>
      </c>
    </row>
    <row r="22" spans="2:37" x14ac:dyDescent="0.25">
      <c r="B22" s="15">
        <v>15</v>
      </c>
      <c r="C22" s="310">
        <f t="shared" si="4"/>
        <v>19.5</v>
      </c>
      <c r="D22" s="311">
        <f>+D20</f>
        <v>2009</v>
      </c>
      <c r="E22" s="318">
        <v>44290</v>
      </c>
      <c r="F22" s="312">
        <f t="shared" si="1"/>
        <v>67833.643519388061</v>
      </c>
      <c r="G22" s="322"/>
      <c r="H22" s="323"/>
      <c r="I22" s="323"/>
      <c r="J22" s="323"/>
      <c r="K22" s="323">
        <f>+F22</f>
        <v>67833.643519388061</v>
      </c>
      <c r="L22" s="323"/>
      <c r="M22" s="323"/>
      <c r="N22" s="323"/>
      <c r="O22" s="323"/>
      <c r="P22" s="323"/>
      <c r="Q22" s="323"/>
      <c r="R22" s="323"/>
      <c r="S22" s="327"/>
      <c r="T22" s="330">
        <f>+K22*$T$36/$K$36</f>
        <v>78434.013535601116</v>
      </c>
      <c r="V22" s="347" t="str">
        <f>+'5_Prioritate-1_Pielikums'!F19</f>
        <v>Grobiņas ūdensapgādes sistēma Krusiņas</v>
      </c>
      <c r="W22" s="358">
        <f>+'5_Prioritate-1_Pielikums'!T19</f>
        <v>2.6</v>
      </c>
      <c r="X22" s="359">
        <f t="shared" si="2"/>
        <v>33446</v>
      </c>
      <c r="Y22" s="359"/>
      <c r="Z22" s="360">
        <f t="shared" si="5"/>
        <v>2.6</v>
      </c>
      <c r="AA22" s="359">
        <f t="shared" si="3"/>
        <v>23022</v>
      </c>
      <c r="AB22" s="359">
        <f>+'5_Prioritate-1_Pielikums'!Q19</f>
        <v>18</v>
      </c>
      <c r="AC22" s="361">
        <f t="shared" si="6"/>
        <v>384.57261410788379</v>
      </c>
      <c r="AD22" s="347"/>
      <c r="AE22" s="347"/>
      <c r="AF22" s="347"/>
      <c r="AG22" s="347"/>
      <c r="AH22" s="362">
        <f t="shared" si="7"/>
        <v>2.6</v>
      </c>
      <c r="AI22" s="348">
        <f t="shared" si="8"/>
        <v>33446.29512538961</v>
      </c>
      <c r="AJ22" s="363">
        <f t="shared" si="9"/>
        <v>32881</v>
      </c>
      <c r="AK22" s="346">
        <f t="shared" si="10"/>
        <v>21868.958509720273</v>
      </c>
    </row>
    <row r="23" spans="2:37" x14ac:dyDescent="0.25">
      <c r="B23" s="15">
        <v>28.3</v>
      </c>
      <c r="C23" s="310">
        <f t="shared" si="4"/>
        <v>36.799999999999997</v>
      </c>
      <c r="D23" s="311">
        <v>2011</v>
      </c>
      <c r="E23" s="318">
        <v>14000</v>
      </c>
      <c r="F23" s="312">
        <f t="shared" si="1"/>
        <v>21442.109037512593</v>
      </c>
      <c r="G23" s="322"/>
      <c r="H23" s="323"/>
      <c r="I23" s="323"/>
      <c r="J23" s="323"/>
      <c r="K23" s="323"/>
      <c r="L23" s="323"/>
      <c r="M23" s="323">
        <f>+F23</f>
        <v>21442.109037512593</v>
      </c>
      <c r="N23" s="323"/>
      <c r="O23" s="323"/>
      <c r="P23" s="323"/>
      <c r="Q23" s="323"/>
      <c r="R23" s="323"/>
      <c r="S23" s="327"/>
      <c r="T23" s="330">
        <f>+M23*$T$36/$M$36</f>
        <v>24969.502622699252</v>
      </c>
      <c r="V23" s="347" t="str">
        <f>+'5_Prioritate-1_Pielikums'!F20</f>
        <v>Grobiņas ūdensapgādes sistēma Vairogi</v>
      </c>
      <c r="W23" s="358">
        <f>+'5_Prioritate-1_Pielikums'!T20</f>
        <v>15.600000000000001</v>
      </c>
      <c r="X23" s="359">
        <f t="shared" si="2"/>
        <v>37180</v>
      </c>
      <c r="Y23" s="359"/>
      <c r="Z23" s="360">
        <f t="shared" si="5"/>
        <v>15.6</v>
      </c>
      <c r="AA23" s="359">
        <f t="shared" si="3"/>
        <v>32408</v>
      </c>
      <c r="AB23" s="359">
        <f>+'5_Prioritate-1_Pielikums'!Q20</f>
        <v>35</v>
      </c>
      <c r="AC23" s="361">
        <f t="shared" si="6"/>
        <v>747.78008298755185</v>
      </c>
      <c r="AD23" s="347"/>
      <c r="AE23" s="347"/>
      <c r="AF23" s="347"/>
      <c r="AG23" s="347"/>
      <c r="AH23" s="362">
        <f t="shared" si="7"/>
        <v>15.6</v>
      </c>
      <c r="AI23" s="348">
        <f t="shared" si="8"/>
        <v>37179.615890560621</v>
      </c>
      <c r="AJ23" s="363">
        <f t="shared" si="9"/>
        <v>34916</v>
      </c>
      <c r="AK23" s="346">
        <f t="shared" si="10"/>
        <v>47028.61647640897</v>
      </c>
    </row>
    <row r="24" spans="2:37" x14ac:dyDescent="0.25">
      <c r="B24" s="15">
        <v>25.25</v>
      </c>
      <c r="C24" s="310">
        <f t="shared" si="4"/>
        <v>32.799999999999997</v>
      </c>
      <c r="D24" s="311">
        <v>2004</v>
      </c>
      <c r="E24" s="318">
        <v>15000</v>
      </c>
      <c r="F24" s="312">
        <f t="shared" si="1"/>
        <v>22973.688254477776</v>
      </c>
      <c r="G24" s="322">
        <f>+F24*$G$37</f>
        <v>25611.692591391056</v>
      </c>
      <c r="H24" s="323"/>
      <c r="I24" s="323"/>
      <c r="J24" s="323"/>
      <c r="K24" s="323"/>
      <c r="L24" s="323"/>
      <c r="M24" s="323"/>
      <c r="N24" s="323"/>
      <c r="O24" s="323"/>
      <c r="P24" s="323"/>
      <c r="Q24" s="323"/>
      <c r="R24" s="323"/>
      <c r="S24" s="327"/>
      <c r="T24" s="330">
        <f>+G24*$T$36/100</f>
        <v>46049.823279321121</v>
      </c>
      <c r="V24" s="347" t="str">
        <f>+'5_Prioritate-1_Pielikums'!F21</f>
        <v>Indras ūdensapgādes sistēma Gagarina iela</v>
      </c>
      <c r="W24" s="358">
        <f>+'5_Prioritate-1_Pielikums'!T21</f>
        <v>31.200000000000003</v>
      </c>
      <c r="X24" s="359">
        <f t="shared" si="2"/>
        <v>41660</v>
      </c>
      <c r="Y24" s="359"/>
      <c r="Z24" s="360">
        <f t="shared" si="5"/>
        <v>31.2</v>
      </c>
      <c r="AA24" s="359">
        <f t="shared" si="3"/>
        <v>78435</v>
      </c>
      <c r="AB24" s="359">
        <f>+'5_Prioritate-1_Pielikums'!Q21</f>
        <v>80</v>
      </c>
      <c r="AC24" s="361">
        <f t="shared" si="6"/>
        <v>1709.2116182572613</v>
      </c>
      <c r="AD24" s="347"/>
      <c r="AE24" s="347"/>
      <c r="AF24" s="347"/>
      <c r="AG24" s="347"/>
      <c r="AH24" s="362">
        <f t="shared" si="7"/>
        <v>31.2</v>
      </c>
      <c r="AI24" s="348">
        <f t="shared" si="8"/>
        <v>41659.600808765827</v>
      </c>
      <c r="AJ24" s="363">
        <f t="shared" si="9"/>
        <v>37525</v>
      </c>
      <c r="AK24" s="346">
        <f t="shared" si="10"/>
        <v>56761.700789883391</v>
      </c>
    </row>
    <row r="25" spans="2:37" x14ac:dyDescent="0.25">
      <c r="B25" s="15">
        <v>36</v>
      </c>
      <c r="C25" s="310">
        <f t="shared" si="4"/>
        <v>46.8</v>
      </c>
      <c r="D25" s="311">
        <f>+D18</f>
        <v>2011</v>
      </c>
      <c r="E25" s="318">
        <v>35000</v>
      </c>
      <c r="F25" s="312">
        <f t="shared" si="1"/>
        <v>53605.272593781476</v>
      </c>
      <c r="G25" s="322"/>
      <c r="H25" s="323"/>
      <c r="I25" s="323"/>
      <c r="J25" s="323"/>
      <c r="K25" s="323"/>
      <c r="L25" s="323"/>
      <c r="M25" s="323">
        <f>+F25</f>
        <v>53605.272593781476</v>
      </c>
      <c r="N25" s="323"/>
      <c r="O25" s="323"/>
      <c r="P25" s="323"/>
      <c r="Q25" s="323"/>
      <c r="R25" s="323"/>
      <c r="S25" s="327"/>
      <c r="T25" s="330">
        <f>+M25*$T$36/$M$36</f>
        <v>62423.756556748122</v>
      </c>
      <c r="V25" s="347" t="str">
        <f>+'5_Prioritate-1_Pielikums'!F22</f>
        <v>Jaunjelgavas ūdensapgādes sistēma Kalna iela</v>
      </c>
      <c r="W25" s="358">
        <f>+'5_Prioritate-1_Pielikums'!T22</f>
        <v>1.677</v>
      </c>
      <c r="X25" s="359">
        <f t="shared" si="2"/>
        <v>33181</v>
      </c>
      <c r="Y25" s="359"/>
      <c r="Z25" s="360">
        <f t="shared" si="5"/>
        <v>1.7</v>
      </c>
      <c r="AA25" s="359">
        <f t="shared" si="3"/>
        <v>18728</v>
      </c>
      <c r="AB25" s="359">
        <f>+'5_Prioritate-1_Pielikums'!Q22</f>
        <v>20</v>
      </c>
      <c r="AC25" s="361">
        <f t="shared" si="6"/>
        <v>427.30290456431533</v>
      </c>
      <c r="AD25" s="347"/>
      <c r="AE25" s="347"/>
      <c r="AF25" s="347"/>
      <c r="AG25" s="347"/>
      <c r="AH25" s="362">
        <f t="shared" si="7"/>
        <v>1.7</v>
      </c>
      <c r="AI25" s="348">
        <f t="shared" si="8"/>
        <v>33187.834457031619</v>
      </c>
      <c r="AJ25" s="363">
        <f t="shared" si="9"/>
        <v>32744</v>
      </c>
      <c r="AK25" s="346">
        <f t="shared" si="10"/>
        <v>15902.802884732348</v>
      </c>
    </row>
    <row r="26" spans="2:37" x14ac:dyDescent="0.25">
      <c r="B26" s="15">
        <v>37.553443199999997</v>
      </c>
      <c r="C26" s="310">
        <f t="shared" si="4"/>
        <v>48.8</v>
      </c>
      <c r="D26" s="311">
        <v>2004</v>
      </c>
      <c r="E26" s="318">
        <v>15000</v>
      </c>
      <c r="F26" s="312">
        <f t="shared" si="1"/>
        <v>22973.688254477776</v>
      </c>
      <c r="G26" s="322">
        <f t="shared" ref="G26:G31" si="12">+F26*$G$37</f>
        <v>25611.692591391056</v>
      </c>
      <c r="H26" s="323"/>
      <c r="I26" s="323"/>
      <c r="J26" s="323"/>
      <c r="K26" s="323"/>
      <c r="L26" s="323"/>
      <c r="M26" s="323"/>
      <c r="N26" s="323"/>
      <c r="O26" s="323"/>
      <c r="P26" s="323"/>
      <c r="Q26" s="323"/>
      <c r="R26" s="323"/>
      <c r="S26" s="327"/>
      <c r="T26" s="330">
        <f t="shared" ref="T26:T31" si="13">+G26*$T$36/100</f>
        <v>46049.823279321121</v>
      </c>
      <c r="V26" s="347" t="str">
        <f>+'5_Prioritate-1_Pielikums'!F23</f>
        <v>Jaunsilavas ūdensapgādes sistēma</v>
      </c>
      <c r="W26" s="358">
        <f>+'5_Prioritate-1_Pielikums'!T23</f>
        <v>26</v>
      </c>
      <c r="X26" s="359">
        <f t="shared" si="2"/>
        <v>40166</v>
      </c>
      <c r="Y26" s="359"/>
      <c r="Z26" s="360">
        <f t="shared" si="5"/>
        <v>26</v>
      </c>
      <c r="AA26" s="359">
        <f t="shared" si="3"/>
        <v>78435</v>
      </c>
      <c r="AB26" s="359">
        <f>+'5_Prioritate-1_Pielikums'!Q23</f>
        <v>277</v>
      </c>
      <c r="AC26" s="361">
        <f t="shared" si="6"/>
        <v>5918.1452282157679</v>
      </c>
      <c r="AD26" s="347"/>
      <c r="AE26" s="347"/>
      <c r="AF26" s="347"/>
      <c r="AG26" s="347"/>
      <c r="AH26" s="362">
        <f t="shared" si="7"/>
        <v>26</v>
      </c>
      <c r="AI26" s="348">
        <f t="shared" si="8"/>
        <v>40166.272502697422</v>
      </c>
      <c r="AJ26" s="363">
        <f t="shared" si="9"/>
        <v>36634</v>
      </c>
      <c r="AK26" s="346">
        <f t="shared" si="10"/>
        <v>54201.564740558424</v>
      </c>
    </row>
    <row r="27" spans="2:37" x14ac:dyDescent="0.25">
      <c r="B27" s="22">
        <v>65.050110000000004</v>
      </c>
      <c r="C27" s="310">
        <f t="shared" si="4"/>
        <v>84.6</v>
      </c>
      <c r="D27" s="313">
        <v>2004</v>
      </c>
      <c r="E27" s="318">
        <v>15250</v>
      </c>
      <c r="F27" s="312">
        <f t="shared" si="1"/>
        <v>23356.583058719076</v>
      </c>
      <c r="G27" s="322">
        <f t="shared" si="12"/>
        <v>26038.554134580911</v>
      </c>
      <c r="H27" s="323"/>
      <c r="I27" s="323"/>
      <c r="J27" s="323"/>
      <c r="K27" s="323"/>
      <c r="L27" s="323"/>
      <c r="M27" s="323"/>
      <c r="N27" s="323"/>
      <c r="O27" s="323"/>
      <c r="P27" s="323"/>
      <c r="Q27" s="323"/>
      <c r="R27" s="323"/>
      <c r="S27" s="327"/>
      <c r="T27" s="330">
        <f t="shared" si="13"/>
        <v>46817.320333976488</v>
      </c>
      <c r="V27" s="347" t="str">
        <f>+'5_Prioritate-1_Pielikums'!F24</f>
        <v>Kokneses ūdensapgādes sistēma 1905. gada iela</v>
      </c>
      <c r="W27" s="358">
        <f>+'5_Prioritate-1_Pielikums'!T24</f>
        <v>3.9000000000000004</v>
      </c>
      <c r="X27" s="359">
        <f t="shared" si="2"/>
        <v>33820</v>
      </c>
      <c r="Y27" s="359"/>
      <c r="Z27" s="360">
        <f t="shared" si="5"/>
        <v>3.9</v>
      </c>
      <c r="AA27" s="359">
        <f t="shared" si="3"/>
        <v>40016</v>
      </c>
      <c r="AB27" s="359">
        <f>+'5_Prioritate-1_Pielikums'!Q24</f>
        <v>35</v>
      </c>
      <c r="AC27" s="361">
        <f t="shared" si="6"/>
        <v>747.78008298755185</v>
      </c>
      <c r="AD27" s="347"/>
      <c r="AE27" s="347"/>
      <c r="AF27" s="347"/>
      <c r="AG27" s="347"/>
      <c r="AH27" s="362">
        <f t="shared" si="7"/>
        <v>3.9</v>
      </c>
      <c r="AI27" s="348">
        <f t="shared" si="8"/>
        <v>33819.627201906711</v>
      </c>
      <c r="AJ27" s="363">
        <f t="shared" si="9"/>
        <v>33079</v>
      </c>
      <c r="AK27" s="346">
        <f t="shared" si="10"/>
        <v>27562.447849460128</v>
      </c>
    </row>
    <row r="28" spans="2:37" hidden="1" x14ac:dyDescent="0.25">
      <c r="B28" s="22">
        <v>112.87712537497836</v>
      </c>
      <c r="C28" s="310">
        <f t="shared" si="4"/>
        <v>146.69999999999999</v>
      </c>
      <c r="D28" s="313">
        <v>2004</v>
      </c>
      <c r="E28" s="318">
        <v>20100</v>
      </c>
      <c r="F28" s="312">
        <f t="shared" si="1"/>
        <v>30784.742261000221</v>
      </c>
      <c r="G28" s="322">
        <f t="shared" si="12"/>
        <v>34319.668072464017</v>
      </c>
      <c r="H28" s="323"/>
      <c r="I28" s="323"/>
      <c r="J28" s="323"/>
      <c r="K28" s="323"/>
      <c r="L28" s="323"/>
      <c r="M28" s="323"/>
      <c r="N28" s="323"/>
      <c r="O28" s="323"/>
      <c r="P28" s="323"/>
      <c r="Q28" s="323"/>
      <c r="R28" s="323"/>
      <c r="S28" s="327"/>
      <c r="T28" s="330">
        <f t="shared" si="13"/>
        <v>61706.76319429031</v>
      </c>
      <c r="V28" s="349" t="str">
        <f>+'5_Prioritate-1_Pielikums'!F25</f>
        <v>Krāslavas ūdensapgādes sistēma</v>
      </c>
      <c r="W28" s="358"/>
      <c r="X28" s="359"/>
      <c r="Y28" s="359"/>
      <c r="Z28" s="360"/>
      <c r="AA28" s="359"/>
      <c r="AB28" s="359"/>
      <c r="AC28" s="361"/>
      <c r="AD28" s="347"/>
      <c r="AE28" s="347"/>
      <c r="AF28" s="347"/>
      <c r="AG28" s="347"/>
      <c r="AH28" s="362"/>
      <c r="AI28" s="348"/>
      <c r="AJ28" s="363"/>
      <c r="AK28" s="346"/>
    </row>
    <row r="29" spans="2:37" x14ac:dyDescent="0.25">
      <c r="B29" s="22">
        <v>125.58569675557541</v>
      </c>
      <c r="C29" s="310">
        <f t="shared" si="4"/>
        <v>163.30000000000001</v>
      </c>
      <c r="D29" s="313">
        <v>2004</v>
      </c>
      <c r="E29" s="318">
        <v>36620</v>
      </c>
      <c r="F29" s="312">
        <f t="shared" si="1"/>
        <v>56086.430925265078</v>
      </c>
      <c r="G29" s="322">
        <f t="shared" si="12"/>
        <v>62526.678846449366</v>
      </c>
      <c r="H29" s="323"/>
      <c r="I29" s="323"/>
      <c r="J29" s="323"/>
      <c r="K29" s="323"/>
      <c r="L29" s="323"/>
      <c r="M29" s="323"/>
      <c r="N29" s="323"/>
      <c r="O29" s="323"/>
      <c r="P29" s="323"/>
      <c r="Q29" s="323"/>
      <c r="R29" s="323"/>
      <c r="S29" s="327"/>
      <c r="T29" s="330">
        <f t="shared" si="13"/>
        <v>112422.96856591597</v>
      </c>
      <c r="V29" s="347" t="str">
        <f>+'5_Prioritate-1_Pielikums'!F26</f>
        <v>Lones ūdensapgādes sistēma Ezera iela</v>
      </c>
      <c r="W29" s="358">
        <f>+'5_Prioritate-1_Pielikums'!T26</f>
        <v>6.5</v>
      </c>
      <c r="X29" s="359">
        <f t="shared" ref="X29:X58" si="14">ROUND(TREND($T$8:$T$31,$C$8:$C$31,W29,1),0)</f>
        <v>34566</v>
      </c>
      <c r="Y29" s="359"/>
      <c r="Z29" s="360">
        <f t="shared" ref="Z29:Z58" si="15">+ROUND(W29,1)</f>
        <v>6.5</v>
      </c>
      <c r="AA29" s="359">
        <f t="shared" ref="AA29:AA58" si="16">+ROUNDUP(LOOKUP(Z29,$C$8:$C$31,$T$8:$T$31),0)</f>
        <v>25785</v>
      </c>
      <c r="AB29" s="359">
        <f>+'5_Prioritate-1_Pielikums'!Q26</f>
        <v>26</v>
      </c>
      <c r="AC29" s="361">
        <f t="shared" ref="AC29:AC58" si="17">+AB29*$AC$7/$AD$7</f>
        <v>555.49377593360998</v>
      </c>
      <c r="AD29" s="347"/>
      <c r="AE29" s="347"/>
      <c r="AF29" s="347"/>
      <c r="AG29" s="347"/>
      <c r="AH29" s="362">
        <f t="shared" si="7"/>
        <v>6.5</v>
      </c>
      <c r="AI29" s="348">
        <f t="shared" si="8"/>
        <v>34566.291354940913</v>
      </c>
      <c r="AJ29" s="363">
        <f t="shared" si="9"/>
        <v>33479</v>
      </c>
      <c r="AK29" s="346">
        <f t="shared" si="10"/>
        <v>34735.39611360959</v>
      </c>
    </row>
    <row r="30" spans="2:37" x14ac:dyDescent="0.25">
      <c r="B30" s="22">
        <v>173.65659429095558</v>
      </c>
      <c r="C30" s="310">
        <f t="shared" si="4"/>
        <v>225.8</v>
      </c>
      <c r="D30" s="313">
        <v>2004</v>
      </c>
      <c r="E30" s="318">
        <v>24745</v>
      </c>
      <c r="F30" s="312">
        <f t="shared" si="1"/>
        <v>37898.927723803514</v>
      </c>
      <c r="G30" s="322">
        <f t="shared" si="12"/>
        <v>42250.755544931453</v>
      </c>
      <c r="H30" s="323"/>
      <c r="I30" s="323"/>
      <c r="J30" s="323"/>
      <c r="K30" s="323"/>
      <c r="L30" s="323"/>
      <c r="M30" s="323"/>
      <c r="N30" s="323"/>
      <c r="O30" s="323"/>
      <c r="P30" s="323"/>
      <c r="Q30" s="323"/>
      <c r="R30" s="323"/>
      <c r="S30" s="327"/>
      <c r="T30" s="330">
        <f t="shared" si="13"/>
        <v>75966.858469786763</v>
      </c>
      <c r="V30" s="347" t="str">
        <f>+'5_Prioritate-1_Pielikums'!F27</f>
        <v>Lutriņu ūdensapgādes sistēma Dzirnieki</v>
      </c>
      <c r="W30" s="358">
        <f>+'5_Prioritate-1_Pielikums'!T27</f>
        <v>26</v>
      </c>
      <c r="X30" s="359">
        <f t="shared" si="14"/>
        <v>40166</v>
      </c>
      <c r="Y30" s="359"/>
      <c r="Z30" s="360">
        <f t="shared" si="15"/>
        <v>26</v>
      </c>
      <c r="AA30" s="359">
        <f t="shared" si="16"/>
        <v>78435</v>
      </c>
      <c r="AB30" s="359">
        <f>+'5_Prioritate-1_Pielikums'!Q27</f>
        <v>15</v>
      </c>
      <c r="AC30" s="361">
        <f t="shared" si="17"/>
        <v>320.47717842323652</v>
      </c>
      <c r="AD30" s="347"/>
      <c r="AE30" s="347"/>
      <c r="AF30" s="347"/>
      <c r="AG30" s="347"/>
      <c r="AH30" s="362">
        <f t="shared" si="7"/>
        <v>26</v>
      </c>
      <c r="AI30" s="348">
        <f t="shared" si="8"/>
        <v>40166.272502697422</v>
      </c>
      <c r="AJ30" s="363">
        <f t="shared" si="9"/>
        <v>36634</v>
      </c>
      <c r="AK30" s="346">
        <f t="shared" si="10"/>
        <v>54201.564740558424</v>
      </c>
    </row>
    <row r="31" spans="2:37" ht="15.75" thickBot="1" x14ac:dyDescent="0.3">
      <c r="B31" s="24">
        <v>267.12326591999999</v>
      </c>
      <c r="C31" s="314">
        <f t="shared" si="4"/>
        <v>347.3</v>
      </c>
      <c r="D31" s="315">
        <v>2004</v>
      </c>
      <c r="E31" s="319">
        <v>44500</v>
      </c>
      <c r="F31" s="316">
        <f t="shared" si="1"/>
        <v>68155.275154950737</v>
      </c>
      <c r="G31" s="324">
        <f t="shared" si="12"/>
        <v>75981.354687793471</v>
      </c>
      <c r="H31" s="325"/>
      <c r="I31" s="325"/>
      <c r="J31" s="325"/>
      <c r="K31" s="325"/>
      <c r="L31" s="325"/>
      <c r="M31" s="325"/>
      <c r="N31" s="325"/>
      <c r="O31" s="325"/>
      <c r="P31" s="325"/>
      <c r="Q31" s="325"/>
      <c r="R31" s="325"/>
      <c r="S31" s="328"/>
      <c r="T31" s="331">
        <f t="shared" si="13"/>
        <v>136614.47572865267</v>
      </c>
      <c r="V31" s="347" t="str">
        <f>+'5_Prioritate-1_Pielikums'!F28</f>
        <v>Lutriņu ūdensapgādes sistēma Kūdrāji</v>
      </c>
      <c r="W31" s="358">
        <f>+'5_Prioritate-1_Pielikums'!T28</f>
        <v>13</v>
      </c>
      <c r="X31" s="359">
        <f t="shared" si="14"/>
        <v>36433</v>
      </c>
      <c r="Y31" s="359"/>
      <c r="Z31" s="360">
        <f t="shared" si="15"/>
        <v>13</v>
      </c>
      <c r="AA31" s="359">
        <f t="shared" si="16"/>
        <v>32408</v>
      </c>
      <c r="AB31" s="359">
        <f>+'5_Prioritate-1_Pielikums'!Q28</f>
        <v>18</v>
      </c>
      <c r="AC31" s="361">
        <f t="shared" si="17"/>
        <v>384.57261410788379</v>
      </c>
      <c r="AD31" s="347"/>
      <c r="AE31" s="347"/>
      <c r="AF31" s="347"/>
      <c r="AG31" s="347"/>
      <c r="AH31" s="362">
        <f t="shared" si="7"/>
        <v>13</v>
      </c>
      <c r="AI31" s="348">
        <f t="shared" si="8"/>
        <v>36432.951737526419</v>
      </c>
      <c r="AJ31" s="363">
        <f t="shared" si="9"/>
        <v>34499</v>
      </c>
      <c r="AK31" s="346">
        <f t="shared" si="10"/>
        <v>44468.480427084003</v>
      </c>
    </row>
    <row r="32" spans="2:37" x14ac:dyDescent="0.25"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V32" s="347" t="str">
        <f>+'5_Prioritate-1_Pielikums'!F29</f>
        <v>Lutriņu ūdensapgādes sistēma Mežmaļi</v>
      </c>
      <c r="W32" s="358">
        <f>+'5_Prioritate-1_Pielikums'!T29</f>
        <v>4.6800000000000006</v>
      </c>
      <c r="X32" s="359">
        <f t="shared" si="14"/>
        <v>34044</v>
      </c>
      <c r="Y32" s="359"/>
      <c r="Z32" s="360">
        <f t="shared" si="15"/>
        <v>4.7</v>
      </c>
      <c r="AA32" s="359">
        <f t="shared" si="16"/>
        <v>32104</v>
      </c>
      <c r="AB32" s="359">
        <f>+'5_Prioritate-1_Pielikums'!Q29</f>
        <v>16</v>
      </c>
      <c r="AC32" s="361">
        <f t="shared" si="17"/>
        <v>341.84232365145226</v>
      </c>
      <c r="AD32" s="347"/>
      <c r="AE32" s="347"/>
      <c r="AF32" s="347"/>
      <c r="AG32" s="347"/>
      <c r="AH32" s="362">
        <f t="shared" si="7"/>
        <v>4.7</v>
      </c>
      <c r="AI32" s="348">
        <f t="shared" si="8"/>
        <v>34049.37001822493</v>
      </c>
      <c r="AJ32" s="363">
        <f t="shared" si="9"/>
        <v>33201</v>
      </c>
      <c r="AK32" s="346">
        <f t="shared" si="10"/>
        <v>30182.464042712592</v>
      </c>
    </row>
    <row r="33" spans="1:37" ht="15.75" x14ac:dyDescent="0.25">
      <c r="C33" s="280"/>
      <c r="D33" s="23"/>
      <c r="E33" s="23"/>
      <c r="F33" s="25"/>
      <c r="G33" s="299" t="s">
        <v>475</v>
      </c>
      <c r="H33" s="23"/>
      <c r="I33" s="23"/>
      <c r="J33" s="23"/>
      <c r="K33" s="23"/>
      <c r="L33" s="23"/>
      <c r="M33" s="23"/>
      <c r="N33" s="23"/>
      <c r="O33" s="23"/>
      <c r="P33" s="23"/>
      <c r="R33" s="23"/>
      <c r="S33" s="23"/>
      <c r="V33" s="347" t="str">
        <f>+'5_Prioritate-1_Pielikums'!F30</f>
        <v>Lutriņu ūdensapgādes sistēma Vizuļi</v>
      </c>
      <c r="W33" s="358">
        <f>+'5_Prioritate-1_Pielikums'!T30</f>
        <v>27.3</v>
      </c>
      <c r="X33" s="359">
        <f t="shared" si="14"/>
        <v>40540</v>
      </c>
      <c r="Y33" s="359"/>
      <c r="Z33" s="360">
        <f t="shared" si="15"/>
        <v>27.3</v>
      </c>
      <c r="AA33" s="359">
        <f t="shared" si="16"/>
        <v>78435</v>
      </c>
      <c r="AB33" s="359">
        <f>+'5_Prioritate-1_Pielikums'!Q30</f>
        <v>12</v>
      </c>
      <c r="AC33" s="361">
        <f t="shared" si="17"/>
        <v>256.3817427385892</v>
      </c>
      <c r="AD33" s="347"/>
      <c r="AE33" s="347"/>
      <c r="AF33" s="347"/>
      <c r="AG33" s="347"/>
      <c r="AH33" s="362">
        <f t="shared" si="7"/>
        <v>27.3</v>
      </c>
      <c r="AI33" s="348">
        <f t="shared" si="8"/>
        <v>40539.604579214523</v>
      </c>
      <c r="AJ33" s="363">
        <f t="shared" si="9"/>
        <v>36855</v>
      </c>
      <c r="AK33" s="346">
        <f t="shared" si="10"/>
        <v>54886.670003694206</v>
      </c>
    </row>
    <row r="34" spans="1:37" x14ac:dyDescent="0.25">
      <c r="A34" s="306" t="s">
        <v>477</v>
      </c>
      <c r="C34" s="281"/>
      <c r="D34" s="23"/>
      <c r="E34" s="23"/>
      <c r="F34" s="23"/>
      <c r="G34" s="23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V34" s="347" t="str">
        <f>+'5_Prioritate-1_Pielikums'!F31</f>
        <v>Nītaures ūdensapgādes sistēma Cirīši</v>
      </c>
      <c r="W34" s="358">
        <f>+'5_Prioritate-1_Pielikums'!T31</f>
        <v>2.6</v>
      </c>
      <c r="X34" s="359">
        <f t="shared" si="14"/>
        <v>33446</v>
      </c>
      <c r="Y34" s="359"/>
      <c r="Z34" s="360">
        <f t="shared" si="15"/>
        <v>2.6</v>
      </c>
      <c r="AA34" s="359">
        <f t="shared" si="16"/>
        <v>23022</v>
      </c>
      <c r="AB34" s="359">
        <f>+'5_Prioritate-1_Pielikums'!Q31</f>
        <v>15</v>
      </c>
      <c r="AC34" s="361">
        <f t="shared" si="17"/>
        <v>320.47717842323652</v>
      </c>
      <c r="AD34" s="347"/>
      <c r="AE34" s="347"/>
      <c r="AF34" s="347"/>
      <c r="AG34" s="347"/>
      <c r="AH34" s="362">
        <f t="shared" si="7"/>
        <v>2.6</v>
      </c>
      <c r="AI34" s="348">
        <f t="shared" si="8"/>
        <v>33446.29512538961</v>
      </c>
      <c r="AJ34" s="363">
        <f t="shared" si="9"/>
        <v>32881</v>
      </c>
      <c r="AK34" s="346">
        <f t="shared" si="10"/>
        <v>21868.958509720273</v>
      </c>
    </row>
    <row r="35" spans="1:37" ht="15.75" thickBot="1" x14ac:dyDescent="0.3">
      <c r="A35" s="18"/>
      <c r="C35" s="19" t="s">
        <v>354</v>
      </c>
      <c r="D35" s="19" t="s">
        <v>356</v>
      </c>
      <c r="E35" s="19" t="s">
        <v>357</v>
      </c>
      <c r="F35" s="19" t="s">
        <v>355</v>
      </c>
      <c r="G35" s="19" t="s">
        <v>358</v>
      </c>
      <c r="H35" s="19" t="s">
        <v>359</v>
      </c>
      <c r="I35" s="19" t="s">
        <v>360</v>
      </c>
      <c r="J35" s="19" t="s">
        <v>361</v>
      </c>
      <c r="K35" s="19" t="s">
        <v>362</v>
      </c>
      <c r="L35" s="19" t="s">
        <v>363</v>
      </c>
      <c r="M35" s="19" t="s">
        <v>364</v>
      </c>
      <c r="N35" s="19" t="s">
        <v>365</v>
      </c>
      <c r="O35" s="19" t="s">
        <v>366</v>
      </c>
      <c r="P35" s="19" t="s">
        <v>367</v>
      </c>
      <c r="Q35" s="19" t="s">
        <v>368</v>
      </c>
      <c r="R35" s="19" t="s">
        <v>47</v>
      </c>
      <c r="S35" s="19" t="s">
        <v>48</v>
      </c>
      <c r="T35" s="20" t="s">
        <v>37</v>
      </c>
      <c r="V35" s="347" t="str">
        <f>+'5_Prioritate-1_Pielikums'!F32</f>
        <v>Ogres novada ūdensapgādes sistēma - Suntaži JUGLA</v>
      </c>
      <c r="W35" s="358">
        <f>+'5_Prioritate-1_Pielikums'!T32</f>
        <v>3.25</v>
      </c>
      <c r="X35" s="359">
        <f t="shared" si="14"/>
        <v>33633</v>
      </c>
      <c r="Y35" s="359"/>
      <c r="Z35" s="360">
        <f t="shared" si="15"/>
        <v>3.3</v>
      </c>
      <c r="AA35" s="359">
        <f t="shared" si="16"/>
        <v>23022</v>
      </c>
      <c r="AB35" s="359">
        <f>+'5_Prioritate-1_Pielikums'!Q32</f>
        <v>48</v>
      </c>
      <c r="AC35" s="361">
        <f t="shared" si="17"/>
        <v>1025.5269709543568</v>
      </c>
      <c r="AD35" s="347"/>
      <c r="AE35" s="347"/>
      <c r="AF35" s="347"/>
      <c r="AG35" s="347"/>
      <c r="AH35" s="362">
        <f t="shared" si="7"/>
        <v>3.3</v>
      </c>
      <c r="AI35" s="348">
        <f t="shared" si="8"/>
        <v>33647.32008966805</v>
      </c>
      <c r="AJ35" s="363">
        <f t="shared" si="9"/>
        <v>32987</v>
      </c>
      <c r="AK35" s="346">
        <f t="shared" si="10"/>
        <v>25216.69569675946</v>
      </c>
    </row>
    <row r="36" spans="1:37" ht="15.75" thickBot="1" x14ac:dyDescent="0.3">
      <c r="A36" s="21" t="s">
        <v>369</v>
      </c>
      <c r="C36" s="301">
        <v>89.2</v>
      </c>
      <c r="D36" s="301">
        <v>84.4</v>
      </c>
      <c r="E36" s="301">
        <v>89.7</v>
      </c>
      <c r="F36" s="301">
        <v>85.5</v>
      </c>
      <c r="G36" s="302">
        <v>100</v>
      </c>
      <c r="H36" s="301">
        <v>120.9</v>
      </c>
      <c r="I36" s="301">
        <v>152.5</v>
      </c>
      <c r="J36" s="301">
        <v>174.5</v>
      </c>
      <c r="K36" s="301">
        <v>155.5</v>
      </c>
      <c r="L36" s="301">
        <v>151.30000000000001</v>
      </c>
      <c r="M36" s="301">
        <v>154.4</v>
      </c>
      <c r="N36" s="301">
        <v>164.9</v>
      </c>
      <c r="O36" s="301">
        <v>169.1</v>
      </c>
      <c r="P36" s="301">
        <v>169.8</v>
      </c>
      <c r="Q36" s="301">
        <v>170</v>
      </c>
      <c r="R36" s="301">
        <v>169.2</v>
      </c>
      <c r="S36" s="303">
        <v>172.3</v>
      </c>
      <c r="T36" s="304">
        <v>179.8</v>
      </c>
      <c r="V36" s="347" t="str">
        <f>+'5_Prioritate-1_Pielikums'!F33</f>
        <v>Ošenieku ūdensapgādes sistēma</v>
      </c>
      <c r="W36" s="358">
        <f>+'5_Prioritate-1_Pielikums'!T33</f>
        <v>10.53</v>
      </c>
      <c r="X36" s="359">
        <f t="shared" si="14"/>
        <v>35724</v>
      </c>
      <c r="Y36" s="359"/>
      <c r="Z36" s="360">
        <f t="shared" si="15"/>
        <v>10.5</v>
      </c>
      <c r="AA36" s="359">
        <f t="shared" si="16"/>
        <v>46576</v>
      </c>
      <c r="AB36" s="359">
        <f>+'5_Prioritate-1_Pielikums'!Q33</f>
        <v>64</v>
      </c>
      <c r="AC36" s="361">
        <f t="shared" si="17"/>
        <v>1367.369294605809</v>
      </c>
      <c r="AD36" s="347"/>
      <c r="AE36" s="347"/>
      <c r="AF36" s="347"/>
      <c r="AG36" s="347"/>
      <c r="AH36" s="362">
        <f t="shared" si="7"/>
        <v>10.5</v>
      </c>
      <c r="AI36" s="348">
        <f t="shared" si="8"/>
        <v>35715.005436531996</v>
      </c>
      <c r="AJ36" s="363">
        <f t="shared" si="9"/>
        <v>34103</v>
      </c>
      <c r="AK36" s="346">
        <f t="shared" si="10"/>
        <v>41469.500147461164</v>
      </c>
    </row>
    <row r="37" spans="1:37" x14ac:dyDescent="0.25">
      <c r="A37" s="21"/>
      <c r="C37" s="301"/>
      <c r="D37" s="301"/>
      <c r="E37" s="301"/>
      <c r="F37" s="301"/>
      <c r="G37" s="336">
        <f>+G36/E36</f>
        <v>1.1148272017837235</v>
      </c>
      <c r="H37" s="305"/>
      <c r="I37" s="305"/>
      <c r="J37" s="305"/>
      <c r="K37" s="305"/>
      <c r="L37" s="305"/>
      <c r="M37" s="305"/>
      <c r="N37" s="305"/>
      <c r="O37" s="305"/>
      <c r="P37" s="305"/>
      <c r="Q37" s="305"/>
      <c r="R37" s="305"/>
      <c r="S37" s="305"/>
      <c r="T37" s="305"/>
      <c r="V37" s="347" t="str">
        <f>+'5_Prioritate-1_Pielikums'!F34</f>
        <v>Pilskalnes Darbnīcas ūdensapgādes sistēma</v>
      </c>
      <c r="W37" s="358">
        <f>+'5_Prioritate-1_Pielikums'!T34</f>
        <v>44.2</v>
      </c>
      <c r="X37" s="359">
        <f t="shared" si="14"/>
        <v>45393</v>
      </c>
      <c r="Y37" s="359"/>
      <c r="Z37" s="360">
        <f t="shared" si="15"/>
        <v>44.2</v>
      </c>
      <c r="AA37" s="359">
        <f t="shared" si="16"/>
        <v>46050</v>
      </c>
      <c r="AB37" s="359">
        <f>+'5_Prioritate-1_Pielikums'!Q34</f>
        <v>120</v>
      </c>
      <c r="AC37" s="361">
        <f t="shared" si="17"/>
        <v>2563.8174273858922</v>
      </c>
      <c r="AD37" s="347"/>
      <c r="AE37" s="347"/>
      <c r="AF37" s="347"/>
      <c r="AG37" s="347"/>
      <c r="AH37" s="362">
        <f t="shared" si="7"/>
        <v>44.2</v>
      </c>
      <c r="AI37" s="348">
        <f t="shared" si="8"/>
        <v>45392.92157393683</v>
      </c>
      <c r="AJ37" s="363">
        <f t="shared" si="9"/>
        <v>39847</v>
      </c>
      <c r="AK37" s="346">
        <f t="shared" si="10"/>
        <v>61652.578971803538</v>
      </c>
    </row>
    <row r="38" spans="1:37" x14ac:dyDescent="0.25">
      <c r="A38" s="21" t="s">
        <v>370</v>
      </c>
      <c r="C38" s="301">
        <v>52.5</v>
      </c>
      <c r="D38" s="301">
        <v>49.6</v>
      </c>
      <c r="E38" s="301">
        <v>52.8</v>
      </c>
      <c r="F38" s="301">
        <v>50.3</v>
      </c>
      <c r="G38" s="301">
        <v>58.8</v>
      </c>
      <c r="H38" s="301">
        <v>71.099999999999994</v>
      </c>
      <c r="I38" s="301">
        <v>89.7</v>
      </c>
      <c r="J38" s="301">
        <v>102.7</v>
      </c>
      <c r="K38" s="301">
        <v>91.5</v>
      </c>
      <c r="L38" s="301">
        <v>89</v>
      </c>
      <c r="M38" s="301">
        <v>90.9</v>
      </c>
      <c r="N38" s="301">
        <v>97</v>
      </c>
      <c r="O38" s="301">
        <v>99.5</v>
      </c>
      <c r="P38" s="301">
        <v>99.9</v>
      </c>
      <c r="Q38" s="302">
        <v>100</v>
      </c>
      <c r="R38" s="301">
        <v>99.5</v>
      </c>
      <c r="S38" s="301">
        <v>101.4</v>
      </c>
      <c r="T38" s="301">
        <v>105.8</v>
      </c>
      <c r="V38" s="347" t="str">
        <f>+'5_Prioritate-1_Pielikums'!F35</f>
        <v>Ratnieku ūdensapgādes sistēma</v>
      </c>
      <c r="W38" s="358">
        <f>+'5_Prioritate-1_Pielikums'!T35</f>
        <v>39</v>
      </c>
      <c r="X38" s="359">
        <f t="shared" si="14"/>
        <v>43900</v>
      </c>
      <c r="Y38" s="359"/>
      <c r="Z38" s="360">
        <f t="shared" si="15"/>
        <v>39</v>
      </c>
      <c r="AA38" s="359">
        <f t="shared" si="16"/>
        <v>46050</v>
      </c>
      <c r="AB38" s="359">
        <f>+'5_Prioritate-1_Pielikums'!Q35</f>
        <v>260</v>
      </c>
      <c r="AC38" s="361">
        <f t="shared" si="17"/>
        <v>5554.9377593360987</v>
      </c>
      <c r="AD38" s="347"/>
      <c r="AE38" s="347"/>
      <c r="AF38" s="347"/>
      <c r="AG38" s="347"/>
      <c r="AH38" s="362">
        <f t="shared" si="7"/>
        <v>39</v>
      </c>
      <c r="AI38" s="348">
        <f t="shared" si="8"/>
        <v>43899.593267868426</v>
      </c>
      <c r="AJ38" s="363">
        <f t="shared" si="9"/>
        <v>38902</v>
      </c>
      <c r="AK38" s="346">
        <f t="shared" si="10"/>
        <v>59895.05408029828</v>
      </c>
    </row>
    <row r="39" spans="1:37" ht="18" customHeight="1" x14ac:dyDescent="0.25">
      <c r="A39" s="300" t="s">
        <v>371</v>
      </c>
      <c r="C39" s="301">
        <v>95</v>
      </c>
      <c r="D39" s="301">
        <v>98.7</v>
      </c>
      <c r="E39" s="301">
        <v>106.4</v>
      </c>
      <c r="F39" s="301">
        <v>95.8</v>
      </c>
      <c r="G39" s="301">
        <v>111.4</v>
      </c>
      <c r="H39" s="301">
        <v>120.9</v>
      </c>
      <c r="I39" s="301">
        <v>126.2</v>
      </c>
      <c r="J39" s="301">
        <v>114.4</v>
      </c>
      <c r="K39" s="301">
        <v>89.1</v>
      </c>
      <c r="L39" s="301">
        <v>97.3</v>
      </c>
      <c r="M39" s="301">
        <v>102.1</v>
      </c>
      <c r="N39" s="301">
        <v>106.8</v>
      </c>
      <c r="O39" s="301">
        <v>102.5</v>
      </c>
      <c r="P39" s="301">
        <v>100.4</v>
      </c>
      <c r="Q39" s="301">
        <v>100.1</v>
      </c>
      <c r="R39" s="301">
        <v>99.5</v>
      </c>
      <c r="S39" s="301">
        <v>101.9</v>
      </c>
      <c r="T39" s="301">
        <v>104.4</v>
      </c>
      <c r="V39" s="347" t="str">
        <f>+'5_Prioritate-1_Pielikums'!F36</f>
        <v>Rimicānu ūdensapgādes sistēma</v>
      </c>
      <c r="W39" s="358">
        <f>+'5_Prioritate-1_Pielikums'!T36</f>
        <v>35.1</v>
      </c>
      <c r="X39" s="359">
        <f t="shared" si="14"/>
        <v>42780</v>
      </c>
      <c r="Y39" s="359"/>
      <c r="Z39" s="360">
        <f t="shared" si="15"/>
        <v>35.1</v>
      </c>
      <c r="AA39" s="359">
        <f t="shared" si="16"/>
        <v>78435</v>
      </c>
      <c r="AB39" s="359">
        <f>+'5_Prioritate-1_Pielikums'!Q36</f>
        <v>107</v>
      </c>
      <c r="AC39" s="361">
        <f t="shared" si="17"/>
        <v>2286.0705394190873</v>
      </c>
      <c r="AD39" s="347"/>
      <c r="AE39" s="347"/>
      <c r="AF39" s="347"/>
      <c r="AG39" s="347"/>
      <c r="AH39" s="362">
        <f t="shared" si="7"/>
        <v>35.1</v>
      </c>
      <c r="AI39" s="348">
        <f t="shared" si="8"/>
        <v>42779.597038317122</v>
      </c>
      <c r="AJ39" s="363">
        <f t="shared" si="9"/>
        <v>38207</v>
      </c>
      <c r="AK39" s="346">
        <f t="shared" si="10"/>
        <v>58415.595155888674</v>
      </c>
    </row>
    <row r="40" spans="1:37" x14ac:dyDescent="0.25">
      <c r="C40" s="281"/>
      <c r="F40" s="16"/>
      <c r="V40" s="347" t="str">
        <f>+'5_Prioritate-1_Pielikums'!F37</f>
        <v>Rucavas ūdensapgādes sistēma Zundes</v>
      </c>
      <c r="W40" s="358">
        <f>+'5_Prioritate-1_Pielikums'!T37</f>
        <v>175.5</v>
      </c>
      <c r="X40" s="359">
        <f t="shared" si="14"/>
        <v>83099</v>
      </c>
      <c r="Y40" s="359"/>
      <c r="Z40" s="360">
        <f t="shared" si="15"/>
        <v>175.5</v>
      </c>
      <c r="AA40" s="359">
        <f t="shared" si="16"/>
        <v>112423</v>
      </c>
      <c r="AB40" s="359">
        <f>+'5_Prioritate-1_Pielikums'!Q37</f>
        <v>502</v>
      </c>
      <c r="AC40" s="361">
        <f t="shared" si="17"/>
        <v>10725.302904564314</v>
      </c>
      <c r="AD40" s="347"/>
      <c r="AE40" s="347"/>
      <c r="AF40" s="347"/>
      <c r="AG40" s="347"/>
      <c r="AH40" s="362">
        <f t="shared" si="7"/>
        <v>175.5</v>
      </c>
      <c r="AI40" s="348">
        <f t="shared" si="8"/>
        <v>83099.461302163982</v>
      </c>
      <c r="AJ40" s="363">
        <f t="shared" si="9"/>
        <v>73082</v>
      </c>
      <c r="AK40" s="346">
        <f t="shared" si="10"/>
        <v>81015.117073252419</v>
      </c>
    </row>
    <row r="41" spans="1:37" ht="15.75" x14ac:dyDescent="0.25">
      <c r="C41" s="299" t="s">
        <v>476</v>
      </c>
      <c r="V41" s="347" t="str">
        <f>+'5_Prioritate-1_Pielikums'!F38</f>
        <v>Sarkaņu ūdensapgādes sistēma</v>
      </c>
      <c r="W41" s="358">
        <f>+'5_Prioritate-1_Pielikums'!T38</f>
        <v>5.2</v>
      </c>
      <c r="X41" s="359">
        <f t="shared" si="14"/>
        <v>34193</v>
      </c>
      <c r="Y41" s="359"/>
      <c r="Z41" s="360">
        <f t="shared" si="15"/>
        <v>5.2</v>
      </c>
      <c r="AA41" s="359">
        <f t="shared" si="16"/>
        <v>43388</v>
      </c>
      <c r="AB41" s="359">
        <f>+'5_Prioritate-1_Pielikums'!Q38</f>
        <v>42</v>
      </c>
      <c r="AC41" s="361">
        <f t="shared" si="17"/>
        <v>897.33609958506213</v>
      </c>
      <c r="AD41" s="347"/>
      <c r="AE41" s="347"/>
      <c r="AF41" s="347"/>
      <c r="AG41" s="347"/>
      <c r="AH41" s="362">
        <f t="shared" si="7"/>
        <v>5.2</v>
      </c>
      <c r="AI41" s="348">
        <f t="shared" si="8"/>
        <v>34192.959278423812</v>
      </c>
      <c r="AJ41" s="363">
        <f t="shared" si="9"/>
        <v>33278</v>
      </c>
      <c r="AK41" s="346">
        <f t="shared" si="10"/>
        <v>31602.042823194693</v>
      </c>
    </row>
    <row r="42" spans="1:37" x14ac:dyDescent="0.25">
      <c r="V42" s="347" t="str">
        <f>+'5_Prioritate-1_Pielikums'!F39</f>
        <v>Tilžas ūdensapgādes sistēma Ceļu daļa</v>
      </c>
      <c r="W42" s="358">
        <f>+'5_Prioritate-1_Pielikums'!T39</f>
        <v>10.920000000000002</v>
      </c>
      <c r="X42" s="359">
        <f t="shared" si="14"/>
        <v>35836</v>
      </c>
      <c r="Y42" s="359"/>
      <c r="Z42" s="360">
        <f t="shared" si="15"/>
        <v>10.9</v>
      </c>
      <c r="AA42" s="359">
        <f t="shared" si="16"/>
        <v>46576</v>
      </c>
      <c r="AB42" s="359">
        <f>+'5_Prioritate-1_Pielikums'!Q39</f>
        <v>40</v>
      </c>
      <c r="AC42" s="361">
        <f t="shared" si="17"/>
        <v>854.60580912863065</v>
      </c>
      <c r="AD42" s="347"/>
      <c r="AE42" s="347"/>
      <c r="AF42" s="347"/>
      <c r="AG42" s="347"/>
      <c r="AH42" s="362">
        <f t="shared" si="7"/>
        <v>10.9</v>
      </c>
      <c r="AI42" s="348">
        <f t="shared" si="8"/>
        <v>35829.876844691098</v>
      </c>
      <c r="AJ42" s="363">
        <f t="shared" si="9"/>
        <v>34166</v>
      </c>
      <c r="AK42" s="346">
        <f t="shared" si="10"/>
        <v>41994.491104838846</v>
      </c>
    </row>
    <row r="43" spans="1:37" x14ac:dyDescent="0.25">
      <c r="V43" s="347" t="str">
        <f>+'5_Prioritate-1_Pielikums'!F40</f>
        <v>Tilžas ūdensapgādes sistēma Darbnīcas</v>
      </c>
      <c r="W43" s="358">
        <f>+'5_Prioritate-1_Pielikums'!T40</f>
        <v>9.49</v>
      </c>
      <c r="X43" s="359">
        <f t="shared" si="14"/>
        <v>35425</v>
      </c>
      <c r="Y43" s="359"/>
      <c r="Z43" s="360">
        <f t="shared" si="15"/>
        <v>9.5</v>
      </c>
      <c r="AA43" s="359">
        <f t="shared" si="16"/>
        <v>29447</v>
      </c>
      <c r="AB43" s="359">
        <f>+'5_Prioritate-1_Pielikums'!Q40</f>
        <v>20</v>
      </c>
      <c r="AC43" s="361">
        <f t="shared" si="17"/>
        <v>427.30290456431533</v>
      </c>
      <c r="AD43" s="347"/>
      <c r="AE43" s="347"/>
      <c r="AF43" s="347"/>
      <c r="AG43" s="347"/>
      <c r="AH43" s="362">
        <f t="shared" si="7"/>
        <v>9.5</v>
      </c>
      <c r="AI43" s="348">
        <f t="shared" si="8"/>
        <v>35427.826916134225</v>
      </c>
      <c r="AJ43" s="363">
        <f t="shared" si="9"/>
        <v>33946</v>
      </c>
      <c r="AK43" s="346">
        <f t="shared" si="10"/>
        <v>40064.140985886981</v>
      </c>
    </row>
    <row r="44" spans="1:37" x14ac:dyDescent="0.25">
      <c r="V44" s="347" t="str">
        <f>+'5_Prioritate-1_Pielikums'!F41</f>
        <v>Tilžas ūdensapgādes sistēma Plēsums</v>
      </c>
      <c r="W44" s="358">
        <f>+'5_Prioritate-1_Pielikums'!T41</f>
        <v>1.6900000000000002</v>
      </c>
      <c r="X44" s="359">
        <f t="shared" si="14"/>
        <v>33185</v>
      </c>
      <c r="Y44" s="359"/>
      <c r="Z44" s="360">
        <f t="shared" si="15"/>
        <v>1.7</v>
      </c>
      <c r="AA44" s="359">
        <f t="shared" si="16"/>
        <v>18728</v>
      </c>
      <c r="AB44" s="359">
        <f>+'5_Prioritate-1_Pielikums'!Q41</f>
        <v>7</v>
      </c>
      <c r="AC44" s="361">
        <f t="shared" si="17"/>
        <v>149.55601659751036</v>
      </c>
      <c r="AD44" s="347"/>
      <c r="AE44" s="347"/>
      <c r="AF44" s="347"/>
      <c r="AG44" s="347"/>
      <c r="AH44" s="362">
        <f t="shared" si="7"/>
        <v>1.7</v>
      </c>
      <c r="AI44" s="348">
        <f t="shared" si="8"/>
        <v>33187.834457031619</v>
      </c>
      <c r="AJ44" s="363">
        <f t="shared" si="9"/>
        <v>32744</v>
      </c>
      <c r="AK44" s="346">
        <f t="shared" si="10"/>
        <v>15902.802884732348</v>
      </c>
    </row>
    <row r="45" spans="1:37" x14ac:dyDescent="0.25">
      <c r="V45" s="347" t="str">
        <f>+'5_Prioritate-1_Pielikums'!F42</f>
        <v>Ūdeņi, Otrie Mežvidi ūdensapgādes sistēma</v>
      </c>
      <c r="W45" s="358">
        <f>+'5_Prioritate-1_Pielikums'!T42</f>
        <v>16.12</v>
      </c>
      <c r="X45" s="359">
        <f t="shared" si="14"/>
        <v>37329</v>
      </c>
      <c r="Y45" s="359"/>
      <c r="Z45" s="360">
        <f t="shared" si="15"/>
        <v>16.100000000000001</v>
      </c>
      <c r="AA45" s="359">
        <f t="shared" si="16"/>
        <v>32408</v>
      </c>
      <c r="AB45" s="359">
        <f>+'5_Prioritate-1_Pielikums'!Q42</f>
        <v>25</v>
      </c>
      <c r="AC45" s="361">
        <f t="shared" si="17"/>
        <v>534.12863070539413</v>
      </c>
      <c r="AD45" s="347"/>
      <c r="AE45" s="347"/>
      <c r="AF45" s="347"/>
      <c r="AG45" s="347"/>
      <c r="AH45" s="362">
        <f t="shared" si="7"/>
        <v>16.100000000000001</v>
      </c>
      <c r="AI45" s="348">
        <f t="shared" si="8"/>
        <v>37323.205150759502</v>
      </c>
      <c r="AJ45" s="363">
        <f t="shared" si="9"/>
        <v>34997</v>
      </c>
      <c r="AK45" s="346">
        <f t="shared" si="10"/>
        <v>47471.614492411332</v>
      </c>
    </row>
    <row r="46" spans="1:37" x14ac:dyDescent="0.25">
      <c r="V46" s="347" t="str">
        <f>+'5_Prioritate-1_Pielikums'!F43</f>
        <v>Ugāles ūdensapgādes sistēma Kalna skola</v>
      </c>
      <c r="W46" s="358">
        <f>+'5_Prioritate-1_Pielikums'!T43</f>
        <v>2.7300000000000004</v>
      </c>
      <c r="X46" s="359">
        <f t="shared" si="14"/>
        <v>33484</v>
      </c>
      <c r="Y46" s="359"/>
      <c r="Z46" s="360">
        <f t="shared" si="15"/>
        <v>2.7</v>
      </c>
      <c r="AA46" s="359">
        <f t="shared" si="16"/>
        <v>23022</v>
      </c>
      <c r="AB46" s="359">
        <f>+'5_Prioritate-1_Pielikums'!Q43</f>
        <v>70</v>
      </c>
      <c r="AC46" s="361">
        <f t="shared" si="17"/>
        <v>1495.5601659751037</v>
      </c>
      <c r="AD46" s="347"/>
      <c r="AE46" s="347"/>
      <c r="AF46" s="347"/>
      <c r="AG46" s="347"/>
      <c r="AH46" s="362">
        <f t="shared" si="7"/>
        <v>2.7</v>
      </c>
      <c r="AI46" s="348">
        <f t="shared" si="8"/>
        <v>33475.012977429389</v>
      </c>
      <c r="AJ46" s="363">
        <f t="shared" si="9"/>
        <v>32896</v>
      </c>
      <c r="AK46" s="346">
        <f t="shared" si="10"/>
        <v>22398.903382291908</v>
      </c>
    </row>
    <row r="47" spans="1:37" x14ac:dyDescent="0.25">
      <c r="V47" s="347" t="str">
        <f>+'5_Prioritate-1_Pielikums'!F44</f>
        <v>Ugāles ūdensapgādes sistēma Rīgas adītājs</v>
      </c>
      <c r="W47" s="358">
        <f>+'5_Prioritate-1_Pielikums'!T44</f>
        <v>10.4</v>
      </c>
      <c r="X47" s="359">
        <f t="shared" si="14"/>
        <v>35686</v>
      </c>
      <c r="Y47" s="359"/>
      <c r="Z47" s="360">
        <f t="shared" si="15"/>
        <v>10.4</v>
      </c>
      <c r="AA47" s="359">
        <f t="shared" si="16"/>
        <v>46576</v>
      </c>
      <c r="AB47" s="359">
        <f>+'5_Prioritate-1_Pielikums'!Q44</f>
        <v>429</v>
      </c>
      <c r="AC47" s="361">
        <f t="shared" si="17"/>
        <v>9165.6473029045628</v>
      </c>
      <c r="AD47" s="347"/>
      <c r="AE47" s="347"/>
      <c r="AF47" s="347"/>
      <c r="AG47" s="347"/>
      <c r="AH47" s="362">
        <f t="shared" si="7"/>
        <v>10.4</v>
      </c>
      <c r="AI47" s="348">
        <f t="shared" si="8"/>
        <v>35686.287584492216</v>
      </c>
      <c r="AJ47" s="363">
        <f t="shared" si="9"/>
        <v>34087</v>
      </c>
      <c r="AK47" s="346">
        <f t="shared" si="10"/>
        <v>41335.127136669114</v>
      </c>
    </row>
    <row r="48" spans="1:37" x14ac:dyDescent="0.25">
      <c r="B48" s="15">
        <v>50</v>
      </c>
      <c r="C48" s="282"/>
      <c r="V48" s="347" t="str">
        <f>+'5_Prioritate-1_Pielikums'!F45</f>
        <v>Ugāles ūdensapgādes sistēma Virpes kalns</v>
      </c>
      <c r="W48" s="358">
        <f>+'5_Prioritate-1_Pielikums'!T45</f>
        <v>47.45</v>
      </c>
      <c r="X48" s="359">
        <f t="shared" si="14"/>
        <v>46326</v>
      </c>
      <c r="Y48" s="359"/>
      <c r="Z48" s="360">
        <f t="shared" si="15"/>
        <v>47.5</v>
      </c>
      <c r="AA48" s="359">
        <f t="shared" si="16"/>
        <v>62424</v>
      </c>
      <c r="AB48" s="359">
        <f>+'5_Prioritate-1_Pielikums'!Q45</f>
        <v>30</v>
      </c>
      <c r="AC48" s="361">
        <f t="shared" si="17"/>
        <v>640.95435684647305</v>
      </c>
      <c r="AD48" s="347"/>
      <c r="AE48" s="347"/>
      <c r="AF48" s="347"/>
      <c r="AG48" s="347"/>
      <c r="AH48" s="362">
        <f t="shared" si="7"/>
        <v>47.5</v>
      </c>
      <c r="AI48" s="348">
        <f t="shared" si="8"/>
        <v>46340.610691249472</v>
      </c>
      <c r="AJ48" s="363">
        <f t="shared" si="9"/>
        <v>40460</v>
      </c>
      <c r="AK48" s="346">
        <f t="shared" si="10"/>
        <v>62663.662903250704</v>
      </c>
    </row>
    <row r="49" spans="22:37" x14ac:dyDescent="0.25">
      <c r="V49" s="347" t="str">
        <f>+'5_Prioritate-1_Pielikums'!F46</f>
        <v>Vaivodu ūdensapgādes sistēma</v>
      </c>
      <c r="W49" s="358">
        <f>+'5_Prioritate-1_Pielikums'!T46</f>
        <v>29.900000000000002</v>
      </c>
      <c r="X49" s="359">
        <f t="shared" si="14"/>
        <v>41286</v>
      </c>
      <c r="Y49" s="359"/>
      <c r="Z49" s="360">
        <f t="shared" si="15"/>
        <v>29.9</v>
      </c>
      <c r="AA49" s="359">
        <f t="shared" si="16"/>
        <v>78435</v>
      </c>
      <c r="AB49" s="359">
        <f>+'5_Prioritate-1_Pielikums'!Q46</f>
        <v>1400</v>
      </c>
      <c r="AC49" s="361">
        <f t="shared" si="17"/>
        <v>29911.203319502074</v>
      </c>
      <c r="AD49" s="347"/>
      <c r="AE49" s="347"/>
      <c r="AF49" s="347"/>
      <c r="AG49" s="347"/>
      <c r="AH49" s="362">
        <f t="shared" si="7"/>
        <v>29.9</v>
      </c>
      <c r="AI49" s="348">
        <f t="shared" si="8"/>
        <v>41286.268732248725</v>
      </c>
      <c r="AJ49" s="363">
        <f t="shared" si="9"/>
        <v>37300</v>
      </c>
      <c r="AK49" s="346">
        <f t="shared" si="10"/>
        <v>56164.084111774027</v>
      </c>
    </row>
    <row r="50" spans="22:37" x14ac:dyDescent="0.25">
      <c r="V50" s="347" t="str">
        <f>+'5_Prioritate-1_Pielikums'!F47</f>
        <v>Valdemārpils ūdensapgādes sistēma Parka iela</v>
      </c>
      <c r="W50" s="358">
        <f>+'5_Prioritate-1_Pielikums'!T47</f>
        <v>188.5</v>
      </c>
      <c r="X50" s="359">
        <f t="shared" si="14"/>
        <v>86833</v>
      </c>
      <c r="Y50" s="359"/>
      <c r="Z50" s="360">
        <f t="shared" si="15"/>
        <v>188.5</v>
      </c>
      <c r="AA50" s="359">
        <f t="shared" si="16"/>
        <v>112423</v>
      </c>
      <c r="AB50" s="359">
        <f>+'5_Prioritate-1_Pielikums'!Q47</f>
        <v>25</v>
      </c>
      <c r="AC50" s="361">
        <f t="shared" si="17"/>
        <v>534.12863070539413</v>
      </c>
      <c r="AD50" s="347"/>
      <c r="AE50" s="347"/>
      <c r="AF50" s="347"/>
      <c r="AG50" s="347"/>
      <c r="AH50" s="362">
        <f t="shared" si="7"/>
        <v>188.5</v>
      </c>
      <c r="AI50" s="348">
        <f t="shared" si="8"/>
        <v>86832.782067334992</v>
      </c>
      <c r="AJ50" s="363">
        <f t="shared" si="9"/>
        <v>77605</v>
      </c>
      <c r="AK50" s="346">
        <f t="shared" si="10"/>
        <v>82018.534732442611</v>
      </c>
    </row>
    <row r="51" spans="22:37" x14ac:dyDescent="0.25">
      <c r="V51" s="347" t="str">
        <f>+'5_Prioritate-1_Pielikums'!F48</f>
        <v>Valmieras pagasta ūdensapgādes sistēma Kalnieši</v>
      </c>
      <c r="W51" s="358">
        <f>+'5_Prioritate-1_Pielikums'!T48</f>
        <v>3.9000000000000004</v>
      </c>
      <c r="X51" s="359">
        <f t="shared" si="14"/>
        <v>33820</v>
      </c>
      <c r="Y51" s="359"/>
      <c r="Z51" s="360">
        <f t="shared" si="15"/>
        <v>3.9</v>
      </c>
      <c r="AA51" s="359">
        <f t="shared" si="16"/>
        <v>40016</v>
      </c>
      <c r="AB51" s="359">
        <f>+'5_Prioritate-1_Pielikums'!Q48</f>
        <v>30</v>
      </c>
      <c r="AC51" s="361">
        <f t="shared" si="17"/>
        <v>640.95435684647305</v>
      </c>
      <c r="AD51" s="347"/>
      <c r="AE51" s="347"/>
      <c r="AF51" s="347"/>
      <c r="AG51" s="347"/>
      <c r="AH51" s="362">
        <f t="shared" si="7"/>
        <v>3.9</v>
      </c>
      <c r="AI51" s="348">
        <f t="shared" si="8"/>
        <v>33819.627201906711</v>
      </c>
      <c r="AJ51" s="363">
        <f t="shared" si="9"/>
        <v>33079</v>
      </c>
      <c r="AK51" s="346">
        <f t="shared" si="10"/>
        <v>27562.447849460128</v>
      </c>
    </row>
    <row r="52" spans="22:37" x14ac:dyDescent="0.25">
      <c r="V52" s="347" t="str">
        <f>+'5_Prioritate-1_Pielikums'!F49</f>
        <v>Vanagu ūdensapgādes sistēma</v>
      </c>
      <c r="W52" s="358">
        <f>+'5_Prioritate-1_Pielikums'!T49</f>
        <v>3.9000000000000004</v>
      </c>
      <c r="X52" s="359">
        <f t="shared" si="14"/>
        <v>33820</v>
      </c>
      <c r="Y52" s="359"/>
      <c r="Z52" s="360">
        <f t="shared" si="15"/>
        <v>3.9</v>
      </c>
      <c r="AA52" s="359">
        <f t="shared" si="16"/>
        <v>40016</v>
      </c>
      <c r="AB52" s="359">
        <f>+'5_Prioritate-1_Pielikums'!Q49</f>
        <v>90</v>
      </c>
      <c r="AC52" s="361">
        <f t="shared" si="17"/>
        <v>1922.8630705394191</v>
      </c>
      <c r="AD52" s="347"/>
      <c r="AE52" s="347"/>
      <c r="AF52" s="347"/>
      <c r="AG52" s="347"/>
      <c r="AH52" s="362">
        <f t="shared" si="7"/>
        <v>3.9</v>
      </c>
      <c r="AI52" s="348">
        <f t="shared" si="8"/>
        <v>33819.627201906711</v>
      </c>
      <c r="AJ52" s="363">
        <f t="shared" si="9"/>
        <v>33079</v>
      </c>
      <c r="AK52" s="346">
        <f t="shared" si="10"/>
        <v>27562.447849460128</v>
      </c>
    </row>
    <row r="53" spans="22:37" x14ac:dyDescent="0.25">
      <c r="V53" s="347" t="str">
        <f>+'5_Prioritate-1_Pielikums'!F50</f>
        <v>Vitrupes ūdensapgādes sistēma</v>
      </c>
      <c r="W53" s="358">
        <f>+'5_Prioritate-1_Pielikums'!T50</f>
        <v>19.5</v>
      </c>
      <c r="X53" s="359">
        <f t="shared" si="14"/>
        <v>38300</v>
      </c>
      <c r="Y53" s="359"/>
      <c r="Z53" s="360">
        <f t="shared" si="15"/>
        <v>19.5</v>
      </c>
      <c r="AA53" s="359">
        <f t="shared" si="16"/>
        <v>78435</v>
      </c>
      <c r="AB53" s="359">
        <f>+'5_Prioritate-1_Pielikums'!Q50</f>
        <v>10</v>
      </c>
      <c r="AC53" s="361">
        <f t="shared" si="17"/>
        <v>213.65145228215766</v>
      </c>
      <c r="AD53" s="347"/>
      <c r="AE53" s="347"/>
      <c r="AF53" s="347"/>
      <c r="AG53" s="347"/>
      <c r="AH53" s="362">
        <f t="shared" si="7"/>
        <v>19.5</v>
      </c>
      <c r="AI53" s="348">
        <f t="shared" si="8"/>
        <v>38299.612120111917</v>
      </c>
      <c r="AJ53" s="363">
        <f t="shared" si="9"/>
        <v>35551</v>
      </c>
      <c r="AK53" s="346">
        <f t="shared" si="10"/>
        <v>50161.969766823859</v>
      </c>
    </row>
    <row r="54" spans="22:37" x14ac:dyDescent="0.25">
      <c r="V54" s="347" t="str">
        <f>+'5_Prioritate-1_Pielikums'!F51</f>
        <v>Zaņas ūdensapgādes sistēma Brīniņi</v>
      </c>
      <c r="W54" s="358">
        <f>+'5_Prioritate-1_Pielikums'!T51</f>
        <v>2.6</v>
      </c>
      <c r="X54" s="359">
        <f t="shared" si="14"/>
        <v>33446</v>
      </c>
      <c r="Y54" s="359"/>
      <c r="Z54" s="360">
        <f t="shared" si="15"/>
        <v>2.6</v>
      </c>
      <c r="AA54" s="359">
        <f t="shared" si="16"/>
        <v>23022</v>
      </c>
      <c r="AB54" s="359">
        <f>+'5_Prioritate-1_Pielikums'!Q51</f>
        <v>120</v>
      </c>
      <c r="AC54" s="361">
        <f t="shared" si="17"/>
        <v>2563.8174273858922</v>
      </c>
      <c r="AD54" s="347"/>
      <c r="AE54" s="347"/>
      <c r="AF54" s="347"/>
      <c r="AG54" s="347"/>
      <c r="AH54" s="362">
        <f t="shared" si="7"/>
        <v>2.6</v>
      </c>
      <c r="AI54" s="348">
        <f t="shared" si="8"/>
        <v>33446.29512538961</v>
      </c>
      <c r="AJ54" s="363">
        <f t="shared" si="9"/>
        <v>32881</v>
      </c>
      <c r="AK54" s="346">
        <f t="shared" si="10"/>
        <v>21868.958509720273</v>
      </c>
    </row>
    <row r="55" spans="22:37" x14ac:dyDescent="0.25">
      <c r="V55" s="347" t="str">
        <f>+'5_Prioritate-1_Pielikums'!F52</f>
        <v>Zaņas ūdensapgādes sistēma Bumbieri</v>
      </c>
      <c r="W55" s="358">
        <f>+'5_Prioritate-1_Pielikums'!T52</f>
        <v>41.47</v>
      </c>
      <c r="X55" s="359">
        <f t="shared" si="14"/>
        <v>44609</v>
      </c>
      <c r="Y55" s="359"/>
      <c r="Z55" s="360">
        <f t="shared" si="15"/>
        <v>41.5</v>
      </c>
      <c r="AA55" s="359">
        <f t="shared" si="16"/>
        <v>46050</v>
      </c>
      <c r="AB55" s="359">
        <f>+'5_Prioritate-1_Pielikums'!Q52</f>
        <v>13</v>
      </c>
      <c r="AC55" s="361">
        <f t="shared" si="17"/>
        <v>277.74688796680499</v>
      </c>
      <c r="AD55" s="347"/>
      <c r="AE55" s="347"/>
      <c r="AF55" s="347"/>
      <c r="AG55" s="347"/>
      <c r="AH55" s="362">
        <f t="shared" si="7"/>
        <v>41.5</v>
      </c>
      <c r="AI55" s="348">
        <f t="shared" si="8"/>
        <v>44617.539568862849</v>
      </c>
      <c r="AJ55" s="363">
        <f t="shared" si="9"/>
        <v>39354</v>
      </c>
      <c r="AK55" s="346">
        <f t="shared" si="10"/>
        <v>60767.500627036454</v>
      </c>
    </row>
    <row r="56" spans="22:37" x14ac:dyDescent="0.25">
      <c r="V56" s="347" t="str">
        <f>+'5_Prioritate-1_Pielikums'!F53</f>
        <v>Zaņas ūdensapgādes sistēma Zaņas muiža</v>
      </c>
      <c r="W56" s="358">
        <f>+'5_Prioritate-1_Pielikums'!T53</f>
        <v>4.03</v>
      </c>
      <c r="X56" s="359">
        <f t="shared" si="14"/>
        <v>33857</v>
      </c>
      <c r="Y56" s="359"/>
      <c r="Z56" s="360">
        <f t="shared" si="15"/>
        <v>4</v>
      </c>
      <c r="AA56" s="359">
        <f t="shared" si="16"/>
        <v>40016</v>
      </c>
      <c r="AB56" s="359">
        <f>+'5_Prioritate-1_Pielikums'!Q53</f>
        <v>200</v>
      </c>
      <c r="AC56" s="361">
        <f t="shared" si="17"/>
        <v>4273.029045643153</v>
      </c>
      <c r="AD56" s="347"/>
      <c r="AE56" s="347"/>
      <c r="AF56" s="347"/>
      <c r="AG56" s="347"/>
      <c r="AH56" s="362">
        <f t="shared" si="7"/>
        <v>4</v>
      </c>
      <c r="AI56" s="348">
        <f t="shared" si="8"/>
        <v>33848.34505394649</v>
      </c>
      <c r="AJ56" s="363">
        <f t="shared" si="9"/>
        <v>33094</v>
      </c>
      <c r="AK56" s="346">
        <f t="shared" si="10"/>
        <v>27917.957280436076</v>
      </c>
    </row>
    <row r="57" spans="22:37" x14ac:dyDescent="0.25">
      <c r="V57" s="347" t="str">
        <f>+'5_Prioritate-1_Pielikums'!F54</f>
        <v>Zaubes ūdensapgādes sistēma Centrs</v>
      </c>
      <c r="W57" s="358">
        <f>+'5_Prioritate-1_Pielikums'!T54</f>
        <v>52</v>
      </c>
      <c r="X57" s="359">
        <f t="shared" si="14"/>
        <v>47633</v>
      </c>
      <c r="Y57" s="359"/>
      <c r="Z57" s="360">
        <f t="shared" si="15"/>
        <v>52</v>
      </c>
      <c r="AA57" s="359">
        <f t="shared" si="16"/>
        <v>46050</v>
      </c>
      <c r="AB57" s="359">
        <f>+'5_Prioritate-1_Pielikums'!Q54</f>
        <v>57</v>
      </c>
      <c r="AC57" s="361">
        <f t="shared" si="17"/>
        <v>1217.8132780082988</v>
      </c>
      <c r="AD57" s="347"/>
      <c r="AE57" s="347"/>
      <c r="AF57" s="347"/>
      <c r="AG57" s="347"/>
      <c r="AH57" s="362">
        <f t="shared" si="7"/>
        <v>52</v>
      </c>
      <c r="AI57" s="348">
        <f t="shared" si="8"/>
        <v>47632.914033039429</v>
      </c>
      <c r="AJ57" s="363">
        <f t="shared" si="9"/>
        <v>41309</v>
      </c>
      <c r="AK57" s="346">
        <f t="shared" si="10"/>
        <v>63934.649054032852</v>
      </c>
    </row>
    <row r="58" spans="22:37" x14ac:dyDescent="0.25">
      <c r="V58" s="366" t="str">
        <f>+'5_Prioritate-1_Pielikums'!F55</f>
        <v>Zosnas ūdensapgādes sistēma</v>
      </c>
      <c r="W58" s="358">
        <f>+'5_Prioritate-1_Pielikums'!T55</f>
        <v>11.700000000000001</v>
      </c>
      <c r="X58" s="359">
        <f t="shared" si="14"/>
        <v>36060</v>
      </c>
      <c r="Y58" s="359"/>
      <c r="Z58" s="360">
        <f t="shared" si="15"/>
        <v>11.7</v>
      </c>
      <c r="AA58" s="359">
        <f t="shared" si="16"/>
        <v>46576</v>
      </c>
      <c r="AB58" s="359">
        <f>+'5_Prioritate-1_Pielikums'!Q55</f>
        <v>57</v>
      </c>
      <c r="AC58" s="361">
        <f t="shared" si="17"/>
        <v>1217.8132780082988</v>
      </c>
      <c r="AD58" s="347"/>
      <c r="AE58" s="347"/>
      <c r="AF58" s="347"/>
      <c r="AG58" s="347"/>
      <c r="AH58" s="362">
        <f t="shared" si="7"/>
        <v>11.7</v>
      </c>
      <c r="AI58" s="348">
        <f t="shared" si="8"/>
        <v>36059.619661009317</v>
      </c>
      <c r="AJ58" s="363">
        <f t="shared" si="9"/>
        <v>34293</v>
      </c>
      <c r="AK58" s="346">
        <f t="shared" si="10"/>
        <v>42989.021502674404</v>
      </c>
    </row>
    <row r="59" spans="22:37" x14ac:dyDescent="0.25">
      <c r="V59" s="350"/>
      <c r="W59" s="347"/>
      <c r="X59" s="359"/>
      <c r="Y59" s="359"/>
      <c r="Z59" s="360"/>
      <c r="AA59" s="359"/>
      <c r="AB59" s="359"/>
      <c r="AC59" s="361"/>
      <c r="AD59" s="347"/>
      <c r="AE59" s="347"/>
      <c r="AF59" s="347"/>
      <c r="AG59" s="347"/>
      <c r="AH59" s="362"/>
      <c r="AI59" s="348"/>
      <c r="AJ59" s="363"/>
      <c r="AK59" s="346"/>
    </row>
    <row r="60" spans="22:37" x14ac:dyDescent="0.25">
      <c r="V60" s="370" t="s">
        <v>482</v>
      </c>
      <c r="W60" s="347"/>
      <c r="X60" s="347"/>
      <c r="Y60" s="347"/>
      <c r="Z60" s="347"/>
      <c r="AA60" s="347"/>
      <c r="AB60" s="347"/>
      <c r="AC60" s="347"/>
      <c r="AD60" s="347"/>
      <c r="AE60" s="347"/>
      <c r="AF60" s="347"/>
      <c r="AG60" s="347"/>
      <c r="AH60" s="367"/>
      <c r="AI60" s="368">
        <f>SUM(AI8:AI59)</f>
        <v>1977154.7556717137</v>
      </c>
      <c r="AJ60" s="365">
        <f t="shared" ref="AJ60:AK60" si="18">SUM(AJ8:AJ59)</f>
        <v>1845181</v>
      </c>
      <c r="AK60" s="364">
        <f t="shared" si="18"/>
        <v>2114459.1273004403</v>
      </c>
    </row>
    <row r="62" spans="22:37" ht="15.75" thickBot="1" x14ac:dyDescent="0.3">
      <c r="V62" s="455" t="s">
        <v>404</v>
      </c>
      <c r="W62" s="456"/>
      <c r="X62" s="456"/>
      <c r="Y62" s="456"/>
      <c r="Z62" s="456"/>
      <c r="AA62" s="456"/>
      <c r="AB62" s="456"/>
      <c r="AC62" s="456"/>
      <c r="AD62" s="456"/>
      <c r="AE62" s="456"/>
      <c r="AF62" s="456"/>
      <c r="AG62" s="456"/>
      <c r="AH62" s="457"/>
      <c r="AI62" s="458">
        <f>AVERAGE(AI8:AI12)</f>
        <v>42032.932885282928</v>
      </c>
      <c r="AJ62" s="459">
        <f>AVERAGE(AJ8:AJ12)</f>
        <v>38116.400000000001</v>
      </c>
      <c r="AK62" s="108">
        <f>AVERAGE(AK8:AK12)</f>
        <v>50374.250181600619</v>
      </c>
    </row>
    <row r="63" spans="22:37" ht="15.75" thickBot="1" x14ac:dyDescent="0.3">
      <c r="V63" s="455" t="s">
        <v>405</v>
      </c>
      <c r="W63" s="456"/>
      <c r="X63" s="460">
        <f>SUM(X8:X61)</f>
        <v>1977152</v>
      </c>
      <c r="Y63" s="461"/>
      <c r="Z63" s="456"/>
      <c r="AA63" s="460">
        <f>SUM(AA8:AA61)</f>
        <v>2323930</v>
      </c>
      <c r="AB63" s="462"/>
      <c r="AC63" s="460">
        <f>SUM(AC8:AC61)</f>
        <v>124345.14522821573</v>
      </c>
      <c r="AD63" s="456"/>
      <c r="AE63" s="456"/>
      <c r="AF63" s="456"/>
      <c r="AG63" s="456"/>
      <c r="AH63" s="457"/>
      <c r="AI63" s="458">
        <f>+STDEVP(AI8:AI12)</f>
        <v>8477.1869374367125</v>
      </c>
      <c r="AJ63" s="459">
        <f>+STDEVP(AJ8:AJ12)</f>
        <v>5482.5563964267621</v>
      </c>
      <c r="AK63" s="108">
        <f>+STDEVP(AK8:AK12)</f>
        <v>14954.957731737812</v>
      </c>
    </row>
    <row r="64" spans="22:37" x14ac:dyDescent="0.25">
      <c r="V64" s="455" t="s">
        <v>406</v>
      </c>
      <c r="W64" s="456"/>
      <c r="X64" s="456"/>
      <c r="Y64" s="456"/>
      <c r="Z64" s="456"/>
      <c r="AA64" s="456"/>
      <c r="AB64" s="462"/>
      <c r="AC64" s="456"/>
      <c r="AD64" s="456"/>
      <c r="AE64" s="456"/>
      <c r="AF64" s="456"/>
      <c r="AG64" s="456"/>
      <c r="AH64" s="457"/>
      <c r="AI64" s="463">
        <f t="shared" ref="AI64:AJ64" si="19">+AI63/AI62</f>
        <v>0.20167964392522431</v>
      </c>
      <c r="AJ64" s="464">
        <f t="shared" si="19"/>
        <v>0.14383720383946969</v>
      </c>
      <c r="AK64" s="110">
        <f>+AK63/AK62</f>
        <v>0.29687702899447155</v>
      </c>
    </row>
    <row r="65" spans="22:36" x14ac:dyDescent="0.25">
      <c r="V65" s="465"/>
      <c r="W65" s="456"/>
      <c r="X65" s="456"/>
      <c r="Y65" s="456"/>
      <c r="Z65" s="456"/>
      <c r="AA65" s="456"/>
      <c r="AB65" s="456"/>
      <c r="AC65" s="456"/>
      <c r="AD65" s="456"/>
      <c r="AE65" s="456"/>
      <c r="AF65" s="456"/>
      <c r="AG65" s="456"/>
      <c r="AH65" s="457"/>
      <c r="AI65" s="457"/>
      <c r="AJ65" s="466"/>
    </row>
    <row r="66" spans="22:36" x14ac:dyDescent="0.25">
      <c r="AA66" s="103"/>
    </row>
    <row r="67" spans="22:36" x14ac:dyDescent="0.25">
      <c r="AA67" s="104"/>
    </row>
    <row r="68" spans="22:36" x14ac:dyDescent="0.25">
      <c r="V68" s="12"/>
      <c r="AG68" s="27"/>
      <c r="AH68" s="247"/>
      <c r="AI68" s="248"/>
    </row>
    <row r="69" spans="22:36" x14ac:dyDescent="0.25">
      <c r="V69" s="12"/>
      <c r="AG69" s="27"/>
      <c r="AH69" s="247"/>
      <c r="AI69" s="248"/>
    </row>
    <row r="70" spans="22:36" x14ac:dyDescent="0.25">
      <c r="AG70" s="27"/>
      <c r="AH70" s="247"/>
      <c r="AI70" s="248"/>
    </row>
    <row r="71" spans="22:36" x14ac:dyDescent="0.25">
      <c r="AG71" s="27"/>
      <c r="AH71" s="247"/>
      <c r="AI71" s="248"/>
    </row>
    <row r="72" spans="22:36" x14ac:dyDescent="0.25">
      <c r="AG72" s="27"/>
      <c r="AH72" s="247"/>
      <c r="AI72" s="248"/>
    </row>
    <row r="73" spans="22:36" x14ac:dyDescent="0.25">
      <c r="AG73" s="27"/>
      <c r="AH73" s="247"/>
      <c r="AI73" s="248"/>
    </row>
    <row r="74" spans="22:36" x14ac:dyDescent="0.25">
      <c r="AG74" s="27"/>
      <c r="AH74" s="247"/>
      <c r="AI74" s="248"/>
    </row>
    <row r="75" spans="22:36" x14ac:dyDescent="0.25">
      <c r="AG75" s="27"/>
      <c r="AH75" s="247"/>
      <c r="AI75" s="248"/>
    </row>
    <row r="76" spans="22:36" x14ac:dyDescent="0.25">
      <c r="AG76" s="27"/>
      <c r="AH76" s="247"/>
      <c r="AI76" s="248"/>
    </row>
    <row r="77" spans="22:36" x14ac:dyDescent="0.25">
      <c r="AG77" s="27"/>
      <c r="AH77" s="247"/>
      <c r="AI77" s="248"/>
    </row>
    <row r="78" spans="22:36" x14ac:dyDescent="0.25">
      <c r="AG78" s="27"/>
      <c r="AH78" s="247"/>
      <c r="AI78" s="248"/>
    </row>
    <row r="79" spans="22:36" x14ac:dyDescent="0.25">
      <c r="AG79" s="27"/>
      <c r="AH79" s="247"/>
      <c r="AI79" s="248"/>
    </row>
    <row r="80" spans="22:36" x14ac:dyDescent="0.25">
      <c r="AG80" s="27"/>
      <c r="AH80" s="247"/>
      <c r="AI80" s="248"/>
    </row>
    <row r="81" spans="33:35" x14ac:dyDescent="0.25">
      <c r="AG81" s="27"/>
      <c r="AH81" s="247"/>
      <c r="AI81" s="248"/>
    </row>
    <row r="82" spans="33:35" x14ac:dyDescent="0.25">
      <c r="AG82" s="27"/>
      <c r="AH82" s="247"/>
      <c r="AI82" s="248"/>
    </row>
    <row r="83" spans="33:35" x14ac:dyDescent="0.25">
      <c r="AG83" s="27"/>
      <c r="AH83" s="247"/>
      <c r="AI83" s="248"/>
    </row>
    <row r="84" spans="33:35" x14ac:dyDescent="0.25">
      <c r="AG84" s="27"/>
      <c r="AH84" s="247"/>
      <c r="AI84" s="248"/>
    </row>
    <row r="85" spans="33:35" x14ac:dyDescent="0.25">
      <c r="AG85" s="27"/>
      <c r="AH85" s="247"/>
      <c r="AI85" s="248"/>
    </row>
    <row r="86" spans="33:35" x14ac:dyDescent="0.25">
      <c r="AG86" s="27"/>
      <c r="AH86" s="247"/>
      <c r="AI86" s="248"/>
    </row>
    <row r="87" spans="33:35" x14ac:dyDescent="0.25">
      <c r="AG87" s="27"/>
      <c r="AH87" s="247"/>
      <c r="AI87" s="248"/>
    </row>
    <row r="88" spans="33:35" x14ac:dyDescent="0.25">
      <c r="AG88" s="27"/>
      <c r="AH88" s="247"/>
      <c r="AI88" s="248"/>
    </row>
    <row r="89" spans="33:35" x14ac:dyDescent="0.25">
      <c r="AG89" s="27"/>
      <c r="AH89" s="247"/>
      <c r="AI89" s="248"/>
    </row>
    <row r="90" spans="33:35" x14ac:dyDescent="0.25">
      <c r="AG90" s="27"/>
      <c r="AH90" s="247"/>
      <c r="AI90" s="248"/>
    </row>
    <row r="91" spans="33:35" x14ac:dyDescent="0.25">
      <c r="AG91" s="27"/>
      <c r="AH91" s="247"/>
      <c r="AI91" s="248"/>
    </row>
    <row r="92" spans="33:35" x14ac:dyDescent="0.25">
      <c r="AG92" s="27"/>
      <c r="AH92" s="247"/>
      <c r="AI92" s="248"/>
    </row>
    <row r="93" spans="33:35" x14ac:dyDescent="0.25">
      <c r="AG93" s="27"/>
      <c r="AH93" s="247"/>
      <c r="AI93" s="248"/>
    </row>
    <row r="94" spans="33:35" x14ac:dyDescent="0.25">
      <c r="AG94" s="27"/>
      <c r="AH94" s="247"/>
      <c r="AI94" s="248"/>
    </row>
    <row r="95" spans="33:35" x14ac:dyDescent="0.25">
      <c r="AG95" s="27"/>
      <c r="AH95" s="247"/>
      <c r="AI95" s="248"/>
    </row>
    <row r="96" spans="33:35" x14ac:dyDescent="0.25">
      <c r="AG96" s="27"/>
      <c r="AH96" s="247"/>
      <c r="AI96" s="248"/>
    </row>
    <row r="97" spans="33:35" x14ac:dyDescent="0.25">
      <c r="AG97" s="27"/>
      <c r="AH97" s="247"/>
      <c r="AI97" s="248"/>
    </row>
    <row r="98" spans="33:35" x14ac:dyDescent="0.25">
      <c r="AG98" s="27"/>
      <c r="AH98" s="247"/>
      <c r="AI98" s="248"/>
    </row>
    <row r="99" spans="33:35" x14ac:dyDescent="0.25">
      <c r="AG99" s="27"/>
      <c r="AH99" s="247"/>
      <c r="AI99" s="248"/>
    </row>
    <row r="100" spans="33:35" x14ac:dyDescent="0.25">
      <c r="AG100" s="27"/>
      <c r="AH100" s="247"/>
      <c r="AI100" s="248"/>
    </row>
    <row r="101" spans="33:35" x14ac:dyDescent="0.25">
      <c r="AG101" s="27"/>
      <c r="AH101" s="247"/>
      <c r="AI101" s="248"/>
    </row>
    <row r="102" spans="33:35" x14ac:dyDescent="0.25">
      <c r="AG102" s="27"/>
      <c r="AH102" s="247"/>
      <c r="AI102" s="248"/>
    </row>
    <row r="103" spans="33:35" x14ac:dyDescent="0.25">
      <c r="AG103" s="27"/>
      <c r="AH103" s="247"/>
      <c r="AI103" s="248"/>
    </row>
    <row r="104" spans="33:35" x14ac:dyDescent="0.25">
      <c r="AG104" s="27"/>
      <c r="AH104" s="247"/>
      <c r="AI104" s="248"/>
    </row>
    <row r="105" spans="33:35" x14ac:dyDescent="0.25">
      <c r="AG105" s="27"/>
      <c r="AH105" s="247"/>
      <c r="AI105" s="248"/>
    </row>
    <row r="106" spans="33:35" x14ac:dyDescent="0.25">
      <c r="AG106" s="27"/>
      <c r="AH106" s="247"/>
      <c r="AI106" s="248"/>
    </row>
    <row r="107" spans="33:35" x14ac:dyDescent="0.25">
      <c r="AG107" s="27"/>
      <c r="AH107" s="247"/>
      <c r="AI107" s="248"/>
    </row>
    <row r="108" spans="33:35" x14ac:dyDescent="0.25">
      <c r="AG108" s="27"/>
      <c r="AH108" s="247"/>
      <c r="AI108" s="248"/>
    </row>
    <row r="109" spans="33:35" x14ac:dyDescent="0.25">
      <c r="AG109" s="27"/>
      <c r="AH109" s="247"/>
      <c r="AI109" s="248"/>
    </row>
    <row r="110" spans="33:35" x14ac:dyDescent="0.25">
      <c r="AG110" s="27"/>
      <c r="AH110" s="247"/>
      <c r="AI110" s="248"/>
    </row>
    <row r="111" spans="33:35" x14ac:dyDescent="0.25">
      <c r="AG111" s="27"/>
      <c r="AH111" s="247"/>
      <c r="AI111" s="248"/>
    </row>
    <row r="112" spans="33:35" x14ac:dyDescent="0.25">
      <c r="AG112" s="27"/>
      <c r="AH112" s="247"/>
      <c r="AI112" s="248"/>
    </row>
    <row r="113" spans="33:35" x14ac:dyDescent="0.25">
      <c r="AG113" s="27"/>
      <c r="AH113" s="247"/>
      <c r="AI113" s="248"/>
    </row>
    <row r="114" spans="33:35" x14ac:dyDescent="0.25">
      <c r="AG114" s="27"/>
      <c r="AH114" s="247"/>
      <c r="AI114" s="248"/>
    </row>
    <row r="115" spans="33:35" x14ac:dyDescent="0.25">
      <c r="AG115" s="27"/>
      <c r="AH115" s="247"/>
      <c r="AI115" s="248"/>
    </row>
    <row r="116" spans="33:35" x14ac:dyDescent="0.25">
      <c r="AG116" s="27"/>
      <c r="AH116" s="247"/>
      <c r="AI116" s="248"/>
    </row>
    <row r="117" spans="33:35" x14ac:dyDescent="0.25">
      <c r="AG117" s="27"/>
      <c r="AH117" s="247"/>
      <c r="AI117" s="248"/>
    </row>
    <row r="118" spans="33:35" x14ac:dyDescent="0.25">
      <c r="AG118" s="27"/>
      <c r="AH118" s="247"/>
      <c r="AI118" s="248"/>
    </row>
    <row r="119" spans="33:35" x14ac:dyDescent="0.25">
      <c r="AG119" s="27"/>
      <c r="AH119" s="247"/>
      <c r="AI119" s="248"/>
    </row>
  </sheetData>
  <pageMargins left="1.03" right="0.17" top="0.44" bottom="0.59" header="0.3" footer="0.16"/>
  <pageSetup paperSize="9" scale="90" orientation="portrait" r:id="rId1"/>
  <headerFooter>
    <oddFooter>&amp;C&amp;A&amp;RLapa &amp;P no &amp;N</oddFooter>
  </headerFooter>
  <colBreaks count="1" manualBreakCount="1">
    <brk id="20" min="6" max="6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0"/>
  <sheetViews>
    <sheetView view="pageBreakPreview" topLeftCell="A7" zoomScale="85" zoomScaleNormal="115" zoomScaleSheetLayoutView="85" workbookViewId="0">
      <selection activeCell="D31" sqref="D31"/>
    </sheetView>
  </sheetViews>
  <sheetFormatPr defaultRowHeight="15.75" x14ac:dyDescent="0.25"/>
  <cols>
    <col min="1" max="1" width="17.42578125" style="113" customWidth="1"/>
    <col min="2" max="2" width="9.140625" style="113"/>
    <col min="3" max="3" width="15.7109375" style="113" customWidth="1"/>
    <col min="4" max="4" width="14.5703125" style="113" customWidth="1"/>
    <col min="5" max="5" width="13.85546875" style="113" customWidth="1"/>
    <col min="6" max="6" width="14.42578125" style="113" customWidth="1"/>
    <col min="7" max="7" width="13.5703125" style="113" customWidth="1"/>
    <col min="8" max="8" width="12.28515625" style="113" customWidth="1"/>
    <col min="9" max="9" width="10.7109375" style="113" customWidth="1"/>
    <col min="10" max="10" width="11.5703125" style="113" customWidth="1"/>
    <col min="11" max="11" width="9.85546875" style="113" bestFit="1" customWidth="1"/>
    <col min="12" max="256" width="9.140625" style="113"/>
    <col min="257" max="257" width="17.42578125" style="113" customWidth="1"/>
    <col min="258" max="258" width="9.140625" style="113"/>
    <col min="259" max="259" width="46" style="113" customWidth="1"/>
    <col min="260" max="260" width="14.5703125" style="113" customWidth="1"/>
    <col min="261" max="261" width="13.85546875" style="113" customWidth="1"/>
    <col min="262" max="262" width="14.42578125" style="113" customWidth="1"/>
    <col min="263" max="263" width="13.5703125" style="113" customWidth="1"/>
    <col min="264" max="264" width="12.28515625" style="113" customWidth="1"/>
    <col min="265" max="265" width="10.7109375" style="113" customWidth="1"/>
    <col min="266" max="266" width="11.5703125" style="113" customWidth="1"/>
    <col min="267" max="267" width="9.85546875" style="113" bestFit="1" customWidth="1"/>
    <col min="268" max="512" width="9.140625" style="113"/>
    <col min="513" max="513" width="17.42578125" style="113" customWidth="1"/>
    <col min="514" max="514" width="9.140625" style="113"/>
    <col min="515" max="515" width="46" style="113" customWidth="1"/>
    <col min="516" max="516" width="14.5703125" style="113" customWidth="1"/>
    <col min="517" max="517" width="13.85546875" style="113" customWidth="1"/>
    <col min="518" max="518" width="14.42578125" style="113" customWidth="1"/>
    <col min="519" max="519" width="13.5703125" style="113" customWidth="1"/>
    <col min="520" max="520" width="12.28515625" style="113" customWidth="1"/>
    <col min="521" max="521" width="10.7109375" style="113" customWidth="1"/>
    <col min="522" max="522" width="11.5703125" style="113" customWidth="1"/>
    <col min="523" max="523" width="9.85546875" style="113" bestFit="1" customWidth="1"/>
    <col min="524" max="768" width="9.140625" style="113"/>
    <col min="769" max="769" width="17.42578125" style="113" customWidth="1"/>
    <col min="770" max="770" width="9.140625" style="113"/>
    <col min="771" max="771" width="46" style="113" customWidth="1"/>
    <col min="772" max="772" width="14.5703125" style="113" customWidth="1"/>
    <col min="773" max="773" width="13.85546875" style="113" customWidth="1"/>
    <col min="774" max="774" width="14.42578125" style="113" customWidth="1"/>
    <col min="775" max="775" width="13.5703125" style="113" customWidth="1"/>
    <col min="776" max="776" width="12.28515625" style="113" customWidth="1"/>
    <col min="777" max="777" width="10.7109375" style="113" customWidth="1"/>
    <col min="778" max="778" width="11.5703125" style="113" customWidth="1"/>
    <col min="779" max="779" width="9.85546875" style="113" bestFit="1" customWidth="1"/>
    <col min="780" max="1024" width="9.140625" style="113"/>
    <col min="1025" max="1025" width="17.42578125" style="113" customWidth="1"/>
    <col min="1026" max="1026" width="9.140625" style="113"/>
    <col min="1027" max="1027" width="46" style="113" customWidth="1"/>
    <col min="1028" max="1028" width="14.5703125" style="113" customWidth="1"/>
    <col min="1029" max="1029" width="13.85546875" style="113" customWidth="1"/>
    <col min="1030" max="1030" width="14.42578125" style="113" customWidth="1"/>
    <col min="1031" max="1031" width="13.5703125" style="113" customWidth="1"/>
    <col min="1032" max="1032" width="12.28515625" style="113" customWidth="1"/>
    <col min="1033" max="1033" width="10.7109375" style="113" customWidth="1"/>
    <col min="1034" max="1034" width="11.5703125" style="113" customWidth="1"/>
    <col min="1035" max="1035" width="9.85546875" style="113" bestFit="1" customWidth="1"/>
    <col min="1036" max="1280" width="9.140625" style="113"/>
    <col min="1281" max="1281" width="17.42578125" style="113" customWidth="1"/>
    <col min="1282" max="1282" width="9.140625" style="113"/>
    <col min="1283" max="1283" width="46" style="113" customWidth="1"/>
    <col min="1284" max="1284" width="14.5703125" style="113" customWidth="1"/>
    <col min="1285" max="1285" width="13.85546875" style="113" customWidth="1"/>
    <col min="1286" max="1286" width="14.42578125" style="113" customWidth="1"/>
    <col min="1287" max="1287" width="13.5703125" style="113" customWidth="1"/>
    <col min="1288" max="1288" width="12.28515625" style="113" customWidth="1"/>
    <col min="1289" max="1289" width="10.7109375" style="113" customWidth="1"/>
    <col min="1290" max="1290" width="11.5703125" style="113" customWidth="1"/>
    <col min="1291" max="1291" width="9.85546875" style="113" bestFit="1" customWidth="1"/>
    <col min="1292" max="1536" width="9.140625" style="113"/>
    <col min="1537" max="1537" width="17.42578125" style="113" customWidth="1"/>
    <col min="1538" max="1538" width="9.140625" style="113"/>
    <col min="1539" max="1539" width="46" style="113" customWidth="1"/>
    <col min="1540" max="1540" width="14.5703125" style="113" customWidth="1"/>
    <col min="1541" max="1541" width="13.85546875" style="113" customWidth="1"/>
    <col min="1542" max="1542" width="14.42578125" style="113" customWidth="1"/>
    <col min="1543" max="1543" width="13.5703125" style="113" customWidth="1"/>
    <col min="1544" max="1544" width="12.28515625" style="113" customWidth="1"/>
    <col min="1545" max="1545" width="10.7109375" style="113" customWidth="1"/>
    <col min="1546" max="1546" width="11.5703125" style="113" customWidth="1"/>
    <col min="1547" max="1547" width="9.85546875" style="113" bestFit="1" customWidth="1"/>
    <col min="1548" max="1792" width="9.140625" style="113"/>
    <col min="1793" max="1793" width="17.42578125" style="113" customWidth="1"/>
    <col min="1794" max="1794" width="9.140625" style="113"/>
    <col min="1795" max="1795" width="46" style="113" customWidth="1"/>
    <col min="1796" max="1796" width="14.5703125" style="113" customWidth="1"/>
    <col min="1797" max="1797" width="13.85546875" style="113" customWidth="1"/>
    <col min="1798" max="1798" width="14.42578125" style="113" customWidth="1"/>
    <col min="1799" max="1799" width="13.5703125" style="113" customWidth="1"/>
    <col min="1800" max="1800" width="12.28515625" style="113" customWidth="1"/>
    <col min="1801" max="1801" width="10.7109375" style="113" customWidth="1"/>
    <col min="1802" max="1802" width="11.5703125" style="113" customWidth="1"/>
    <col min="1803" max="1803" width="9.85546875" style="113" bestFit="1" customWidth="1"/>
    <col min="1804" max="2048" width="9.140625" style="113"/>
    <col min="2049" max="2049" width="17.42578125" style="113" customWidth="1"/>
    <col min="2050" max="2050" width="9.140625" style="113"/>
    <col min="2051" max="2051" width="46" style="113" customWidth="1"/>
    <col min="2052" max="2052" width="14.5703125" style="113" customWidth="1"/>
    <col min="2053" max="2053" width="13.85546875" style="113" customWidth="1"/>
    <col min="2054" max="2054" width="14.42578125" style="113" customWidth="1"/>
    <col min="2055" max="2055" width="13.5703125" style="113" customWidth="1"/>
    <col min="2056" max="2056" width="12.28515625" style="113" customWidth="1"/>
    <col min="2057" max="2057" width="10.7109375" style="113" customWidth="1"/>
    <col min="2058" max="2058" width="11.5703125" style="113" customWidth="1"/>
    <col min="2059" max="2059" width="9.85546875" style="113" bestFit="1" customWidth="1"/>
    <col min="2060" max="2304" width="9.140625" style="113"/>
    <col min="2305" max="2305" width="17.42578125" style="113" customWidth="1"/>
    <col min="2306" max="2306" width="9.140625" style="113"/>
    <col min="2307" max="2307" width="46" style="113" customWidth="1"/>
    <col min="2308" max="2308" width="14.5703125" style="113" customWidth="1"/>
    <col min="2309" max="2309" width="13.85546875" style="113" customWidth="1"/>
    <col min="2310" max="2310" width="14.42578125" style="113" customWidth="1"/>
    <col min="2311" max="2311" width="13.5703125" style="113" customWidth="1"/>
    <col min="2312" max="2312" width="12.28515625" style="113" customWidth="1"/>
    <col min="2313" max="2313" width="10.7109375" style="113" customWidth="1"/>
    <col min="2314" max="2314" width="11.5703125" style="113" customWidth="1"/>
    <col min="2315" max="2315" width="9.85546875" style="113" bestFit="1" customWidth="1"/>
    <col min="2316" max="2560" width="9.140625" style="113"/>
    <col min="2561" max="2561" width="17.42578125" style="113" customWidth="1"/>
    <col min="2562" max="2562" width="9.140625" style="113"/>
    <col min="2563" max="2563" width="46" style="113" customWidth="1"/>
    <col min="2564" max="2564" width="14.5703125" style="113" customWidth="1"/>
    <col min="2565" max="2565" width="13.85546875" style="113" customWidth="1"/>
    <col min="2566" max="2566" width="14.42578125" style="113" customWidth="1"/>
    <col min="2567" max="2567" width="13.5703125" style="113" customWidth="1"/>
    <col min="2568" max="2568" width="12.28515625" style="113" customWidth="1"/>
    <col min="2569" max="2569" width="10.7109375" style="113" customWidth="1"/>
    <col min="2570" max="2570" width="11.5703125" style="113" customWidth="1"/>
    <col min="2571" max="2571" width="9.85546875" style="113" bestFit="1" customWidth="1"/>
    <col min="2572" max="2816" width="9.140625" style="113"/>
    <col min="2817" max="2817" width="17.42578125" style="113" customWidth="1"/>
    <col min="2818" max="2818" width="9.140625" style="113"/>
    <col min="2819" max="2819" width="46" style="113" customWidth="1"/>
    <col min="2820" max="2820" width="14.5703125" style="113" customWidth="1"/>
    <col min="2821" max="2821" width="13.85546875" style="113" customWidth="1"/>
    <col min="2822" max="2822" width="14.42578125" style="113" customWidth="1"/>
    <col min="2823" max="2823" width="13.5703125" style="113" customWidth="1"/>
    <col min="2824" max="2824" width="12.28515625" style="113" customWidth="1"/>
    <col min="2825" max="2825" width="10.7109375" style="113" customWidth="1"/>
    <col min="2826" max="2826" width="11.5703125" style="113" customWidth="1"/>
    <col min="2827" max="2827" width="9.85546875" style="113" bestFit="1" customWidth="1"/>
    <col min="2828" max="3072" width="9.140625" style="113"/>
    <col min="3073" max="3073" width="17.42578125" style="113" customWidth="1"/>
    <col min="3074" max="3074" width="9.140625" style="113"/>
    <col min="3075" max="3075" width="46" style="113" customWidth="1"/>
    <col min="3076" max="3076" width="14.5703125" style="113" customWidth="1"/>
    <col min="3077" max="3077" width="13.85546875" style="113" customWidth="1"/>
    <col min="3078" max="3078" width="14.42578125" style="113" customWidth="1"/>
    <col min="3079" max="3079" width="13.5703125" style="113" customWidth="1"/>
    <col min="3080" max="3080" width="12.28515625" style="113" customWidth="1"/>
    <col min="3081" max="3081" width="10.7109375" style="113" customWidth="1"/>
    <col min="3082" max="3082" width="11.5703125" style="113" customWidth="1"/>
    <col min="3083" max="3083" width="9.85546875" style="113" bestFit="1" customWidth="1"/>
    <col min="3084" max="3328" width="9.140625" style="113"/>
    <col min="3329" max="3329" width="17.42578125" style="113" customWidth="1"/>
    <col min="3330" max="3330" width="9.140625" style="113"/>
    <col min="3331" max="3331" width="46" style="113" customWidth="1"/>
    <col min="3332" max="3332" width="14.5703125" style="113" customWidth="1"/>
    <col min="3333" max="3333" width="13.85546875" style="113" customWidth="1"/>
    <col min="3334" max="3334" width="14.42578125" style="113" customWidth="1"/>
    <col min="3335" max="3335" width="13.5703125" style="113" customWidth="1"/>
    <col min="3336" max="3336" width="12.28515625" style="113" customWidth="1"/>
    <col min="3337" max="3337" width="10.7109375" style="113" customWidth="1"/>
    <col min="3338" max="3338" width="11.5703125" style="113" customWidth="1"/>
    <col min="3339" max="3339" width="9.85546875" style="113" bestFit="1" customWidth="1"/>
    <col min="3340" max="3584" width="9.140625" style="113"/>
    <col min="3585" max="3585" width="17.42578125" style="113" customWidth="1"/>
    <col min="3586" max="3586" width="9.140625" style="113"/>
    <col min="3587" max="3587" width="46" style="113" customWidth="1"/>
    <col min="3588" max="3588" width="14.5703125" style="113" customWidth="1"/>
    <col min="3589" max="3589" width="13.85546875" style="113" customWidth="1"/>
    <col min="3590" max="3590" width="14.42578125" style="113" customWidth="1"/>
    <col min="3591" max="3591" width="13.5703125" style="113" customWidth="1"/>
    <col min="3592" max="3592" width="12.28515625" style="113" customWidth="1"/>
    <col min="3593" max="3593" width="10.7109375" style="113" customWidth="1"/>
    <col min="3594" max="3594" width="11.5703125" style="113" customWidth="1"/>
    <col min="3595" max="3595" width="9.85546875" style="113" bestFit="1" customWidth="1"/>
    <col min="3596" max="3840" width="9.140625" style="113"/>
    <col min="3841" max="3841" width="17.42578125" style="113" customWidth="1"/>
    <col min="3842" max="3842" width="9.140625" style="113"/>
    <col min="3843" max="3843" width="46" style="113" customWidth="1"/>
    <col min="3844" max="3844" width="14.5703125" style="113" customWidth="1"/>
    <col min="3845" max="3845" width="13.85546875" style="113" customWidth="1"/>
    <col min="3846" max="3846" width="14.42578125" style="113" customWidth="1"/>
    <col min="3847" max="3847" width="13.5703125" style="113" customWidth="1"/>
    <col min="3848" max="3848" width="12.28515625" style="113" customWidth="1"/>
    <col min="3849" max="3849" width="10.7109375" style="113" customWidth="1"/>
    <col min="3850" max="3850" width="11.5703125" style="113" customWidth="1"/>
    <col min="3851" max="3851" width="9.85546875" style="113" bestFit="1" customWidth="1"/>
    <col min="3852" max="4096" width="9.140625" style="113"/>
    <col min="4097" max="4097" width="17.42578125" style="113" customWidth="1"/>
    <col min="4098" max="4098" width="9.140625" style="113"/>
    <col min="4099" max="4099" width="46" style="113" customWidth="1"/>
    <col min="4100" max="4100" width="14.5703125" style="113" customWidth="1"/>
    <col min="4101" max="4101" width="13.85546875" style="113" customWidth="1"/>
    <col min="4102" max="4102" width="14.42578125" style="113" customWidth="1"/>
    <col min="4103" max="4103" width="13.5703125" style="113" customWidth="1"/>
    <col min="4104" max="4104" width="12.28515625" style="113" customWidth="1"/>
    <col min="4105" max="4105" width="10.7109375" style="113" customWidth="1"/>
    <col min="4106" max="4106" width="11.5703125" style="113" customWidth="1"/>
    <col min="4107" max="4107" width="9.85546875" style="113" bestFit="1" customWidth="1"/>
    <col min="4108" max="4352" width="9.140625" style="113"/>
    <col min="4353" max="4353" width="17.42578125" style="113" customWidth="1"/>
    <col min="4354" max="4354" width="9.140625" style="113"/>
    <col min="4355" max="4355" width="46" style="113" customWidth="1"/>
    <col min="4356" max="4356" width="14.5703125" style="113" customWidth="1"/>
    <col min="4357" max="4357" width="13.85546875" style="113" customWidth="1"/>
    <col min="4358" max="4358" width="14.42578125" style="113" customWidth="1"/>
    <col min="4359" max="4359" width="13.5703125" style="113" customWidth="1"/>
    <col min="4360" max="4360" width="12.28515625" style="113" customWidth="1"/>
    <col min="4361" max="4361" width="10.7109375" style="113" customWidth="1"/>
    <col min="4362" max="4362" width="11.5703125" style="113" customWidth="1"/>
    <col min="4363" max="4363" width="9.85546875" style="113" bestFit="1" customWidth="1"/>
    <col min="4364" max="4608" width="9.140625" style="113"/>
    <col min="4609" max="4609" width="17.42578125" style="113" customWidth="1"/>
    <col min="4610" max="4610" width="9.140625" style="113"/>
    <col min="4611" max="4611" width="46" style="113" customWidth="1"/>
    <col min="4612" max="4612" width="14.5703125" style="113" customWidth="1"/>
    <col min="4613" max="4613" width="13.85546875" style="113" customWidth="1"/>
    <col min="4614" max="4614" width="14.42578125" style="113" customWidth="1"/>
    <col min="4615" max="4615" width="13.5703125" style="113" customWidth="1"/>
    <col min="4616" max="4616" width="12.28515625" style="113" customWidth="1"/>
    <col min="4617" max="4617" width="10.7109375" style="113" customWidth="1"/>
    <col min="4618" max="4618" width="11.5703125" style="113" customWidth="1"/>
    <col min="4619" max="4619" width="9.85546875" style="113" bestFit="1" customWidth="1"/>
    <col min="4620" max="4864" width="9.140625" style="113"/>
    <col min="4865" max="4865" width="17.42578125" style="113" customWidth="1"/>
    <col min="4866" max="4866" width="9.140625" style="113"/>
    <col min="4867" max="4867" width="46" style="113" customWidth="1"/>
    <col min="4868" max="4868" width="14.5703125" style="113" customWidth="1"/>
    <col min="4869" max="4869" width="13.85546875" style="113" customWidth="1"/>
    <col min="4870" max="4870" width="14.42578125" style="113" customWidth="1"/>
    <col min="4871" max="4871" width="13.5703125" style="113" customWidth="1"/>
    <col min="4872" max="4872" width="12.28515625" style="113" customWidth="1"/>
    <col min="4873" max="4873" width="10.7109375" style="113" customWidth="1"/>
    <col min="4874" max="4874" width="11.5703125" style="113" customWidth="1"/>
    <col min="4875" max="4875" width="9.85546875" style="113" bestFit="1" customWidth="1"/>
    <col min="4876" max="5120" width="9.140625" style="113"/>
    <col min="5121" max="5121" width="17.42578125" style="113" customWidth="1"/>
    <col min="5122" max="5122" width="9.140625" style="113"/>
    <col min="5123" max="5123" width="46" style="113" customWidth="1"/>
    <col min="5124" max="5124" width="14.5703125" style="113" customWidth="1"/>
    <col min="5125" max="5125" width="13.85546875" style="113" customWidth="1"/>
    <col min="5126" max="5126" width="14.42578125" style="113" customWidth="1"/>
    <col min="5127" max="5127" width="13.5703125" style="113" customWidth="1"/>
    <col min="5128" max="5128" width="12.28515625" style="113" customWidth="1"/>
    <col min="5129" max="5129" width="10.7109375" style="113" customWidth="1"/>
    <col min="5130" max="5130" width="11.5703125" style="113" customWidth="1"/>
    <col min="5131" max="5131" width="9.85546875" style="113" bestFit="1" customWidth="1"/>
    <col min="5132" max="5376" width="9.140625" style="113"/>
    <col min="5377" max="5377" width="17.42578125" style="113" customWidth="1"/>
    <col min="5378" max="5378" width="9.140625" style="113"/>
    <col min="5379" max="5379" width="46" style="113" customWidth="1"/>
    <col min="5380" max="5380" width="14.5703125" style="113" customWidth="1"/>
    <col min="5381" max="5381" width="13.85546875" style="113" customWidth="1"/>
    <col min="5382" max="5382" width="14.42578125" style="113" customWidth="1"/>
    <col min="5383" max="5383" width="13.5703125" style="113" customWidth="1"/>
    <col min="5384" max="5384" width="12.28515625" style="113" customWidth="1"/>
    <col min="5385" max="5385" width="10.7109375" style="113" customWidth="1"/>
    <col min="5386" max="5386" width="11.5703125" style="113" customWidth="1"/>
    <col min="5387" max="5387" width="9.85546875" style="113" bestFit="1" customWidth="1"/>
    <col min="5388" max="5632" width="9.140625" style="113"/>
    <col min="5633" max="5633" width="17.42578125" style="113" customWidth="1"/>
    <col min="5634" max="5634" width="9.140625" style="113"/>
    <col min="5635" max="5635" width="46" style="113" customWidth="1"/>
    <col min="5636" max="5636" width="14.5703125" style="113" customWidth="1"/>
    <col min="5637" max="5637" width="13.85546875" style="113" customWidth="1"/>
    <col min="5638" max="5638" width="14.42578125" style="113" customWidth="1"/>
    <col min="5639" max="5639" width="13.5703125" style="113" customWidth="1"/>
    <col min="5640" max="5640" width="12.28515625" style="113" customWidth="1"/>
    <col min="5641" max="5641" width="10.7109375" style="113" customWidth="1"/>
    <col min="5642" max="5642" width="11.5703125" style="113" customWidth="1"/>
    <col min="5643" max="5643" width="9.85546875" style="113" bestFit="1" customWidth="1"/>
    <col min="5644" max="5888" width="9.140625" style="113"/>
    <col min="5889" max="5889" width="17.42578125" style="113" customWidth="1"/>
    <col min="5890" max="5890" width="9.140625" style="113"/>
    <col min="5891" max="5891" width="46" style="113" customWidth="1"/>
    <col min="5892" max="5892" width="14.5703125" style="113" customWidth="1"/>
    <col min="5893" max="5893" width="13.85546875" style="113" customWidth="1"/>
    <col min="5894" max="5894" width="14.42578125" style="113" customWidth="1"/>
    <col min="5895" max="5895" width="13.5703125" style="113" customWidth="1"/>
    <col min="5896" max="5896" width="12.28515625" style="113" customWidth="1"/>
    <col min="5897" max="5897" width="10.7109375" style="113" customWidth="1"/>
    <col min="5898" max="5898" width="11.5703125" style="113" customWidth="1"/>
    <col min="5899" max="5899" width="9.85546875" style="113" bestFit="1" customWidth="1"/>
    <col min="5900" max="6144" width="9.140625" style="113"/>
    <col min="6145" max="6145" width="17.42578125" style="113" customWidth="1"/>
    <col min="6146" max="6146" width="9.140625" style="113"/>
    <col min="6147" max="6147" width="46" style="113" customWidth="1"/>
    <col min="6148" max="6148" width="14.5703125" style="113" customWidth="1"/>
    <col min="6149" max="6149" width="13.85546875" style="113" customWidth="1"/>
    <col min="6150" max="6150" width="14.42578125" style="113" customWidth="1"/>
    <col min="6151" max="6151" width="13.5703125" style="113" customWidth="1"/>
    <col min="6152" max="6152" width="12.28515625" style="113" customWidth="1"/>
    <col min="6153" max="6153" width="10.7109375" style="113" customWidth="1"/>
    <col min="6154" max="6154" width="11.5703125" style="113" customWidth="1"/>
    <col min="6155" max="6155" width="9.85546875" style="113" bestFit="1" customWidth="1"/>
    <col min="6156" max="6400" width="9.140625" style="113"/>
    <col min="6401" max="6401" width="17.42578125" style="113" customWidth="1"/>
    <col min="6402" max="6402" width="9.140625" style="113"/>
    <col min="6403" max="6403" width="46" style="113" customWidth="1"/>
    <col min="6404" max="6404" width="14.5703125" style="113" customWidth="1"/>
    <col min="6405" max="6405" width="13.85546875" style="113" customWidth="1"/>
    <col min="6406" max="6406" width="14.42578125" style="113" customWidth="1"/>
    <col min="6407" max="6407" width="13.5703125" style="113" customWidth="1"/>
    <col min="6408" max="6408" width="12.28515625" style="113" customWidth="1"/>
    <col min="6409" max="6409" width="10.7109375" style="113" customWidth="1"/>
    <col min="6410" max="6410" width="11.5703125" style="113" customWidth="1"/>
    <col min="6411" max="6411" width="9.85546875" style="113" bestFit="1" customWidth="1"/>
    <col min="6412" max="6656" width="9.140625" style="113"/>
    <col min="6657" max="6657" width="17.42578125" style="113" customWidth="1"/>
    <col min="6658" max="6658" width="9.140625" style="113"/>
    <col min="6659" max="6659" width="46" style="113" customWidth="1"/>
    <col min="6660" max="6660" width="14.5703125" style="113" customWidth="1"/>
    <col min="6661" max="6661" width="13.85546875" style="113" customWidth="1"/>
    <col min="6662" max="6662" width="14.42578125" style="113" customWidth="1"/>
    <col min="6663" max="6663" width="13.5703125" style="113" customWidth="1"/>
    <col min="6664" max="6664" width="12.28515625" style="113" customWidth="1"/>
    <col min="6665" max="6665" width="10.7109375" style="113" customWidth="1"/>
    <col min="6666" max="6666" width="11.5703125" style="113" customWidth="1"/>
    <col min="6667" max="6667" width="9.85546875" style="113" bestFit="1" customWidth="1"/>
    <col min="6668" max="6912" width="9.140625" style="113"/>
    <col min="6913" max="6913" width="17.42578125" style="113" customWidth="1"/>
    <col min="6914" max="6914" width="9.140625" style="113"/>
    <col min="6915" max="6915" width="46" style="113" customWidth="1"/>
    <col min="6916" max="6916" width="14.5703125" style="113" customWidth="1"/>
    <col min="6917" max="6917" width="13.85546875" style="113" customWidth="1"/>
    <col min="6918" max="6918" width="14.42578125" style="113" customWidth="1"/>
    <col min="6919" max="6919" width="13.5703125" style="113" customWidth="1"/>
    <col min="6920" max="6920" width="12.28515625" style="113" customWidth="1"/>
    <col min="6921" max="6921" width="10.7109375" style="113" customWidth="1"/>
    <col min="6922" max="6922" width="11.5703125" style="113" customWidth="1"/>
    <col min="6923" max="6923" width="9.85546875" style="113" bestFit="1" customWidth="1"/>
    <col min="6924" max="7168" width="9.140625" style="113"/>
    <col min="7169" max="7169" width="17.42578125" style="113" customWidth="1"/>
    <col min="7170" max="7170" width="9.140625" style="113"/>
    <col min="7171" max="7171" width="46" style="113" customWidth="1"/>
    <col min="7172" max="7172" width="14.5703125" style="113" customWidth="1"/>
    <col min="7173" max="7173" width="13.85546875" style="113" customWidth="1"/>
    <col min="7174" max="7174" width="14.42578125" style="113" customWidth="1"/>
    <col min="7175" max="7175" width="13.5703125" style="113" customWidth="1"/>
    <col min="7176" max="7176" width="12.28515625" style="113" customWidth="1"/>
    <col min="7177" max="7177" width="10.7109375" style="113" customWidth="1"/>
    <col min="7178" max="7178" width="11.5703125" style="113" customWidth="1"/>
    <col min="7179" max="7179" width="9.85546875" style="113" bestFit="1" customWidth="1"/>
    <col min="7180" max="7424" width="9.140625" style="113"/>
    <col min="7425" max="7425" width="17.42578125" style="113" customWidth="1"/>
    <col min="7426" max="7426" width="9.140625" style="113"/>
    <col min="7427" max="7427" width="46" style="113" customWidth="1"/>
    <col min="7428" max="7428" width="14.5703125" style="113" customWidth="1"/>
    <col min="7429" max="7429" width="13.85546875" style="113" customWidth="1"/>
    <col min="7430" max="7430" width="14.42578125" style="113" customWidth="1"/>
    <col min="7431" max="7431" width="13.5703125" style="113" customWidth="1"/>
    <col min="7432" max="7432" width="12.28515625" style="113" customWidth="1"/>
    <col min="7433" max="7433" width="10.7109375" style="113" customWidth="1"/>
    <col min="7434" max="7434" width="11.5703125" style="113" customWidth="1"/>
    <col min="7435" max="7435" width="9.85546875" style="113" bestFit="1" customWidth="1"/>
    <col min="7436" max="7680" width="9.140625" style="113"/>
    <col min="7681" max="7681" width="17.42578125" style="113" customWidth="1"/>
    <col min="7682" max="7682" width="9.140625" style="113"/>
    <col min="7683" max="7683" width="46" style="113" customWidth="1"/>
    <col min="7684" max="7684" width="14.5703125" style="113" customWidth="1"/>
    <col min="7685" max="7685" width="13.85546875" style="113" customWidth="1"/>
    <col min="7686" max="7686" width="14.42578125" style="113" customWidth="1"/>
    <col min="7687" max="7687" width="13.5703125" style="113" customWidth="1"/>
    <col min="7688" max="7688" width="12.28515625" style="113" customWidth="1"/>
    <col min="7689" max="7689" width="10.7109375" style="113" customWidth="1"/>
    <col min="7690" max="7690" width="11.5703125" style="113" customWidth="1"/>
    <col min="7691" max="7691" width="9.85546875" style="113" bestFit="1" customWidth="1"/>
    <col min="7692" max="7936" width="9.140625" style="113"/>
    <col min="7937" max="7937" width="17.42578125" style="113" customWidth="1"/>
    <col min="7938" max="7938" width="9.140625" style="113"/>
    <col min="7939" max="7939" width="46" style="113" customWidth="1"/>
    <col min="7940" max="7940" width="14.5703125" style="113" customWidth="1"/>
    <col min="7941" max="7941" width="13.85546875" style="113" customWidth="1"/>
    <col min="7942" max="7942" width="14.42578125" style="113" customWidth="1"/>
    <col min="7943" max="7943" width="13.5703125" style="113" customWidth="1"/>
    <col min="7944" max="7944" width="12.28515625" style="113" customWidth="1"/>
    <col min="7945" max="7945" width="10.7109375" style="113" customWidth="1"/>
    <col min="7946" max="7946" width="11.5703125" style="113" customWidth="1"/>
    <col min="7947" max="7947" width="9.85546875" style="113" bestFit="1" customWidth="1"/>
    <col min="7948" max="8192" width="9.140625" style="113"/>
    <col min="8193" max="8193" width="17.42578125" style="113" customWidth="1"/>
    <col min="8194" max="8194" width="9.140625" style="113"/>
    <col min="8195" max="8195" width="46" style="113" customWidth="1"/>
    <col min="8196" max="8196" width="14.5703125" style="113" customWidth="1"/>
    <col min="8197" max="8197" width="13.85546875" style="113" customWidth="1"/>
    <col min="8198" max="8198" width="14.42578125" style="113" customWidth="1"/>
    <col min="8199" max="8199" width="13.5703125" style="113" customWidth="1"/>
    <col min="8200" max="8200" width="12.28515625" style="113" customWidth="1"/>
    <col min="8201" max="8201" width="10.7109375" style="113" customWidth="1"/>
    <col min="8202" max="8202" width="11.5703125" style="113" customWidth="1"/>
    <col min="8203" max="8203" width="9.85546875" style="113" bestFit="1" customWidth="1"/>
    <col min="8204" max="8448" width="9.140625" style="113"/>
    <col min="8449" max="8449" width="17.42578125" style="113" customWidth="1"/>
    <col min="8450" max="8450" width="9.140625" style="113"/>
    <col min="8451" max="8451" width="46" style="113" customWidth="1"/>
    <col min="8452" max="8452" width="14.5703125" style="113" customWidth="1"/>
    <col min="8453" max="8453" width="13.85546875" style="113" customWidth="1"/>
    <col min="8454" max="8454" width="14.42578125" style="113" customWidth="1"/>
    <col min="8455" max="8455" width="13.5703125" style="113" customWidth="1"/>
    <col min="8456" max="8456" width="12.28515625" style="113" customWidth="1"/>
    <col min="8457" max="8457" width="10.7109375" style="113" customWidth="1"/>
    <col min="8458" max="8458" width="11.5703125" style="113" customWidth="1"/>
    <col min="8459" max="8459" width="9.85546875" style="113" bestFit="1" customWidth="1"/>
    <col min="8460" max="8704" width="9.140625" style="113"/>
    <col min="8705" max="8705" width="17.42578125" style="113" customWidth="1"/>
    <col min="8706" max="8706" width="9.140625" style="113"/>
    <col min="8707" max="8707" width="46" style="113" customWidth="1"/>
    <col min="8708" max="8708" width="14.5703125" style="113" customWidth="1"/>
    <col min="8709" max="8709" width="13.85546875" style="113" customWidth="1"/>
    <col min="8710" max="8710" width="14.42578125" style="113" customWidth="1"/>
    <col min="8711" max="8711" width="13.5703125" style="113" customWidth="1"/>
    <col min="8712" max="8712" width="12.28515625" style="113" customWidth="1"/>
    <col min="8713" max="8713" width="10.7109375" style="113" customWidth="1"/>
    <col min="8714" max="8714" width="11.5703125" style="113" customWidth="1"/>
    <col min="8715" max="8715" width="9.85546875" style="113" bestFit="1" customWidth="1"/>
    <col min="8716" max="8960" width="9.140625" style="113"/>
    <col min="8961" max="8961" width="17.42578125" style="113" customWidth="1"/>
    <col min="8962" max="8962" width="9.140625" style="113"/>
    <col min="8963" max="8963" width="46" style="113" customWidth="1"/>
    <col min="8964" max="8964" width="14.5703125" style="113" customWidth="1"/>
    <col min="8965" max="8965" width="13.85546875" style="113" customWidth="1"/>
    <col min="8966" max="8966" width="14.42578125" style="113" customWidth="1"/>
    <col min="8967" max="8967" width="13.5703125" style="113" customWidth="1"/>
    <col min="8968" max="8968" width="12.28515625" style="113" customWidth="1"/>
    <col min="8969" max="8969" width="10.7109375" style="113" customWidth="1"/>
    <col min="8970" max="8970" width="11.5703125" style="113" customWidth="1"/>
    <col min="8971" max="8971" width="9.85546875" style="113" bestFit="1" customWidth="1"/>
    <col min="8972" max="9216" width="9.140625" style="113"/>
    <col min="9217" max="9217" width="17.42578125" style="113" customWidth="1"/>
    <col min="9218" max="9218" width="9.140625" style="113"/>
    <col min="9219" max="9219" width="46" style="113" customWidth="1"/>
    <col min="9220" max="9220" width="14.5703125" style="113" customWidth="1"/>
    <col min="9221" max="9221" width="13.85546875" style="113" customWidth="1"/>
    <col min="9222" max="9222" width="14.42578125" style="113" customWidth="1"/>
    <col min="9223" max="9223" width="13.5703125" style="113" customWidth="1"/>
    <col min="9224" max="9224" width="12.28515625" style="113" customWidth="1"/>
    <col min="9225" max="9225" width="10.7109375" style="113" customWidth="1"/>
    <col min="9226" max="9226" width="11.5703125" style="113" customWidth="1"/>
    <col min="9227" max="9227" width="9.85546875" style="113" bestFit="1" customWidth="1"/>
    <col min="9228" max="9472" width="9.140625" style="113"/>
    <col min="9473" max="9473" width="17.42578125" style="113" customWidth="1"/>
    <col min="9474" max="9474" width="9.140625" style="113"/>
    <col min="9475" max="9475" width="46" style="113" customWidth="1"/>
    <col min="9476" max="9476" width="14.5703125" style="113" customWidth="1"/>
    <col min="9477" max="9477" width="13.85546875" style="113" customWidth="1"/>
    <col min="9478" max="9478" width="14.42578125" style="113" customWidth="1"/>
    <col min="9479" max="9479" width="13.5703125" style="113" customWidth="1"/>
    <col min="9480" max="9480" width="12.28515625" style="113" customWidth="1"/>
    <col min="9481" max="9481" width="10.7109375" style="113" customWidth="1"/>
    <col min="9482" max="9482" width="11.5703125" style="113" customWidth="1"/>
    <col min="9483" max="9483" width="9.85546875" style="113" bestFit="1" customWidth="1"/>
    <col min="9484" max="9728" width="9.140625" style="113"/>
    <col min="9729" max="9729" width="17.42578125" style="113" customWidth="1"/>
    <col min="9730" max="9730" width="9.140625" style="113"/>
    <col min="9731" max="9731" width="46" style="113" customWidth="1"/>
    <col min="9732" max="9732" width="14.5703125" style="113" customWidth="1"/>
    <col min="9733" max="9733" width="13.85546875" style="113" customWidth="1"/>
    <col min="9734" max="9734" width="14.42578125" style="113" customWidth="1"/>
    <col min="9735" max="9735" width="13.5703125" style="113" customWidth="1"/>
    <col min="9736" max="9736" width="12.28515625" style="113" customWidth="1"/>
    <col min="9737" max="9737" width="10.7109375" style="113" customWidth="1"/>
    <col min="9738" max="9738" width="11.5703125" style="113" customWidth="1"/>
    <col min="9739" max="9739" width="9.85546875" style="113" bestFit="1" customWidth="1"/>
    <col min="9740" max="9984" width="9.140625" style="113"/>
    <col min="9985" max="9985" width="17.42578125" style="113" customWidth="1"/>
    <col min="9986" max="9986" width="9.140625" style="113"/>
    <col min="9987" max="9987" width="46" style="113" customWidth="1"/>
    <col min="9988" max="9988" width="14.5703125" style="113" customWidth="1"/>
    <col min="9989" max="9989" width="13.85546875" style="113" customWidth="1"/>
    <col min="9990" max="9990" width="14.42578125" style="113" customWidth="1"/>
    <col min="9991" max="9991" width="13.5703125" style="113" customWidth="1"/>
    <col min="9992" max="9992" width="12.28515625" style="113" customWidth="1"/>
    <col min="9993" max="9993" width="10.7109375" style="113" customWidth="1"/>
    <col min="9994" max="9994" width="11.5703125" style="113" customWidth="1"/>
    <col min="9995" max="9995" width="9.85546875" style="113" bestFit="1" customWidth="1"/>
    <col min="9996" max="10240" width="9.140625" style="113"/>
    <col min="10241" max="10241" width="17.42578125" style="113" customWidth="1"/>
    <col min="10242" max="10242" width="9.140625" style="113"/>
    <col min="10243" max="10243" width="46" style="113" customWidth="1"/>
    <col min="10244" max="10244" width="14.5703125" style="113" customWidth="1"/>
    <col min="10245" max="10245" width="13.85546875" style="113" customWidth="1"/>
    <col min="10246" max="10246" width="14.42578125" style="113" customWidth="1"/>
    <col min="10247" max="10247" width="13.5703125" style="113" customWidth="1"/>
    <col min="10248" max="10248" width="12.28515625" style="113" customWidth="1"/>
    <col min="10249" max="10249" width="10.7109375" style="113" customWidth="1"/>
    <col min="10250" max="10250" width="11.5703125" style="113" customWidth="1"/>
    <col min="10251" max="10251" width="9.85546875" style="113" bestFit="1" customWidth="1"/>
    <col min="10252" max="10496" width="9.140625" style="113"/>
    <col min="10497" max="10497" width="17.42578125" style="113" customWidth="1"/>
    <col min="10498" max="10498" width="9.140625" style="113"/>
    <col min="10499" max="10499" width="46" style="113" customWidth="1"/>
    <col min="10500" max="10500" width="14.5703125" style="113" customWidth="1"/>
    <col min="10501" max="10501" width="13.85546875" style="113" customWidth="1"/>
    <col min="10502" max="10502" width="14.42578125" style="113" customWidth="1"/>
    <col min="10503" max="10503" width="13.5703125" style="113" customWidth="1"/>
    <col min="10504" max="10504" width="12.28515625" style="113" customWidth="1"/>
    <col min="10505" max="10505" width="10.7109375" style="113" customWidth="1"/>
    <col min="10506" max="10506" width="11.5703125" style="113" customWidth="1"/>
    <col min="10507" max="10507" width="9.85546875" style="113" bestFit="1" customWidth="1"/>
    <col min="10508" max="10752" width="9.140625" style="113"/>
    <col min="10753" max="10753" width="17.42578125" style="113" customWidth="1"/>
    <col min="10754" max="10754" width="9.140625" style="113"/>
    <col min="10755" max="10755" width="46" style="113" customWidth="1"/>
    <col min="10756" max="10756" width="14.5703125" style="113" customWidth="1"/>
    <col min="10757" max="10757" width="13.85546875" style="113" customWidth="1"/>
    <col min="10758" max="10758" width="14.42578125" style="113" customWidth="1"/>
    <col min="10759" max="10759" width="13.5703125" style="113" customWidth="1"/>
    <col min="10760" max="10760" width="12.28515625" style="113" customWidth="1"/>
    <col min="10761" max="10761" width="10.7109375" style="113" customWidth="1"/>
    <col min="10762" max="10762" width="11.5703125" style="113" customWidth="1"/>
    <col min="10763" max="10763" width="9.85546875" style="113" bestFit="1" customWidth="1"/>
    <col min="10764" max="11008" width="9.140625" style="113"/>
    <col min="11009" max="11009" width="17.42578125" style="113" customWidth="1"/>
    <col min="11010" max="11010" width="9.140625" style="113"/>
    <col min="11011" max="11011" width="46" style="113" customWidth="1"/>
    <col min="11012" max="11012" width="14.5703125" style="113" customWidth="1"/>
    <col min="11013" max="11013" width="13.85546875" style="113" customWidth="1"/>
    <col min="11014" max="11014" width="14.42578125" style="113" customWidth="1"/>
    <col min="11015" max="11015" width="13.5703125" style="113" customWidth="1"/>
    <col min="11016" max="11016" width="12.28515625" style="113" customWidth="1"/>
    <col min="11017" max="11017" width="10.7109375" style="113" customWidth="1"/>
    <col min="11018" max="11018" width="11.5703125" style="113" customWidth="1"/>
    <col min="11019" max="11019" width="9.85546875" style="113" bestFit="1" customWidth="1"/>
    <col min="11020" max="11264" width="9.140625" style="113"/>
    <col min="11265" max="11265" width="17.42578125" style="113" customWidth="1"/>
    <col min="11266" max="11266" width="9.140625" style="113"/>
    <col min="11267" max="11267" width="46" style="113" customWidth="1"/>
    <col min="11268" max="11268" width="14.5703125" style="113" customWidth="1"/>
    <col min="11269" max="11269" width="13.85546875" style="113" customWidth="1"/>
    <col min="11270" max="11270" width="14.42578125" style="113" customWidth="1"/>
    <col min="11271" max="11271" width="13.5703125" style="113" customWidth="1"/>
    <col min="11272" max="11272" width="12.28515625" style="113" customWidth="1"/>
    <col min="11273" max="11273" width="10.7109375" style="113" customWidth="1"/>
    <col min="11274" max="11274" width="11.5703125" style="113" customWidth="1"/>
    <col min="11275" max="11275" width="9.85546875" style="113" bestFit="1" customWidth="1"/>
    <col min="11276" max="11520" width="9.140625" style="113"/>
    <col min="11521" max="11521" width="17.42578125" style="113" customWidth="1"/>
    <col min="11522" max="11522" width="9.140625" style="113"/>
    <col min="11523" max="11523" width="46" style="113" customWidth="1"/>
    <col min="11524" max="11524" width="14.5703125" style="113" customWidth="1"/>
    <col min="11525" max="11525" width="13.85546875" style="113" customWidth="1"/>
    <col min="11526" max="11526" width="14.42578125" style="113" customWidth="1"/>
    <col min="11527" max="11527" width="13.5703125" style="113" customWidth="1"/>
    <col min="11528" max="11528" width="12.28515625" style="113" customWidth="1"/>
    <col min="11529" max="11529" width="10.7109375" style="113" customWidth="1"/>
    <col min="11530" max="11530" width="11.5703125" style="113" customWidth="1"/>
    <col min="11531" max="11531" width="9.85546875" style="113" bestFit="1" customWidth="1"/>
    <col min="11532" max="11776" width="9.140625" style="113"/>
    <col min="11777" max="11777" width="17.42578125" style="113" customWidth="1"/>
    <col min="11778" max="11778" width="9.140625" style="113"/>
    <col min="11779" max="11779" width="46" style="113" customWidth="1"/>
    <col min="11780" max="11780" width="14.5703125" style="113" customWidth="1"/>
    <col min="11781" max="11781" width="13.85546875" style="113" customWidth="1"/>
    <col min="11782" max="11782" width="14.42578125" style="113" customWidth="1"/>
    <col min="11783" max="11783" width="13.5703125" style="113" customWidth="1"/>
    <col min="11784" max="11784" width="12.28515625" style="113" customWidth="1"/>
    <col min="11785" max="11785" width="10.7109375" style="113" customWidth="1"/>
    <col min="11786" max="11786" width="11.5703125" style="113" customWidth="1"/>
    <col min="11787" max="11787" width="9.85546875" style="113" bestFit="1" customWidth="1"/>
    <col min="11788" max="12032" width="9.140625" style="113"/>
    <col min="12033" max="12033" width="17.42578125" style="113" customWidth="1"/>
    <col min="12034" max="12034" width="9.140625" style="113"/>
    <col min="12035" max="12035" width="46" style="113" customWidth="1"/>
    <col min="12036" max="12036" width="14.5703125" style="113" customWidth="1"/>
    <col min="12037" max="12037" width="13.85546875" style="113" customWidth="1"/>
    <col min="12038" max="12038" width="14.42578125" style="113" customWidth="1"/>
    <col min="12039" max="12039" width="13.5703125" style="113" customWidth="1"/>
    <col min="12040" max="12040" width="12.28515625" style="113" customWidth="1"/>
    <col min="12041" max="12041" width="10.7109375" style="113" customWidth="1"/>
    <col min="12042" max="12042" width="11.5703125" style="113" customWidth="1"/>
    <col min="12043" max="12043" width="9.85546875" style="113" bestFit="1" customWidth="1"/>
    <col min="12044" max="12288" width="9.140625" style="113"/>
    <col min="12289" max="12289" width="17.42578125" style="113" customWidth="1"/>
    <col min="12290" max="12290" width="9.140625" style="113"/>
    <col min="12291" max="12291" width="46" style="113" customWidth="1"/>
    <col min="12292" max="12292" width="14.5703125" style="113" customWidth="1"/>
    <col min="12293" max="12293" width="13.85546875" style="113" customWidth="1"/>
    <col min="12294" max="12294" width="14.42578125" style="113" customWidth="1"/>
    <col min="12295" max="12295" width="13.5703125" style="113" customWidth="1"/>
    <col min="12296" max="12296" width="12.28515625" style="113" customWidth="1"/>
    <col min="12297" max="12297" width="10.7109375" style="113" customWidth="1"/>
    <col min="12298" max="12298" width="11.5703125" style="113" customWidth="1"/>
    <col min="12299" max="12299" width="9.85546875" style="113" bestFit="1" customWidth="1"/>
    <col min="12300" max="12544" width="9.140625" style="113"/>
    <col min="12545" max="12545" width="17.42578125" style="113" customWidth="1"/>
    <col min="12546" max="12546" width="9.140625" style="113"/>
    <col min="12547" max="12547" width="46" style="113" customWidth="1"/>
    <col min="12548" max="12548" width="14.5703125" style="113" customWidth="1"/>
    <col min="12549" max="12549" width="13.85546875" style="113" customWidth="1"/>
    <col min="12550" max="12550" width="14.42578125" style="113" customWidth="1"/>
    <col min="12551" max="12551" width="13.5703125" style="113" customWidth="1"/>
    <col min="12552" max="12552" width="12.28515625" style="113" customWidth="1"/>
    <col min="12553" max="12553" width="10.7109375" style="113" customWidth="1"/>
    <col min="12554" max="12554" width="11.5703125" style="113" customWidth="1"/>
    <col min="12555" max="12555" width="9.85546875" style="113" bestFit="1" customWidth="1"/>
    <col min="12556" max="12800" width="9.140625" style="113"/>
    <col min="12801" max="12801" width="17.42578125" style="113" customWidth="1"/>
    <col min="12802" max="12802" width="9.140625" style="113"/>
    <col min="12803" max="12803" width="46" style="113" customWidth="1"/>
    <col min="12804" max="12804" width="14.5703125" style="113" customWidth="1"/>
    <col min="12805" max="12805" width="13.85546875" style="113" customWidth="1"/>
    <col min="12806" max="12806" width="14.42578125" style="113" customWidth="1"/>
    <col min="12807" max="12807" width="13.5703125" style="113" customWidth="1"/>
    <col min="12808" max="12808" width="12.28515625" style="113" customWidth="1"/>
    <col min="12809" max="12809" width="10.7109375" style="113" customWidth="1"/>
    <col min="12810" max="12810" width="11.5703125" style="113" customWidth="1"/>
    <col min="12811" max="12811" width="9.85546875" style="113" bestFit="1" customWidth="1"/>
    <col min="12812" max="13056" width="9.140625" style="113"/>
    <col min="13057" max="13057" width="17.42578125" style="113" customWidth="1"/>
    <col min="13058" max="13058" width="9.140625" style="113"/>
    <col min="13059" max="13059" width="46" style="113" customWidth="1"/>
    <col min="13060" max="13060" width="14.5703125" style="113" customWidth="1"/>
    <col min="13061" max="13061" width="13.85546875" style="113" customWidth="1"/>
    <col min="13062" max="13062" width="14.42578125" style="113" customWidth="1"/>
    <col min="13063" max="13063" width="13.5703125" style="113" customWidth="1"/>
    <col min="13064" max="13064" width="12.28515625" style="113" customWidth="1"/>
    <col min="13065" max="13065" width="10.7109375" style="113" customWidth="1"/>
    <col min="13066" max="13066" width="11.5703125" style="113" customWidth="1"/>
    <col min="13067" max="13067" width="9.85546875" style="113" bestFit="1" customWidth="1"/>
    <col min="13068" max="13312" width="9.140625" style="113"/>
    <col min="13313" max="13313" width="17.42578125" style="113" customWidth="1"/>
    <col min="13314" max="13314" width="9.140625" style="113"/>
    <col min="13315" max="13315" width="46" style="113" customWidth="1"/>
    <col min="13316" max="13316" width="14.5703125" style="113" customWidth="1"/>
    <col min="13317" max="13317" width="13.85546875" style="113" customWidth="1"/>
    <col min="13318" max="13318" width="14.42578125" style="113" customWidth="1"/>
    <col min="13319" max="13319" width="13.5703125" style="113" customWidth="1"/>
    <col min="13320" max="13320" width="12.28515625" style="113" customWidth="1"/>
    <col min="13321" max="13321" width="10.7109375" style="113" customWidth="1"/>
    <col min="13322" max="13322" width="11.5703125" style="113" customWidth="1"/>
    <col min="13323" max="13323" width="9.85546875" style="113" bestFit="1" customWidth="1"/>
    <col min="13324" max="13568" width="9.140625" style="113"/>
    <col min="13569" max="13569" width="17.42578125" style="113" customWidth="1"/>
    <col min="13570" max="13570" width="9.140625" style="113"/>
    <col min="13571" max="13571" width="46" style="113" customWidth="1"/>
    <col min="13572" max="13572" width="14.5703125" style="113" customWidth="1"/>
    <col min="13573" max="13573" width="13.85546875" style="113" customWidth="1"/>
    <col min="13574" max="13574" width="14.42578125" style="113" customWidth="1"/>
    <col min="13575" max="13575" width="13.5703125" style="113" customWidth="1"/>
    <col min="13576" max="13576" width="12.28515625" style="113" customWidth="1"/>
    <col min="13577" max="13577" width="10.7109375" style="113" customWidth="1"/>
    <col min="13578" max="13578" width="11.5703125" style="113" customWidth="1"/>
    <col min="13579" max="13579" width="9.85546875" style="113" bestFit="1" customWidth="1"/>
    <col min="13580" max="13824" width="9.140625" style="113"/>
    <col min="13825" max="13825" width="17.42578125" style="113" customWidth="1"/>
    <col min="13826" max="13826" width="9.140625" style="113"/>
    <col min="13827" max="13827" width="46" style="113" customWidth="1"/>
    <col min="13828" max="13828" width="14.5703125" style="113" customWidth="1"/>
    <col min="13829" max="13829" width="13.85546875" style="113" customWidth="1"/>
    <col min="13830" max="13830" width="14.42578125" style="113" customWidth="1"/>
    <col min="13831" max="13831" width="13.5703125" style="113" customWidth="1"/>
    <col min="13832" max="13832" width="12.28515625" style="113" customWidth="1"/>
    <col min="13833" max="13833" width="10.7109375" style="113" customWidth="1"/>
    <col min="13834" max="13834" width="11.5703125" style="113" customWidth="1"/>
    <col min="13835" max="13835" width="9.85546875" style="113" bestFit="1" customWidth="1"/>
    <col min="13836" max="14080" width="9.140625" style="113"/>
    <col min="14081" max="14081" width="17.42578125" style="113" customWidth="1"/>
    <col min="14082" max="14082" width="9.140625" style="113"/>
    <col min="14083" max="14083" width="46" style="113" customWidth="1"/>
    <col min="14084" max="14084" width="14.5703125" style="113" customWidth="1"/>
    <col min="14085" max="14085" width="13.85546875" style="113" customWidth="1"/>
    <col min="14086" max="14086" width="14.42578125" style="113" customWidth="1"/>
    <col min="14087" max="14087" width="13.5703125" style="113" customWidth="1"/>
    <col min="14088" max="14088" width="12.28515625" style="113" customWidth="1"/>
    <col min="14089" max="14089" width="10.7109375" style="113" customWidth="1"/>
    <col min="14090" max="14090" width="11.5703125" style="113" customWidth="1"/>
    <col min="14091" max="14091" width="9.85546875" style="113" bestFit="1" customWidth="1"/>
    <col min="14092" max="14336" width="9.140625" style="113"/>
    <col min="14337" max="14337" width="17.42578125" style="113" customWidth="1"/>
    <col min="14338" max="14338" width="9.140625" style="113"/>
    <col min="14339" max="14339" width="46" style="113" customWidth="1"/>
    <col min="14340" max="14340" width="14.5703125" style="113" customWidth="1"/>
    <col min="14341" max="14341" width="13.85546875" style="113" customWidth="1"/>
    <col min="14342" max="14342" width="14.42578125" style="113" customWidth="1"/>
    <col min="14343" max="14343" width="13.5703125" style="113" customWidth="1"/>
    <col min="14344" max="14344" width="12.28515625" style="113" customWidth="1"/>
    <col min="14345" max="14345" width="10.7109375" style="113" customWidth="1"/>
    <col min="14346" max="14346" width="11.5703125" style="113" customWidth="1"/>
    <col min="14347" max="14347" width="9.85546875" style="113" bestFit="1" customWidth="1"/>
    <col min="14348" max="14592" width="9.140625" style="113"/>
    <col min="14593" max="14593" width="17.42578125" style="113" customWidth="1"/>
    <col min="14594" max="14594" width="9.140625" style="113"/>
    <col min="14595" max="14595" width="46" style="113" customWidth="1"/>
    <col min="14596" max="14596" width="14.5703125" style="113" customWidth="1"/>
    <col min="14597" max="14597" width="13.85546875" style="113" customWidth="1"/>
    <col min="14598" max="14598" width="14.42578125" style="113" customWidth="1"/>
    <col min="14599" max="14599" width="13.5703125" style="113" customWidth="1"/>
    <col min="14600" max="14600" width="12.28515625" style="113" customWidth="1"/>
    <col min="14601" max="14601" width="10.7109375" style="113" customWidth="1"/>
    <col min="14602" max="14602" width="11.5703125" style="113" customWidth="1"/>
    <col min="14603" max="14603" width="9.85546875" style="113" bestFit="1" customWidth="1"/>
    <col min="14604" max="14848" width="9.140625" style="113"/>
    <col min="14849" max="14849" width="17.42578125" style="113" customWidth="1"/>
    <col min="14850" max="14850" width="9.140625" style="113"/>
    <col min="14851" max="14851" width="46" style="113" customWidth="1"/>
    <col min="14852" max="14852" width="14.5703125" style="113" customWidth="1"/>
    <col min="14853" max="14853" width="13.85546875" style="113" customWidth="1"/>
    <col min="14854" max="14854" width="14.42578125" style="113" customWidth="1"/>
    <col min="14855" max="14855" width="13.5703125" style="113" customWidth="1"/>
    <col min="14856" max="14856" width="12.28515625" style="113" customWidth="1"/>
    <col min="14857" max="14857" width="10.7109375" style="113" customWidth="1"/>
    <col min="14858" max="14858" width="11.5703125" style="113" customWidth="1"/>
    <col min="14859" max="14859" width="9.85546875" style="113" bestFit="1" customWidth="1"/>
    <col min="14860" max="15104" width="9.140625" style="113"/>
    <col min="15105" max="15105" width="17.42578125" style="113" customWidth="1"/>
    <col min="15106" max="15106" width="9.140625" style="113"/>
    <col min="15107" max="15107" width="46" style="113" customWidth="1"/>
    <col min="15108" max="15108" width="14.5703125" style="113" customWidth="1"/>
    <col min="15109" max="15109" width="13.85546875" style="113" customWidth="1"/>
    <col min="15110" max="15110" width="14.42578125" style="113" customWidth="1"/>
    <col min="15111" max="15111" width="13.5703125" style="113" customWidth="1"/>
    <col min="15112" max="15112" width="12.28515625" style="113" customWidth="1"/>
    <col min="15113" max="15113" width="10.7109375" style="113" customWidth="1"/>
    <col min="15114" max="15114" width="11.5703125" style="113" customWidth="1"/>
    <col min="15115" max="15115" width="9.85546875" style="113" bestFit="1" customWidth="1"/>
    <col min="15116" max="15360" width="9.140625" style="113"/>
    <col min="15361" max="15361" width="17.42578125" style="113" customWidth="1"/>
    <col min="15362" max="15362" width="9.140625" style="113"/>
    <col min="15363" max="15363" width="46" style="113" customWidth="1"/>
    <col min="15364" max="15364" width="14.5703125" style="113" customWidth="1"/>
    <col min="15365" max="15365" width="13.85546875" style="113" customWidth="1"/>
    <col min="15366" max="15366" width="14.42578125" style="113" customWidth="1"/>
    <col min="15367" max="15367" width="13.5703125" style="113" customWidth="1"/>
    <col min="15368" max="15368" width="12.28515625" style="113" customWidth="1"/>
    <col min="15369" max="15369" width="10.7109375" style="113" customWidth="1"/>
    <col min="15370" max="15370" width="11.5703125" style="113" customWidth="1"/>
    <col min="15371" max="15371" width="9.85546875" style="113" bestFit="1" customWidth="1"/>
    <col min="15372" max="15616" width="9.140625" style="113"/>
    <col min="15617" max="15617" width="17.42578125" style="113" customWidth="1"/>
    <col min="15618" max="15618" width="9.140625" style="113"/>
    <col min="15619" max="15619" width="46" style="113" customWidth="1"/>
    <col min="15620" max="15620" width="14.5703125" style="113" customWidth="1"/>
    <col min="15621" max="15621" width="13.85546875" style="113" customWidth="1"/>
    <col min="15622" max="15622" width="14.42578125" style="113" customWidth="1"/>
    <col min="15623" max="15623" width="13.5703125" style="113" customWidth="1"/>
    <col min="15624" max="15624" width="12.28515625" style="113" customWidth="1"/>
    <col min="15625" max="15625" width="10.7109375" style="113" customWidth="1"/>
    <col min="15626" max="15626" width="11.5703125" style="113" customWidth="1"/>
    <col min="15627" max="15627" width="9.85546875" style="113" bestFit="1" customWidth="1"/>
    <col min="15628" max="15872" width="9.140625" style="113"/>
    <col min="15873" max="15873" width="17.42578125" style="113" customWidth="1"/>
    <col min="15874" max="15874" width="9.140625" style="113"/>
    <col min="15875" max="15875" width="46" style="113" customWidth="1"/>
    <col min="15876" max="15876" width="14.5703125" style="113" customWidth="1"/>
    <col min="15877" max="15877" width="13.85546875" style="113" customWidth="1"/>
    <col min="15878" max="15878" width="14.42578125" style="113" customWidth="1"/>
    <col min="15879" max="15879" width="13.5703125" style="113" customWidth="1"/>
    <col min="15880" max="15880" width="12.28515625" style="113" customWidth="1"/>
    <col min="15881" max="15881" width="10.7109375" style="113" customWidth="1"/>
    <col min="15882" max="15882" width="11.5703125" style="113" customWidth="1"/>
    <col min="15883" max="15883" width="9.85546875" style="113" bestFit="1" customWidth="1"/>
    <col min="15884" max="16128" width="9.140625" style="113"/>
    <col min="16129" max="16129" width="17.42578125" style="113" customWidth="1"/>
    <col min="16130" max="16130" width="9.140625" style="113"/>
    <col min="16131" max="16131" width="46" style="113" customWidth="1"/>
    <col min="16132" max="16132" width="14.5703125" style="113" customWidth="1"/>
    <col min="16133" max="16133" width="13.85546875" style="113" customWidth="1"/>
    <col min="16134" max="16134" width="14.42578125" style="113" customWidth="1"/>
    <col min="16135" max="16135" width="13.5703125" style="113" customWidth="1"/>
    <col min="16136" max="16136" width="12.28515625" style="113" customWidth="1"/>
    <col min="16137" max="16137" width="10.7109375" style="113" customWidth="1"/>
    <col min="16138" max="16138" width="11.5703125" style="113" customWidth="1"/>
    <col min="16139" max="16139" width="9.85546875" style="113" bestFit="1" customWidth="1"/>
    <col min="16140" max="16384" width="9.140625" style="113"/>
  </cols>
  <sheetData>
    <row r="1" spans="2:8" ht="18.75" x14ac:dyDescent="0.25">
      <c r="B1" s="112"/>
    </row>
    <row r="2" spans="2:8" ht="16.5" thickBot="1" x14ac:dyDescent="0.3"/>
    <row r="3" spans="2:8" x14ac:dyDescent="0.25">
      <c r="B3" s="114" t="s">
        <v>487</v>
      </c>
      <c r="C3" s="115"/>
      <c r="D3" s="115"/>
      <c r="E3" s="115"/>
      <c r="F3" s="116"/>
    </row>
    <row r="4" spans="2:8" x14ac:dyDescent="0.25">
      <c r="B4" s="117"/>
      <c r="C4" s="118"/>
      <c r="D4" s="118"/>
      <c r="E4" s="118"/>
      <c r="F4" s="119"/>
    </row>
    <row r="5" spans="2:8" x14ac:dyDescent="0.25">
      <c r="B5" s="371" t="s">
        <v>483</v>
      </c>
      <c r="C5" s="372"/>
      <c r="D5" s="372"/>
      <c r="E5" s="372"/>
      <c r="F5" s="373"/>
    </row>
    <row r="6" spans="2:8" x14ac:dyDescent="0.25">
      <c r="B6" s="371" t="s">
        <v>407</v>
      </c>
      <c r="C6" s="372"/>
      <c r="D6" s="372"/>
      <c r="E6" s="372"/>
      <c r="F6" s="373"/>
    </row>
    <row r="7" spans="2:8" x14ac:dyDescent="0.25">
      <c r="B7" s="371" t="s">
        <v>408</v>
      </c>
      <c r="C7" s="372"/>
      <c r="D7" s="372"/>
      <c r="E7" s="372"/>
      <c r="F7" s="373"/>
    </row>
    <row r="8" spans="2:8" x14ac:dyDescent="0.25">
      <c r="B8" s="371" t="s">
        <v>409</v>
      </c>
      <c r="C8" s="372"/>
      <c r="D8" s="372"/>
      <c r="E8" s="372"/>
      <c r="F8" s="373"/>
    </row>
    <row r="9" spans="2:8" ht="16.5" thickBot="1" x14ac:dyDescent="0.3">
      <c r="B9" s="121" t="s">
        <v>410</v>
      </c>
      <c r="C9" s="374"/>
      <c r="D9" s="374"/>
      <c r="E9" s="374"/>
      <c r="F9" s="375"/>
    </row>
    <row r="11" spans="2:8" x14ac:dyDescent="0.25">
      <c r="C11" s="122"/>
    </row>
    <row r="12" spans="2:8" ht="48.75" customHeight="1" x14ac:dyDescent="0.25">
      <c r="C12" s="122"/>
      <c r="D12" s="383"/>
      <c r="E12" s="384"/>
      <c r="F12" s="385"/>
      <c r="G12" s="123" t="s">
        <v>489</v>
      </c>
    </row>
    <row r="13" spans="2:8" ht="23.25" customHeight="1" x14ac:dyDescent="0.25">
      <c r="C13" s="122"/>
      <c r="D13" s="380"/>
      <c r="E13" s="381"/>
      <c r="F13" s="382" t="s">
        <v>488</v>
      </c>
      <c r="G13" s="124">
        <f>SUM(G14:G16)</f>
        <v>1845181</v>
      </c>
    </row>
    <row r="14" spans="2:8" s="120" customFormat="1" hidden="1" x14ac:dyDescent="0.25">
      <c r="C14" s="122"/>
      <c r="E14" s="113"/>
      <c r="F14" s="113"/>
      <c r="G14" s="125">
        <f>+'5_Prioritāte-2_Pielikums-1d'!AQ60</f>
        <v>1845181</v>
      </c>
      <c r="H14" s="113"/>
    </row>
    <row r="15" spans="2:8" s="120" customFormat="1" hidden="1" x14ac:dyDescent="0.25">
      <c r="C15" s="122"/>
      <c r="E15" s="113"/>
      <c r="F15" s="113"/>
      <c r="G15" s="126"/>
      <c r="H15" s="113"/>
    </row>
    <row r="16" spans="2:8" s="120" customFormat="1" hidden="1" x14ac:dyDescent="0.25">
      <c r="C16" s="122"/>
      <c r="E16" s="113"/>
      <c r="F16" s="113"/>
      <c r="G16" s="126"/>
      <c r="H16" s="113"/>
    </row>
    <row r="17" spans="3:12" s="120" customFormat="1" x14ac:dyDescent="0.25">
      <c r="C17" s="122"/>
      <c r="E17" s="113"/>
      <c r="F17" s="113"/>
      <c r="G17" s="128"/>
      <c r="H17" s="113"/>
    </row>
    <row r="18" spans="3:12" s="120" customFormat="1" x14ac:dyDescent="0.25">
      <c r="F18" s="127"/>
      <c r="G18" s="129" t="s">
        <v>412</v>
      </c>
      <c r="H18" s="130"/>
      <c r="I18" s="130"/>
      <c r="J18" s="130"/>
    </row>
    <row r="19" spans="3:12" s="120" customFormat="1" x14ac:dyDescent="0.25">
      <c r="G19" s="131">
        <f>ROUND(G13/(1+H19),0)</f>
        <v>1845181</v>
      </c>
      <c r="H19" s="386">
        <v>0</v>
      </c>
      <c r="I19" s="130"/>
      <c r="J19" s="130"/>
    </row>
    <row r="20" spans="3:12" s="120" customFormat="1" x14ac:dyDescent="0.25">
      <c r="F20" s="132" t="s">
        <v>413</v>
      </c>
      <c r="G20" s="128"/>
      <c r="I20" s="130"/>
      <c r="J20" s="132" t="s">
        <v>414</v>
      </c>
    </row>
    <row r="21" spans="3:12" s="120" customFormat="1" x14ac:dyDescent="0.25">
      <c r="E21" s="387">
        <v>0.7</v>
      </c>
      <c r="F21" s="131">
        <f>ROUND(G19*E21,0)</f>
        <v>1291627</v>
      </c>
      <c r="G21" s="133"/>
      <c r="I21" s="130"/>
      <c r="J21" s="131">
        <f>+G19-F21</f>
        <v>553554</v>
      </c>
      <c r="K21" s="134">
        <f>1-E21</f>
        <v>0.30000000000000004</v>
      </c>
      <c r="L21" s="135"/>
    </row>
    <row r="22" spans="3:12" s="120" customFormat="1" x14ac:dyDescent="0.25">
      <c r="I22" s="130"/>
      <c r="J22" s="130"/>
      <c r="K22" s="136"/>
    </row>
    <row r="23" spans="3:12" s="120" customFormat="1" x14ac:dyDescent="0.25">
      <c r="E23" s="137" t="s">
        <v>415</v>
      </c>
      <c r="F23" s="138"/>
      <c r="G23" s="129" t="s">
        <v>416</v>
      </c>
      <c r="I23" s="130"/>
      <c r="J23" s="129" t="s">
        <v>417</v>
      </c>
      <c r="K23" s="136"/>
    </row>
    <row r="24" spans="3:12" s="120" customFormat="1" x14ac:dyDescent="0.25">
      <c r="C24" s="139"/>
      <c r="D24" s="387">
        <v>0.35</v>
      </c>
      <c r="E24" s="131">
        <f>ROUND(F21*D24,0)</f>
        <v>452069</v>
      </c>
      <c r="G24" s="131">
        <f>+F21-E24</f>
        <v>839558</v>
      </c>
      <c r="H24" s="140">
        <f>1-D24</f>
        <v>0.65</v>
      </c>
      <c r="I24" s="130"/>
      <c r="J24" s="131">
        <f>ROUND(J21*K24,0)</f>
        <v>553554</v>
      </c>
      <c r="K24" s="134">
        <v>1</v>
      </c>
      <c r="L24" s="141"/>
    </row>
    <row r="25" spans="3:12" s="120" customFormat="1" x14ac:dyDescent="0.25">
      <c r="I25" s="130"/>
      <c r="J25" s="130"/>
    </row>
    <row r="26" spans="3:12" s="120" customFormat="1" x14ac:dyDescent="0.25">
      <c r="C26" s="142" t="s">
        <v>418</v>
      </c>
      <c r="D26" s="143" t="s">
        <v>419</v>
      </c>
      <c r="E26" s="144">
        <v>0.2</v>
      </c>
      <c r="F26" s="130"/>
      <c r="J26" s="130"/>
    </row>
    <row r="27" spans="3:12" s="120" customFormat="1" x14ac:dyDescent="0.25">
      <c r="D27" s="143" t="s">
        <v>420</v>
      </c>
      <c r="E27" s="144">
        <v>0.35089999999999999</v>
      </c>
      <c r="F27" s="130"/>
      <c r="G27" s="145"/>
      <c r="J27" s="130"/>
    </row>
    <row r="28" spans="3:12" s="120" customFormat="1" x14ac:dyDescent="0.25">
      <c r="D28" s="146" t="s">
        <v>411</v>
      </c>
      <c r="E28" s="147">
        <f>SUM(E26:E27)</f>
        <v>0.55089999999999995</v>
      </c>
      <c r="I28" s="127"/>
      <c r="J28" s="127"/>
    </row>
    <row r="29" spans="3:12" s="120" customFormat="1" ht="15" customHeight="1" x14ac:dyDescent="0.25">
      <c r="J29" s="130"/>
    </row>
    <row r="30" spans="3:12" s="120" customFormat="1" x14ac:dyDescent="0.25">
      <c r="E30" s="129" t="s">
        <v>421</v>
      </c>
      <c r="J30" s="130"/>
    </row>
    <row r="31" spans="3:12" s="120" customFormat="1" ht="15" customHeight="1" x14ac:dyDescent="0.25">
      <c r="D31" s="148">
        <f>+E31/E24</f>
        <v>0.48072086340801956</v>
      </c>
      <c r="E31" s="131">
        <f>ROUND((E24*E27),0)+ROUND((E24-E24*E27)*E26,0)</f>
        <v>217319</v>
      </c>
      <c r="F31" s="149"/>
      <c r="G31" s="149"/>
      <c r="J31" s="130"/>
    </row>
    <row r="32" spans="3:12" s="120" customFormat="1" ht="15" customHeight="1" x14ac:dyDescent="0.25">
      <c r="H32" s="130"/>
      <c r="I32" s="130"/>
    </row>
    <row r="33" spans="4:10" s="120" customFormat="1" x14ac:dyDescent="0.25">
      <c r="E33" s="129" t="s">
        <v>422</v>
      </c>
      <c r="H33" s="130"/>
      <c r="I33" s="130"/>
    </row>
    <row r="34" spans="4:10" s="120" customFormat="1" x14ac:dyDescent="0.25">
      <c r="D34" s="134">
        <f>+E34/G19</f>
        <v>0.1272232913735834</v>
      </c>
      <c r="E34" s="131">
        <f>+E24-E31</f>
        <v>234750</v>
      </c>
      <c r="H34" s="150"/>
    </row>
    <row r="35" spans="4:10" s="120" customFormat="1" x14ac:dyDescent="0.25"/>
    <row r="36" spans="4:10" s="120" customFormat="1" x14ac:dyDescent="0.25">
      <c r="F36" s="129" t="s">
        <v>423</v>
      </c>
      <c r="H36" s="150"/>
      <c r="I36" s="129" t="s">
        <v>424</v>
      </c>
    </row>
    <row r="37" spans="4:10" s="120" customFormat="1" x14ac:dyDescent="0.25">
      <c r="E37" s="134">
        <f>+F37/G19</f>
        <v>0.58222364093278656</v>
      </c>
      <c r="F37" s="131">
        <f>+E34+G24</f>
        <v>1074308</v>
      </c>
      <c r="H37" s="150"/>
      <c r="I37" s="131">
        <f>+J24</f>
        <v>553554</v>
      </c>
      <c r="J37" s="134">
        <f>+I37/J21</f>
        <v>1</v>
      </c>
    </row>
    <row r="38" spans="4:10" s="120" customFormat="1" x14ac:dyDescent="0.25">
      <c r="G38" s="133"/>
      <c r="H38" s="150"/>
    </row>
    <row r="39" spans="4:10" s="120" customFormat="1" x14ac:dyDescent="0.25">
      <c r="G39" s="129" t="s">
        <v>425</v>
      </c>
      <c r="H39" s="150"/>
    </row>
    <row r="40" spans="4:10" s="120" customFormat="1" x14ac:dyDescent="0.25">
      <c r="G40" s="131">
        <f>+F37+I37</f>
        <v>1627862</v>
      </c>
      <c r="H40" s="150"/>
    </row>
    <row r="41" spans="4:10" s="120" customFormat="1" x14ac:dyDescent="0.25">
      <c r="G41" s="148">
        <f>+G40/G19</f>
        <v>0.88222347834711068</v>
      </c>
      <c r="H41" s="150"/>
    </row>
    <row r="42" spans="4:10" x14ac:dyDescent="0.25">
      <c r="E42" s="151"/>
      <c r="F42" s="152"/>
    </row>
    <row r="43" spans="4:10" x14ac:dyDescent="0.25">
      <c r="E43" s="151"/>
      <c r="F43" s="152"/>
    </row>
    <row r="44" spans="4:10" x14ac:dyDescent="0.25">
      <c r="E44" s="151"/>
      <c r="F44" s="152"/>
    </row>
    <row r="45" spans="4:10" x14ac:dyDescent="0.25">
      <c r="E45" s="151"/>
      <c r="F45" s="152"/>
    </row>
    <row r="46" spans="4:10" x14ac:dyDescent="0.25">
      <c r="E46" s="151"/>
      <c r="F46" s="152"/>
    </row>
    <row r="47" spans="4:10" x14ac:dyDescent="0.25">
      <c r="E47" s="151"/>
      <c r="F47" s="152"/>
    </row>
    <row r="48" spans="4:10" x14ac:dyDescent="0.25">
      <c r="E48" s="151"/>
      <c r="F48" s="152"/>
    </row>
    <row r="49" spans="5:6" x14ac:dyDescent="0.25">
      <c r="E49" s="151"/>
      <c r="F49" s="152"/>
    </row>
    <row r="50" spans="5:6" x14ac:dyDescent="0.25">
      <c r="E50" s="151"/>
      <c r="F50" s="152"/>
    </row>
  </sheetData>
  <pageMargins left="0.23622047244094491" right="0.11811023622047245" top="0.51181102362204722" bottom="0.55118110236220474" header="0.31496062992125984" footer="0.22"/>
  <pageSetup paperSize="9" scale="86" orientation="landscape" r:id="rId1"/>
  <headerFooter>
    <oddFooter>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view="pageBreakPreview" zoomScaleNormal="100" zoomScaleSheetLayoutView="100" workbookViewId="0">
      <selection activeCell="A4" sqref="A4:I10"/>
    </sheetView>
  </sheetViews>
  <sheetFormatPr defaultRowHeight="15" x14ac:dyDescent="0.25"/>
  <cols>
    <col min="1" max="1" width="28.5703125" style="154" customWidth="1"/>
    <col min="2" max="2" width="13.140625" style="154" customWidth="1"/>
    <col min="3" max="4" width="16.85546875" style="154" customWidth="1"/>
    <col min="5" max="5" width="1.5703125" style="154" customWidth="1"/>
    <col min="6" max="8" width="12.7109375" style="154" customWidth="1"/>
    <col min="9" max="9" width="16.5703125" style="154" customWidth="1"/>
    <col min="10" max="10" width="12.42578125" style="154" customWidth="1"/>
    <col min="11" max="11" width="12.7109375" style="154" customWidth="1"/>
    <col min="12" max="256" width="9.140625" style="154"/>
    <col min="257" max="257" width="41.5703125" style="154" customWidth="1"/>
    <col min="258" max="258" width="13.140625" style="154" customWidth="1"/>
    <col min="259" max="260" width="16.85546875" style="154" customWidth="1"/>
    <col min="261" max="261" width="1.5703125" style="154" customWidth="1"/>
    <col min="262" max="265" width="12.7109375" style="154" customWidth="1"/>
    <col min="266" max="266" width="12.42578125" style="154" customWidth="1"/>
    <col min="267" max="267" width="12.7109375" style="154" customWidth="1"/>
    <col min="268" max="512" width="9.140625" style="154"/>
    <col min="513" max="513" width="41.5703125" style="154" customWidth="1"/>
    <col min="514" max="514" width="13.140625" style="154" customWidth="1"/>
    <col min="515" max="516" width="16.85546875" style="154" customWidth="1"/>
    <col min="517" max="517" width="1.5703125" style="154" customWidth="1"/>
    <col min="518" max="521" width="12.7109375" style="154" customWidth="1"/>
    <col min="522" max="522" width="12.42578125" style="154" customWidth="1"/>
    <col min="523" max="523" width="12.7109375" style="154" customWidth="1"/>
    <col min="524" max="768" width="9.140625" style="154"/>
    <col min="769" max="769" width="41.5703125" style="154" customWidth="1"/>
    <col min="770" max="770" width="13.140625" style="154" customWidth="1"/>
    <col min="771" max="772" width="16.85546875" style="154" customWidth="1"/>
    <col min="773" max="773" width="1.5703125" style="154" customWidth="1"/>
    <col min="774" max="777" width="12.7109375" style="154" customWidth="1"/>
    <col min="778" max="778" width="12.42578125" style="154" customWidth="1"/>
    <col min="779" max="779" width="12.7109375" style="154" customWidth="1"/>
    <col min="780" max="1024" width="9.140625" style="154"/>
    <col min="1025" max="1025" width="41.5703125" style="154" customWidth="1"/>
    <col min="1026" max="1026" width="13.140625" style="154" customWidth="1"/>
    <col min="1027" max="1028" width="16.85546875" style="154" customWidth="1"/>
    <col min="1029" max="1029" width="1.5703125" style="154" customWidth="1"/>
    <col min="1030" max="1033" width="12.7109375" style="154" customWidth="1"/>
    <col min="1034" max="1034" width="12.42578125" style="154" customWidth="1"/>
    <col min="1035" max="1035" width="12.7109375" style="154" customWidth="1"/>
    <col min="1036" max="1280" width="9.140625" style="154"/>
    <col min="1281" max="1281" width="41.5703125" style="154" customWidth="1"/>
    <col min="1282" max="1282" width="13.140625" style="154" customWidth="1"/>
    <col min="1283" max="1284" width="16.85546875" style="154" customWidth="1"/>
    <col min="1285" max="1285" width="1.5703125" style="154" customWidth="1"/>
    <col min="1286" max="1289" width="12.7109375" style="154" customWidth="1"/>
    <col min="1290" max="1290" width="12.42578125" style="154" customWidth="1"/>
    <col min="1291" max="1291" width="12.7109375" style="154" customWidth="1"/>
    <col min="1292" max="1536" width="9.140625" style="154"/>
    <col min="1537" max="1537" width="41.5703125" style="154" customWidth="1"/>
    <col min="1538" max="1538" width="13.140625" style="154" customWidth="1"/>
    <col min="1539" max="1540" width="16.85546875" style="154" customWidth="1"/>
    <col min="1541" max="1541" width="1.5703125" style="154" customWidth="1"/>
    <col min="1542" max="1545" width="12.7109375" style="154" customWidth="1"/>
    <col min="1546" max="1546" width="12.42578125" style="154" customWidth="1"/>
    <col min="1547" max="1547" width="12.7109375" style="154" customWidth="1"/>
    <col min="1548" max="1792" width="9.140625" style="154"/>
    <col min="1793" max="1793" width="41.5703125" style="154" customWidth="1"/>
    <col min="1794" max="1794" width="13.140625" style="154" customWidth="1"/>
    <col min="1795" max="1796" width="16.85546875" style="154" customWidth="1"/>
    <col min="1797" max="1797" width="1.5703125" style="154" customWidth="1"/>
    <col min="1798" max="1801" width="12.7109375" style="154" customWidth="1"/>
    <col min="1802" max="1802" width="12.42578125" style="154" customWidth="1"/>
    <col min="1803" max="1803" width="12.7109375" style="154" customWidth="1"/>
    <col min="1804" max="2048" width="9.140625" style="154"/>
    <col min="2049" max="2049" width="41.5703125" style="154" customWidth="1"/>
    <col min="2050" max="2050" width="13.140625" style="154" customWidth="1"/>
    <col min="2051" max="2052" width="16.85546875" style="154" customWidth="1"/>
    <col min="2053" max="2053" width="1.5703125" style="154" customWidth="1"/>
    <col min="2054" max="2057" width="12.7109375" style="154" customWidth="1"/>
    <col min="2058" max="2058" width="12.42578125" style="154" customWidth="1"/>
    <col min="2059" max="2059" width="12.7109375" style="154" customWidth="1"/>
    <col min="2060" max="2304" width="9.140625" style="154"/>
    <col min="2305" max="2305" width="41.5703125" style="154" customWidth="1"/>
    <col min="2306" max="2306" width="13.140625" style="154" customWidth="1"/>
    <col min="2307" max="2308" width="16.85546875" style="154" customWidth="1"/>
    <col min="2309" max="2309" width="1.5703125" style="154" customWidth="1"/>
    <col min="2310" max="2313" width="12.7109375" style="154" customWidth="1"/>
    <col min="2314" max="2314" width="12.42578125" style="154" customWidth="1"/>
    <col min="2315" max="2315" width="12.7109375" style="154" customWidth="1"/>
    <col min="2316" max="2560" width="9.140625" style="154"/>
    <col min="2561" max="2561" width="41.5703125" style="154" customWidth="1"/>
    <col min="2562" max="2562" width="13.140625" style="154" customWidth="1"/>
    <col min="2563" max="2564" width="16.85546875" style="154" customWidth="1"/>
    <col min="2565" max="2565" width="1.5703125" style="154" customWidth="1"/>
    <col min="2566" max="2569" width="12.7109375" style="154" customWidth="1"/>
    <col min="2570" max="2570" width="12.42578125" style="154" customWidth="1"/>
    <col min="2571" max="2571" width="12.7109375" style="154" customWidth="1"/>
    <col min="2572" max="2816" width="9.140625" style="154"/>
    <col min="2817" max="2817" width="41.5703125" style="154" customWidth="1"/>
    <col min="2818" max="2818" width="13.140625" style="154" customWidth="1"/>
    <col min="2819" max="2820" width="16.85546875" style="154" customWidth="1"/>
    <col min="2821" max="2821" width="1.5703125" style="154" customWidth="1"/>
    <col min="2822" max="2825" width="12.7109375" style="154" customWidth="1"/>
    <col min="2826" max="2826" width="12.42578125" style="154" customWidth="1"/>
    <col min="2827" max="2827" width="12.7109375" style="154" customWidth="1"/>
    <col min="2828" max="3072" width="9.140625" style="154"/>
    <col min="3073" max="3073" width="41.5703125" style="154" customWidth="1"/>
    <col min="3074" max="3074" width="13.140625" style="154" customWidth="1"/>
    <col min="3075" max="3076" width="16.85546875" style="154" customWidth="1"/>
    <col min="3077" max="3077" width="1.5703125" style="154" customWidth="1"/>
    <col min="3078" max="3081" width="12.7109375" style="154" customWidth="1"/>
    <col min="3082" max="3082" width="12.42578125" style="154" customWidth="1"/>
    <col min="3083" max="3083" width="12.7109375" style="154" customWidth="1"/>
    <col min="3084" max="3328" width="9.140625" style="154"/>
    <col min="3329" max="3329" width="41.5703125" style="154" customWidth="1"/>
    <col min="3330" max="3330" width="13.140625" style="154" customWidth="1"/>
    <col min="3331" max="3332" width="16.85546875" style="154" customWidth="1"/>
    <col min="3333" max="3333" width="1.5703125" style="154" customWidth="1"/>
    <col min="3334" max="3337" width="12.7109375" style="154" customWidth="1"/>
    <col min="3338" max="3338" width="12.42578125" style="154" customWidth="1"/>
    <col min="3339" max="3339" width="12.7109375" style="154" customWidth="1"/>
    <col min="3340" max="3584" width="9.140625" style="154"/>
    <col min="3585" max="3585" width="41.5703125" style="154" customWidth="1"/>
    <col min="3586" max="3586" width="13.140625" style="154" customWidth="1"/>
    <col min="3587" max="3588" width="16.85546875" style="154" customWidth="1"/>
    <col min="3589" max="3589" width="1.5703125" style="154" customWidth="1"/>
    <col min="3590" max="3593" width="12.7109375" style="154" customWidth="1"/>
    <col min="3594" max="3594" width="12.42578125" style="154" customWidth="1"/>
    <col min="3595" max="3595" width="12.7109375" style="154" customWidth="1"/>
    <col min="3596" max="3840" width="9.140625" style="154"/>
    <col min="3841" max="3841" width="41.5703125" style="154" customWidth="1"/>
    <col min="3842" max="3842" width="13.140625" style="154" customWidth="1"/>
    <col min="3843" max="3844" width="16.85546875" style="154" customWidth="1"/>
    <col min="3845" max="3845" width="1.5703125" style="154" customWidth="1"/>
    <col min="3846" max="3849" width="12.7109375" style="154" customWidth="1"/>
    <col min="3850" max="3850" width="12.42578125" style="154" customWidth="1"/>
    <col min="3851" max="3851" width="12.7109375" style="154" customWidth="1"/>
    <col min="3852" max="4096" width="9.140625" style="154"/>
    <col min="4097" max="4097" width="41.5703125" style="154" customWidth="1"/>
    <col min="4098" max="4098" width="13.140625" style="154" customWidth="1"/>
    <col min="4099" max="4100" width="16.85546875" style="154" customWidth="1"/>
    <col min="4101" max="4101" width="1.5703125" style="154" customWidth="1"/>
    <col min="4102" max="4105" width="12.7109375" style="154" customWidth="1"/>
    <col min="4106" max="4106" width="12.42578125" style="154" customWidth="1"/>
    <col min="4107" max="4107" width="12.7109375" style="154" customWidth="1"/>
    <col min="4108" max="4352" width="9.140625" style="154"/>
    <col min="4353" max="4353" width="41.5703125" style="154" customWidth="1"/>
    <col min="4354" max="4354" width="13.140625" style="154" customWidth="1"/>
    <col min="4355" max="4356" width="16.85546875" style="154" customWidth="1"/>
    <col min="4357" max="4357" width="1.5703125" style="154" customWidth="1"/>
    <col min="4358" max="4361" width="12.7109375" style="154" customWidth="1"/>
    <col min="4362" max="4362" width="12.42578125" style="154" customWidth="1"/>
    <col min="4363" max="4363" width="12.7109375" style="154" customWidth="1"/>
    <col min="4364" max="4608" width="9.140625" style="154"/>
    <col min="4609" max="4609" width="41.5703125" style="154" customWidth="1"/>
    <col min="4610" max="4610" width="13.140625" style="154" customWidth="1"/>
    <col min="4611" max="4612" width="16.85546875" style="154" customWidth="1"/>
    <col min="4613" max="4613" width="1.5703125" style="154" customWidth="1"/>
    <col min="4614" max="4617" width="12.7109375" style="154" customWidth="1"/>
    <col min="4618" max="4618" width="12.42578125" style="154" customWidth="1"/>
    <col min="4619" max="4619" width="12.7109375" style="154" customWidth="1"/>
    <col min="4620" max="4864" width="9.140625" style="154"/>
    <col min="4865" max="4865" width="41.5703125" style="154" customWidth="1"/>
    <col min="4866" max="4866" width="13.140625" style="154" customWidth="1"/>
    <col min="4867" max="4868" width="16.85546875" style="154" customWidth="1"/>
    <col min="4869" max="4869" width="1.5703125" style="154" customWidth="1"/>
    <col min="4870" max="4873" width="12.7109375" style="154" customWidth="1"/>
    <col min="4874" max="4874" width="12.42578125" style="154" customWidth="1"/>
    <col min="4875" max="4875" width="12.7109375" style="154" customWidth="1"/>
    <col min="4876" max="5120" width="9.140625" style="154"/>
    <col min="5121" max="5121" width="41.5703125" style="154" customWidth="1"/>
    <col min="5122" max="5122" width="13.140625" style="154" customWidth="1"/>
    <col min="5123" max="5124" width="16.85546875" style="154" customWidth="1"/>
    <col min="5125" max="5125" width="1.5703125" style="154" customWidth="1"/>
    <col min="5126" max="5129" width="12.7109375" style="154" customWidth="1"/>
    <col min="5130" max="5130" width="12.42578125" style="154" customWidth="1"/>
    <col min="5131" max="5131" width="12.7109375" style="154" customWidth="1"/>
    <col min="5132" max="5376" width="9.140625" style="154"/>
    <col min="5377" max="5377" width="41.5703125" style="154" customWidth="1"/>
    <col min="5378" max="5378" width="13.140625" style="154" customWidth="1"/>
    <col min="5379" max="5380" width="16.85546875" style="154" customWidth="1"/>
    <col min="5381" max="5381" width="1.5703125" style="154" customWidth="1"/>
    <col min="5382" max="5385" width="12.7109375" style="154" customWidth="1"/>
    <col min="5386" max="5386" width="12.42578125" style="154" customWidth="1"/>
    <col min="5387" max="5387" width="12.7109375" style="154" customWidth="1"/>
    <col min="5388" max="5632" width="9.140625" style="154"/>
    <col min="5633" max="5633" width="41.5703125" style="154" customWidth="1"/>
    <col min="5634" max="5634" width="13.140625" style="154" customWidth="1"/>
    <col min="5635" max="5636" width="16.85546875" style="154" customWidth="1"/>
    <col min="5637" max="5637" width="1.5703125" style="154" customWidth="1"/>
    <col min="5638" max="5641" width="12.7109375" style="154" customWidth="1"/>
    <col min="5642" max="5642" width="12.42578125" style="154" customWidth="1"/>
    <col min="5643" max="5643" width="12.7109375" style="154" customWidth="1"/>
    <col min="5644" max="5888" width="9.140625" style="154"/>
    <col min="5889" max="5889" width="41.5703125" style="154" customWidth="1"/>
    <col min="5890" max="5890" width="13.140625" style="154" customWidth="1"/>
    <col min="5891" max="5892" width="16.85546875" style="154" customWidth="1"/>
    <col min="5893" max="5893" width="1.5703125" style="154" customWidth="1"/>
    <col min="5894" max="5897" width="12.7109375" style="154" customWidth="1"/>
    <col min="5898" max="5898" width="12.42578125" style="154" customWidth="1"/>
    <col min="5899" max="5899" width="12.7109375" style="154" customWidth="1"/>
    <col min="5900" max="6144" width="9.140625" style="154"/>
    <col min="6145" max="6145" width="41.5703125" style="154" customWidth="1"/>
    <col min="6146" max="6146" width="13.140625" style="154" customWidth="1"/>
    <col min="6147" max="6148" width="16.85546875" style="154" customWidth="1"/>
    <col min="6149" max="6149" width="1.5703125" style="154" customWidth="1"/>
    <col min="6150" max="6153" width="12.7109375" style="154" customWidth="1"/>
    <col min="6154" max="6154" width="12.42578125" style="154" customWidth="1"/>
    <col min="6155" max="6155" width="12.7109375" style="154" customWidth="1"/>
    <col min="6156" max="6400" width="9.140625" style="154"/>
    <col min="6401" max="6401" width="41.5703125" style="154" customWidth="1"/>
    <col min="6402" max="6402" width="13.140625" style="154" customWidth="1"/>
    <col min="6403" max="6404" width="16.85546875" style="154" customWidth="1"/>
    <col min="6405" max="6405" width="1.5703125" style="154" customWidth="1"/>
    <col min="6406" max="6409" width="12.7109375" style="154" customWidth="1"/>
    <col min="6410" max="6410" width="12.42578125" style="154" customWidth="1"/>
    <col min="6411" max="6411" width="12.7109375" style="154" customWidth="1"/>
    <col min="6412" max="6656" width="9.140625" style="154"/>
    <col min="6657" max="6657" width="41.5703125" style="154" customWidth="1"/>
    <col min="6658" max="6658" width="13.140625" style="154" customWidth="1"/>
    <col min="6659" max="6660" width="16.85546875" style="154" customWidth="1"/>
    <col min="6661" max="6661" width="1.5703125" style="154" customWidth="1"/>
    <col min="6662" max="6665" width="12.7109375" style="154" customWidth="1"/>
    <col min="6666" max="6666" width="12.42578125" style="154" customWidth="1"/>
    <col min="6667" max="6667" width="12.7109375" style="154" customWidth="1"/>
    <col min="6668" max="6912" width="9.140625" style="154"/>
    <col min="6913" max="6913" width="41.5703125" style="154" customWidth="1"/>
    <col min="6914" max="6914" width="13.140625" style="154" customWidth="1"/>
    <col min="6915" max="6916" width="16.85546875" style="154" customWidth="1"/>
    <col min="6917" max="6917" width="1.5703125" style="154" customWidth="1"/>
    <col min="6918" max="6921" width="12.7109375" style="154" customWidth="1"/>
    <col min="6922" max="6922" width="12.42578125" style="154" customWidth="1"/>
    <col min="6923" max="6923" width="12.7109375" style="154" customWidth="1"/>
    <col min="6924" max="7168" width="9.140625" style="154"/>
    <col min="7169" max="7169" width="41.5703125" style="154" customWidth="1"/>
    <col min="7170" max="7170" width="13.140625" style="154" customWidth="1"/>
    <col min="7171" max="7172" width="16.85546875" style="154" customWidth="1"/>
    <col min="7173" max="7173" width="1.5703125" style="154" customWidth="1"/>
    <col min="7174" max="7177" width="12.7109375" style="154" customWidth="1"/>
    <col min="7178" max="7178" width="12.42578125" style="154" customWidth="1"/>
    <col min="7179" max="7179" width="12.7109375" style="154" customWidth="1"/>
    <col min="7180" max="7424" width="9.140625" style="154"/>
    <col min="7425" max="7425" width="41.5703125" style="154" customWidth="1"/>
    <col min="7426" max="7426" width="13.140625" style="154" customWidth="1"/>
    <col min="7427" max="7428" width="16.85546875" style="154" customWidth="1"/>
    <col min="7429" max="7429" width="1.5703125" style="154" customWidth="1"/>
    <col min="7430" max="7433" width="12.7109375" style="154" customWidth="1"/>
    <col min="7434" max="7434" width="12.42578125" style="154" customWidth="1"/>
    <col min="7435" max="7435" width="12.7109375" style="154" customWidth="1"/>
    <col min="7436" max="7680" width="9.140625" style="154"/>
    <col min="7681" max="7681" width="41.5703125" style="154" customWidth="1"/>
    <col min="7682" max="7682" width="13.140625" style="154" customWidth="1"/>
    <col min="7683" max="7684" width="16.85546875" style="154" customWidth="1"/>
    <col min="7685" max="7685" width="1.5703125" style="154" customWidth="1"/>
    <col min="7686" max="7689" width="12.7109375" style="154" customWidth="1"/>
    <col min="7690" max="7690" width="12.42578125" style="154" customWidth="1"/>
    <col min="7691" max="7691" width="12.7109375" style="154" customWidth="1"/>
    <col min="7692" max="7936" width="9.140625" style="154"/>
    <col min="7937" max="7937" width="41.5703125" style="154" customWidth="1"/>
    <col min="7938" max="7938" width="13.140625" style="154" customWidth="1"/>
    <col min="7939" max="7940" width="16.85546875" style="154" customWidth="1"/>
    <col min="7941" max="7941" width="1.5703125" style="154" customWidth="1"/>
    <col min="7942" max="7945" width="12.7109375" style="154" customWidth="1"/>
    <col min="7946" max="7946" width="12.42578125" style="154" customWidth="1"/>
    <col min="7947" max="7947" width="12.7109375" style="154" customWidth="1"/>
    <col min="7948" max="8192" width="9.140625" style="154"/>
    <col min="8193" max="8193" width="41.5703125" style="154" customWidth="1"/>
    <col min="8194" max="8194" width="13.140625" style="154" customWidth="1"/>
    <col min="8195" max="8196" width="16.85546875" style="154" customWidth="1"/>
    <col min="8197" max="8197" width="1.5703125" style="154" customWidth="1"/>
    <col min="8198" max="8201" width="12.7109375" style="154" customWidth="1"/>
    <col min="8202" max="8202" width="12.42578125" style="154" customWidth="1"/>
    <col min="8203" max="8203" width="12.7109375" style="154" customWidth="1"/>
    <col min="8204" max="8448" width="9.140625" style="154"/>
    <col min="8449" max="8449" width="41.5703125" style="154" customWidth="1"/>
    <col min="8450" max="8450" width="13.140625" style="154" customWidth="1"/>
    <col min="8451" max="8452" width="16.85546875" style="154" customWidth="1"/>
    <col min="8453" max="8453" width="1.5703125" style="154" customWidth="1"/>
    <col min="8454" max="8457" width="12.7109375" style="154" customWidth="1"/>
    <col min="8458" max="8458" width="12.42578125" style="154" customWidth="1"/>
    <col min="8459" max="8459" width="12.7109375" style="154" customWidth="1"/>
    <col min="8460" max="8704" width="9.140625" style="154"/>
    <col min="8705" max="8705" width="41.5703125" style="154" customWidth="1"/>
    <col min="8706" max="8706" width="13.140625" style="154" customWidth="1"/>
    <col min="8707" max="8708" width="16.85546875" style="154" customWidth="1"/>
    <col min="8709" max="8709" width="1.5703125" style="154" customWidth="1"/>
    <col min="8710" max="8713" width="12.7109375" style="154" customWidth="1"/>
    <col min="8714" max="8714" width="12.42578125" style="154" customWidth="1"/>
    <col min="8715" max="8715" width="12.7109375" style="154" customWidth="1"/>
    <col min="8716" max="8960" width="9.140625" style="154"/>
    <col min="8961" max="8961" width="41.5703125" style="154" customWidth="1"/>
    <col min="8962" max="8962" width="13.140625" style="154" customWidth="1"/>
    <col min="8963" max="8964" width="16.85546875" style="154" customWidth="1"/>
    <col min="8965" max="8965" width="1.5703125" style="154" customWidth="1"/>
    <col min="8966" max="8969" width="12.7109375" style="154" customWidth="1"/>
    <col min="8970" max="8970" width="12.42578125" style="154" customWidth="1"/>
    <col min="8971" max="8971" width="12.7109375" style="154" customWidth="1"/>
    <col min="8972" max="9216" width="9.140625" style="154"/>
    <col min="9217" max="9217" width="41.5703125" style="154" customWidth="1"/>
    <col min="9218" max="9218" width="13.140625" style="154" customWidth="1"/>
    <col min="9219" max="9220" width="16.85546875" style="154" customWidth="1"/>
    <col min="9221" max="9221" width="1.5703125" style="154" customWidth="1"/>
    <col min="9222" max="9225" width="12.7109375" style="154" customWidth="1"/>
    <col min="9226" max="9226" width="12.42578125" style="154" customWidth="1"/>
    <col min="9227" max="9227" width="12.7109375" style="154" customWidth="1"/>
    <col min="9228" max="9472" width="9.140625" style="154"/>
    <col min="9473" max="9473" width="41.5703125" style="154" customWidth="1"/>
    <col min="9474" max="9474" width="13.140625" style="154" customWidth="1"/>
    <col min="9475" max="9476" width="16.85546875" style="154" customWidth="1"/>
    <col min="9477" max="9477" width="1.5703125" style="154" customWidth="1"/>
    <col min="9478" max="9481" width="12.7109375" style="154" customWidth="1"/>
    <col min="9482" max="9482" width="12.42578125" style="154" customWidth="1"/>
    <col min="9483" max="9483" width="12.7109375" style="154" customWidth="1"/>
    <col min="9484" max="9728" width="9.140625" style="154"/>
    <col min="9729" max="9729" width="41.5703125" style="154" customWidth="1"/>
    <col min="9730" max="9730" width="13.140625" style="154" customWidth="1"/>
    <col min="9731" max="9732" width="16.85546875" style="154" customWidth="1"/>
    <col min="9733" max="9733" width="1.5703125" style="154" customWidth="1"/>
    <col min="9734" max="9737" width="12.7109375" style="154" customWidth="1"/>
    <col min="9738" max="9738" width="12.42578125" style="154" customWidth="1"/>
    <col min="9739" max="9739" width="12.7109375" style="154" customWidth="1"/>
    <col min="9740" max="9984" width="9.140625" style="154"/>
    <col min="9985" max="9985" width="41.5703125" style="154" customWidth="1"/>
    <col min="9986" max="9986" width="13.140625" style="154" customWidth="1"/>
    <col min="9987" max="9988" width="16.85546875" style="154" customWidth="1"/>
    <col min="9989" max="9989" width="1.5703125" style="154" customWidth="1"/>
    <col min="9990" max="9993" width="12.7109375" style="154" customWidth="1"/>
    <col min="9994" max="9994" width="12.42578125" style="154" customWidth="1"/>
    <col min="9995" max="9995" width="12.7109375" style="154" customWidth="1"/>
    <col min="9996" max="10240" width="9.140625" style="154"/>
    <col min="10241" max="10241" width="41.5703125" style="154" customWidth="1"/>
    <col min="10242" max="10242" width="13.140625" style="154" customWidth="1"/>
    <col min="10243" max="10244" width="16.85546875" style="154" customWidth="1"/>
    <col min="10245" max="10245" width="1.5703125" style="154" customWidth="1"/>
    <col min="10246" max="10249" width="12.7109375" style="154" customWidth="1"/>
    <col min="10250" max="10250" width="12.42578125" style="154" customWidth="1"/>
    <col min="10251" max="10251" width="12.7109375" style="154" customWidth="1"/>
    <col min="10252" max="10496" width="9.140625" style="154"/>
    <col min="10497" max="10497" width="41.5703125" style="154" customWidth="1"/>
    <col min="10498" max="10498" width="13.140625" style="154" customWidth="1"/>
    <col min="10499" max="10500" width="16.85546875" style="154" customWidth="1"/>
    <col min="10501" max="10501" width="1.5703125" style="154" customWidth="1"/>
    <col min="10502" max="10505" width="12.7109375" style="154" customWidth="1"/>
    <col min="10506" max="10506" width="12.42578125" style="154" customWidth="1"/>
    <col min="10507" max="10507" width="12.7109375" style="154" customWidth="1"/>
    <col min="10508" max="10752" width="9.140625" style="154"/>
    <col min="10753" max="10753" width="41.5703125" style="154" customWidth="1"/>
    <col min="10754" max="10754" width="13.140625" style="154" customWidth="1"/>
    <col min="10755" max="10756" width="16.85546875" style="154" customWidth="1"/>
    <col min="10757" max="10757" width="1.5703125" style="154" customWidth="1"/>
    <col min="10758" max="10761" width="12.7109375" style="154" customWidth="1"/>
    <col min="10762" max="10762" width="12.42578125" style="154" customWidth="1"/>
    <col min="10763" max="10763" width="12.7109375" style="154" customWidth="1"/>
    <col min="10764" max="11008" width="9.140625" style="154"/>
    <col min="11009" max="11009" width="41.5703125" style="154" customWidth="1"/>
    <col min="11010" max="11010" width="13.140625" style="154" customWidth="1"/>
    <col min="11011" max="11012" width="16.85546875" style="154" customWidth="1"/>
    <col min="11013" max="11013" width="1.5703125" style="154" customWidth="1"/>
    <col min="11014" max="11017" width="12.7109375" style="154" customWidth="1"/>
    <col min="11018" max="11018" width="12.42578125" style="154" customWidth="1"/>
    <col min="11019" max="11019" width="12.7109375" style="154" customWidth="1"/>
    <col min="11020" max="11264" width="9.140625" style="154"/>
    <col min="11265" max="11265" width="41.5703125" style="154" customWidth="1"/>
    <col min="11266" max="11266" width="13.140625" style="154" customWidth="1"/>
    <col min="11267" max="11268" width="16.85546875" style="154" customWidth="1"/>
    <col min="11269" max="11269" width="1.5703125" style="154" customWidth="1"/>
    <col min="11270" max="11273" width="12.7109375" style="154" customWidth="1"/>
    <col min="11274" max="11274" width="12.42578125" style="154" customWidth="1"/>
    <col min="11275" max="11275" width="12.7109375" style="154" customWidth="1"/>
    <col min="11276" max="11520" width="9.140625" style="154"/>
    <col min="11521" max="11521" width="41.5703125" style="154" customWidth="1"/>
    <col min="11522" max="11522" width="13.140625" style="154" customWidth="1"/>
    <col min="11523" max="11524" width="16.85546875" style="154" customWidth="1"/>
    <col min="11525" max="11525" width="1.5703125" style="154" customWidth="1"/>
    <col min="11526" max="11529" width="12.7109375" style="154" customWidth="1"/>
    <col min="11530" max="11530" width="12.42578125" style="154" customWidth="1"/>
    <col min="11531" max="11531" width="12.7109375" style="154" customWidth="1"/>
    <col min="11532" max="11776" width="9.140625" style="154"/>
    <col min="11777" max="11777" width="41.5703125" style="154" customWidth="1"/>
    <col min="11778" max="11778" width="13.140625" style="154" customWidth="1"/>
    <col min="11779" max="11780" width="16.85546875" style="154" customWidth="1"/>
    <col min="11781" max="11781" width="1.5703125" style="154" customWidth="1"/>
    <col min="11782" max="11785" width="12.7109375" style="154" customWidth="1"/>
    <col min="11786" max="11786" width="12.42578125" style="154" customWidth="1"/>
    <col min="11787" max="11787" width="12.7109375" style="154" customWidth="1"/>
    <col min="11788" max="12032" width="9.140625" style="154"/>
    <col min="12033" max="12033" width="41.5703125" style="154" customWidth="1"/>
    <col min="12034" max="12034" width="13.140625" style="154" customWidth="1"/>
    <col min="12035" max="12036" width="16.85546875" style="154" customWidth="1"/>
    <col min="12037" max="12037" width="1.5703125" style="154" customWidth="1"/>
    <col min="12038" max="12041" width="12.7109375" style="154" customWidth="1"/>
    <col min="12042" max="12042" width="12.42578125" style="154" customWidth="1"/>
    <col min="12043" max="12043" width="12.7109375" style="154" customWidth="1"/>
    <col min="12044" max="12288" width="9.140625" style="154"/>
    <col min="12289" max="12289" width="41.5703125" style="154" customWidth="1"/>
    <col min="12290" max="12290" width="13.140625" style="154" customWidth="1"/>
    <col min="12291" max="12292" width="16.85546875" style="154" customWidth="1"/>
    <col min="12293" max="12293" width="1.5703125" style="154" customWidth="1"/>
    <col min="12294" max="12297" width="12.7109375" style="154" customWidth="1"/>
    <col min="12298" max="12298" width="12.42578125" style="154" customWidth="1"/>
    <col min="12299" max="12299" width="12.7109375" style="154" customWidth="1"/>
    <col min="12300" max="12544" width="9.140625" style="154"/>
    <col min="12545" max="12545" width="41.5703125" style="154" customWidth="1"/>
    <col min="12546" max="12546" width="13.140625" style="154" customWidth="1"/>
    <col min="12547" max="12548" width="16.85546875" style="154" customWidth="1"/>
    <col min="12549" max="12549" width="1.5703125" style="154" customWidth="1"/>
    <col min="12550" max="12553" width="12.7109375" style="154" customWidth="1"/>
    <col min="12554" max="12554" width="12.42578125" style="154" customWidth="1"/>
    <col min="12555" max="12555" width="12.7109375" style="154" customWidth="1"/>
    <col min="12556" max="12800" width="9.140625" style="154"/>
    <col min="12801" max="12801" width="41.5703125" style="154" customWidth="1"/>
    <col min="12802" max="12802" width="13.140625" style="154" customWidth="1"/>
    <col min="12803" max="12804" width="16.85546875" style="154" customWidth="1"/>
    <col min="12805" max="12805" width="1.5703125" style="154" customWidth="1"/>
    <col min="12806" max="12809" width="12.7109375" style="154" customWidth="1"/>
    <col min="12810" max="12810" width="12.42578125" style="154" customWidth="1"/>
    <col min="12811" max="12811" width="12.7109375" style="154" customWidth="1"/>
    <col min="12812" max="13056" width="9.140625" style="154"/>
    <col min="13057" max="13057" width="41.5703125" style="154" customWidth="1"/>
    <col min="13058" max="13058" width="13.140625" style="154" customWidth="1"/>
    <col min="13059" max="13060" width="16.85546875" style="154" customWidth="1"/>
    <col min="13061" max="13061" width="1.5703125" style="154" customWidth="1"/>
    <col min="13062" max="13065" width="12.7109375" style="154" customWidth="1"/>
    <col min="13066" max="13066" width="12.42578125" style="154" customWidth="1"/>
    <col min="13067" max="13067" width="12.7109375" style="154" customWidth="1"/>
    <col min="13068" max="13312" width="9.140625" style="154"/>
    <col min="13313" max="13313" width="41.5703125" style="154" customWidth="1"/>
    <col min="13314" max="13314" width="13.140625" style="154" customWidth="1"/>
    <col min="13315" max="13316" width="16.85546875" style="154" customWidth="1"/>
    <col min="13317" max="13317" width="1.5703125" style="154" customWidth="1"/>
    <col min="13318" max="13321" width="12.7109375" style="154" customWidth="1"/>
    <col min="13322" max="13322" width="12.42578125" style="154" customWidth="1"/>
    <col min="13323" max="13323" width="12.7109375" style="154" customWidth="1"/>
    <col min="13324" max="13568" width="9.140625" style="154"/>
    <col min="13569" max="13569" width="41.5703125" style="154" customWidth="1"/>
    <col min="13570" max="13570" width="13.140625" style="154" customWidth="1"/>
    <col min="13571" max="13572" width="16.85546875" style="154" customWidth="1"/>
    <col min="13573" max="13573" width="1.5703125" style="154" customWidth="1"/>
    <col min="13574" max="13577" width="12.7109375" style="154" customWidth="1"/>
    <col min="13578" max="13578" width="12.42578125" style="154" customWidth="1"/>
    <col min="13579" max="13579" width="12.7109375" style="154" customWidth="1"/>
    <col min="13580" max="13824" width="9.140625" style="154"/>
    <col min="13825" max="13825" width="41.5703125" style="154" customWidth="1"/>
    <col min="13826" max="13826" width="13.140625" style="154" customWidth="1"/>
    <col min="13827" max="13828" width="16.85546875" style="154" customWidth="1"/>
    <col min="13829" max="13829" width="1.5703125" style="154" customWidth="1"/>
    <col min="13830" max="13833" width="12.7109375" style="154" customWidth="1"/>
    <col min="13834" max="13834" width="12.42578125" style="154" customWidth="1"/>
    <col min="13835" max="13835" width="12.7109375" style="154" customWidth="1"/>
    <col min="13836" max="14080" width="9.140625" style="154"/>
    <col min="14081" max="14081" width="41.5703125" style="154" customWidth="1"/>
    <col min="14082" max="14082" width="13.140625" style="154" customWidth="1"/>
    <col min="14083" max="14084" width="16.85546875" style="154" customWidth="1"/>
    <col min="14085" max="14085" width="1.5703125" style="154" customWidth="1"/>
    <col min="14086" max="14089" width="12.7109375" style="154" customWidth="1"/>
    <col min="14090" max="14090" width="12.42578125" style="154" customWidth="1"/>
    <col min="14091" max="14091" width="12.7109375" style="154" customWidth="1"/>
    <col min="14092" max="14336" width="9.140625" style="154"/>
    <col min="14337" max="14337" width="41.5703125" style="154" customWidth="1"/>
    <col min="14338" max="14338" width="13.140625" style="154" customWidth="1"/>
    <col min="14339" max="14340" width="16.85546875" style="154" customWidth="1"/>
    <col min="14341" max="14341" width="1.5703125" style="154" customWidth="1"/>
    <col min="14342" max="14345" width="12.7109375" style="154" customWidth="1"/>
    <col min="14346" max="14346" width="12.42578125" style="154" customWidth="1"/>
    <col min="14347" max="14347" width="12.7109375" style="154" customWidth="1"/>
    <col min="14348" max="14592" width="9.140625" style="154"/>
    <col min="14593" max="14593" width="41.5703125" style="154" customWidth="1"/>
    <col min="14594" max="14594" width="13.140625" style="154" customWidth="1"/>
    <col min="14595" max="14596" width="16.85546875" style="154" customWidth="1"/>
    <col min="14597" max="14597" width="1.5703125" style="154" customWidth="1"/>
    <col min="14598" max="14601" width="12.7109375" style="154" customWidth="1"/>
    <col min="14602" max="14602" width="12.42578125" style="154" customWidth="1"/>
    <col min="14603" max="14603" width="12.7109375" style="154" customWidth="1"/>
    <col min="14604" max="14848" width="9.140625" style="154"/>
    <col min="14849" max="14849" width="41.5703125" style="154" customWidth="1"/>
    <col min="14850" max="14850" width="13.140625" style="154" customWidth="1"/>
    <col min="14851" max="14852" width="16.85546875" style="154" customWidth="1"/>
    <col min="14853" max="14853" width="1.5703125" style="154" customWidth="1"/>
    <col min="14854" max="14857" width="12.7109375" style="154" customWidth="1"/>
    <col min="14858" max="14858" width="12.42578125" style="154" customWidth="1"/>
    <col min="14859" max="14859" width="12.7109375" style="154" customWidth="1"/>
    <col min="14860" max="15104" width="9.140625" style="154"/>
    <col min="15105" max="15105" width="41.5703125" style="154" customWidth="1"/>
    <col min="15106" max="15106" width="13.140625" style="154" customWidth="1"/>
    <col min="15107" max="15108" width="16.85546875" style="154" customWidth="1"/>
    <col min="15109" max="15109" width="1.5703125" style="154" customWidth="1"/>
    <col min="15110" max="15113" width="12.7109375" style="154" customWidth="1"/>
    <col min="15114" max="15114" width="12.42578125" style="154" customWidth="1"/>
    <col min="15115" max="15115" width="12.7109375" style="154" customWidth="1"/>
    <col min="15116" max="15360" width="9.140625" style="154"/>
    <col min="15361" max="15361" width="41.5703125" style="154" customWidth="1"/>
    <col min="15362" max="15362" width="13.140625" style="154" customWidth="1"/>
    <col min="15363" max="15364" width="16.85546875" style="154" customWidth="1"/>
    <col min="15365" max="15365" width="1.5703125" style="154" customWidth="1"/>
    <col min="15366" max="15369" width="12.7109375" style="154" customWidth="1"/>
    <col min="15370" max="15370" width="12.42578125" style="154" customWidth="1"/>
    <col min="15371" max="15371" width="12.7109375" style="154" customWidth="1"/>
    <col min="15372" max="15616" width="9.140625" style="154"/>
    <col min="15617" max="15617" width="41.5703125" style="154" customWidth="1"/>
    <col min="15618" max="15618" width="13.140625" style="154" customWidth="1"/>
    <col min="15619" max="15620" width="16.85546875" style="154" customWidth="1"/>
    <col min="15621" max="15621" width="1.5703125" style="154" customWidth="1"/>
    <col min="15622" max="15625" width="12.7109375" style="154" customWidth="1"/>
    <col min="15626" max="15626" width="12.42578125" style="154" customWidth="1"/>
    <col min="15627" max="15627" width="12.7109375" style="154" customWidth="1"/>
    <col min="15628" max="15872" width="9.140625" style="154"/>
    <col min="15873" max="15873" width="41.5703125" style="154" customWidth="1"/>
    <col min="15874" max="15874" width="13.140625" style="154" customWidth="1"/>
    <col min="15875" max="15876" width="16.85546875" style="154" customWidth="1"/>
    <col min="15877" max="15877" width="1.5703125" style="154" customWidth="1"/>
    <col min="15878" max="15881" width="12.7109375" style="154" customWidth="1"/>
    <col min="15882" max="15882" width="12.42578125" style="154" customWidth="1"/>
    <col min="15883" max="15883" width="12.7109375" style="154" customWidth="1"/>
    <col min="15884" max="16128" width="9.140625" style="154"/>
    <col min="16129" max="16129" width="41.5703125" style="154" customWidth="1"/>
    <col min="16130" max="16130" width="13.140625" style="154" customWidth="1"/>
    <col min="16131" max="16132" width="16.85546875" style="154" customWidth="1"/>
    <col min="16133" max="16133" width="1.5703125" style="154" customWidth="1"/>
    <col min="16134" max="16137" width="12.7109375" style="154" customWidth="1"/>
    <col min="16138" max="16138" width="12.42578125" style="154" customWidth="1"/>
    <col min="16139" max="16139" width="12.7109375" style="154" customWidth="1"/>
    <col min="16140" max="16384" width="9.140625" style="154"/>
  </cols>
  <sheetData>
    <row r="1" spans="1:13" ht="18.75" x14ac:dyDescent="0.25">
      <c r="A1" s="153"/>
    </row>
    <row r="2" spans="1:13" s="155" customFormat="1" ht="16.5" thickBot="1" x14ac:dyDescent="0.3">
      <c r="K2" s="154"/>
    </row>
    <row r="3" spans="1:13" s="155" customFormat="1" ht="15.75" x14ac:dyDescent="0.25">
      <c r="A3" s="156"/>
      <c r="B3" s="157"/>
      <c r="C3" s="157"/>
      <c r="D3" s="157"/>
      <c r="E3" s="157"/>
      <c r="F3" s="157"/>
      <c r="G3" s="158"/>
      <c r="H3" s="159"/>
      <c r="K3" s="154"/>
    </row>
    <row r="4" spans="1:13" s="155" customFormat="1" ht="15.75" x14ac:dyDescent="0.25">
      <c r="A4" s="160" t="s">
        <v>492</v>
      </c>
      <c r="B4" s="159"/>
      <c r="C4" s="159"/>
      <c r="D4" s="159"/>
      <c r="E4" s="159"/>
      <c r="F4" s="159"/>
      <c r="G4" s="161"/>
      <c r="H4" s="159"/>
      <c r="K4" s="154"/>
    </row>
    <row r="5" spans="1:13" s="155" customFormat="1" ht="15.75" x14ac:dyDescent="0.25">
      <c r="A5" s="162" t="s">
        <v>426</v>
      </c>
      <c r="B5" s="159"/>
      <c r="C5" s="159"/>
      <c r="D5" s="159"/>
      <c r="E5" s="159"/>
      <c r="F5" s="159"/>
      <c r="G5" s="161"/>
      <c r="H5" s="159"/>
      <c r="K5" s="154"/>
    </row>
    <row r="6" spans="1:13" s="155" customFormat="1" ht="16.5" thickBot="1" x14ac:dyDescent="0.3">
      <c r="A6" s="163"/>
      <c r="B6" s="164"/>
      <c r="C6" s="164"/>
      <c r="D6" s="164"/>
      <c r="E6" s="164"/>
      <c r="F6" s="164"/>
      <c r="G6" s="165"/>
      <c r="H6" s="159"/>
      <c r="K6" s="154"/>
    </row>
    <row r="7" spans="1:13" s="155" customFormat="1" ht="15.75" x14ac:dyDescent="0.25">
      <c r="K7" s="154"/>
    </row>
    <row r="8" spans="1:13" s="155" customFormat="1" ht="15.75" x14ac:dyDescent="0.25">
      <c r="A8" s="166"/>
      <c r="B8" s="166"/>
      <c r="C8" s="170" t="s">
        <v>491</v>
      </c>
      <c r="D8" s="167"/>
      <c r="E8" s="168"/>
      <c r="F8" s="169"/>
      <c r="H8" s="170" t="s">
        <v>490</v>
      </c>
      <c r="I8" s="171"/>
      <c r="K8" s="154"/>
    </row>
    <row r="9" spans="1:13" s="155" customFormat="1" ht="47.25" x14ac:dyDescent="0.25">
      <c r="A9" s="172" t="s">
        <v>427</v>
      </c>
      <c r="B9" s="173" t="s">
        <v>428</v>
      </c>
      <c r="C9" s="173" t="s">
        <v>429</v>
      </c>
      <c r="D9" s="173" t="s">
        <v>430</v>
      </c>
      <c r="E9" s="174"/>
      <c r="F9" s="173" t="s">
        <v>431</v>
      </c>
      <c r="G9" s="173" t="s">
        <v>432</v>
      </c>
      <c r="H9" s="173" t="s">
        <v>433</v>
      </c>
      <c r="I9" s="173" t="s">
        <v>411</v>
      </c>
      <c r="K9" s="154"/>
    </row>
    <row r="10" spans="1:13" s="155" customFormat="1" ht="15.75" x14ac:dyDescent="0.25">
      <c r="A10" s="175" t="s">
        <v>434</v>
      </c>
      <c r="B10" s="176">
        <v>2.6891062727403083</v>
      </c>
      <c r="C10" s="388">
        <v>62.284709238535228</v>
      </c>
      <c r="D10" s="388">
        <v>82.567016347785753</v>
      </c>
      <c r="E10" s="174"/>
      <c r="F10" s="176">
        <v>1</v>
      </c>
      <c r="G10" s="176">
        <v>1.3156971993682502</v>
      </c>
      <c r="H10" s="389">
        <v>0.60204252504718636</v>
      </c>
      <c r="I10" s="390">
        <f>SUM(F10:H10)</f>
        <v>2.9177397244154362</v>
      </c>
      <c r="M10" s="177"/>
    </row>
    <row r="11" spans="1:13" s="155" customFormat="1" ht="24.75" customHeight="1" x14ac:dyDescent="0.25">
      <c r="A11" s="178"/>
      <c r="B11" s="179"/>
      <c r="C11" s="180"/>
      <c r="D11" s="180"/>
      <c r="M11" s="177"/>
    </row>
    <row r="13" spans="1:13" x14ac:dyDescent="0.25">
      <c r="A13" s="181" t="s">
        <v>435</v>
      </c>
      <c r="B13" s="182"/>
      <c r="C13" s="182"/>
      <c r="D13" s="182"/>
    </row>
    <row r="14" spans="1:13" ht="15.75" hidden="1" thickBot="1" x14ac:dyDescent="0.3">
      <c r="A14" s="154" t="s">
        <v>436</v>
      </c>
      <c r="B14" s="183">
        <v>2.1588394213178135</v>
      </c>
      <c r="D14" s="154" t="s">
        <v>437</v>
      </c>
      <c r="F14" s="184">
        <v>1</v>
      </c>
      <c r="G14" s="185">
        <f>+G10/SUM($G$10:$H$10)</f>
        <v>0.68606661405488678</v>
      </c>
      <c r="H14" s="185">
        <f>+H10/SUM($G$10:$H$10)</f>
        <v>0.31393338594511322</v>
      </c>
      <c r="I14" s="186"/>
    </row>
    <row r="15" spans="1:13" ht="15.75" hidden="1" thickBot="1" x14ac:dyDescent="0.3">
      <c r="F15" s="187">
        <v>1</v>
      </c>
      <c r="G15" s="188">
        <f>($K$21-1)*G14</f>
        <v>1.3156971993682502</v>
      </c>
      <c r="H15" s="188">
        <f>($K$21-1)*H14</f>
        <v>0.60204252504718636</v>
      </c>
      <c r="I15" s="189">
        <f>SUM(F15:H15)</f>
        <v>2.9177397244154362</v>
      </c>
      <c r="L15" s="154">
        <f>+I15/I10</f>
        <v>1</v>
      </c>
    </row>
    <row r="16" spans="1:13" ht="18.75" hidden="1" x14ac:dyDescent="0.3">
      <c r="A16" s="190" t="s">
        <v>438</v>
      </c>
    </row>
    <row r="17" spans="1:12" hidden="1" x14ac:dyDescent="0.25">
      <c r="A17" s="191"/>
      <c r="B17" s="192" t="s">
        <v>362</v>
      </c>
      <c r="C17" s="192" t="s">
        <v>363</v>
      </c>
      <c r="D17" s="192" t="s">
        <v>364</v>
      </c>
      <c r="E17" s="192" t="s">
        <v>365</v>
      </c>
      <c r="F17" s="192" t="s">
        <v>366</v>
      </c>
      <c r="G17" s="192" t="s">
        <v>367</v>
      </c>
      <c r="H17" s="192" t="s">
        <v>368</v>
      </c>
      <c r="I17" s="192" t="s">
        <v>47</v>
      </c>
      <c r="J17" s="192" t="s">
        <v>48</v>
      </c>
      <c r="K17" s="192" t="s">
        <v>37</v>
      </c>
    </row>
    <row r="18" spans="1:12" hidden="1" x14ac:dyDescent="0.25">
      <c r="A18" s="191"/>
      <c r="B18" s="191"/>
      <c r="C18" s="191"/>
      <c r="D18" s="191"/>
      <c r="E18" s="191"/>
      <c r="F18" s="191"/>
      <c r="G18" s="191"/>
      <c r="H18" s="191"/>
      <c r="I18" s="191"/>
      <c r="J18" s="191"/>
      <c r="K18" s="191"/>
    </row>
    <row r="19" spans="1:12" hidden="1" x14ac:dyDescent="0.25">
      <c r="A19" s="193" t="s">
        <v>439</v>
      </c>
      <c r="B19" s="191"/>
      <c r="C19" s="194">
        <v>0.99199999999999999</v>
      </c>
      <c r="D19" s="194">
        <v>1.0640000000000001</v>
      </c>
      <c r="E19" s="194">
        <v>1.036</v>
      </c>
      <c r="F19" s="194">
        <v>1.016</v>
      </c>
      <c r="G19" s="194">
        <v>1.018</v>
      </c>
      <c r="H19" s="194">
        <v>1</v>
      </c>
      <c r="I19" s="194">
        <v>1.0089999999999999</v>
      </c>
      <c r="J19" s="194">
        <v>1.032</v>
      </c>
      <c r="K19" s="194">
        <v>1.042</v>
      </c>
    </row>
    <row r="20" spans="1:12" ht="15.75" hidden="1" thickBot="1" x14ac:dyDescent="0.3"/>
    <row r="21" spans="1:12" ht="15.75" hidden="1" thickBot="1" x14ac:dyDescent="0.3">
      <c r="H21" s="189">
        <f>+B10</f>
        <v>2.6891062727403083</v>
      </c>
      <c r="I21" s="182">
        <f>+H21*I19</f>
        <v>2.7133082291949706</v>
      </c>
      <c r="J21" s="182">
        <f>+J19*I21</f>
        <v>2.8001340925292095</v>
      </c>
      <c r="K21" s="182">
        <f>+K19*J21</f>
        <v>2.9177397244154366</v>
      </c>
      <c r="L21" s="154">
        <f>+K21/H21</f>
        <v>1.0850220959999999</v>
      </c>
    </row>
    <row r="22" spans="1:12" hidden="1" x14ac:dyDescent="0.25">
      <c r="K22" s="195"/>
    </row>
    <row r="23" spans="1:12" hidden="1" x14ac:dyDescent="0.25">
      <c r="I23" s="196">
        <f>+I19-1</f>
        <v>8.999999999999897E-3</v>
      </c>
      <c r="J23" s="196">
        <f>+J19-1</f>
        <v>3.2000000000000028E-2</v>
      </c>
      <c r="K23" s="196">
        <f>+K19-1</f>
        <v>4.2000000000000037E-2</v>
      </c>
    </row>
    <row r="24" spans="1:12" hidden="1" x14ac:dyDescent="0.25">
      <c r="I24" s="196">
        <f>1+I23+H24</f>
        <v>1.0089999999999999</v>
      </c>
      <c r="J24" s="196">
        <f>1+J23+I24</f>
        <v>2.0409999999999999</v>
      </c>
      <c r="K24" s="196">
        <f>1+K23+J24</f>
        <v>3.0830000000000002</v>
      </c>
    </row>
  </sheetData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Footer>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view="pageBreakPreview" zoomScale="85" zoomScaleNormal="100" zoomScaleSheetLayoutView="85" workbookViewId="0">
      <selection activeCell="E12" sqref="E12"/>
    </sheetView>
  </sheetViews>
  <sheetFormatPr defaultRowHeight="15" x14ac:dyDescent="0.25"/>
  <cols>
    <col min="1" max="1" width="32.5703125" style="198" customWidth="1"/>
    <col min="2" max="2" width="45.5703125" style="198" customWidth="1"/>
    <col min="3" max="3" width="15.140625" style="198" customWidth="1"/>
    <col min="4" max="10" width="14.42578125" style="198" customWidth="1"/>
    <col min="11" max="11" width="10.5703125" style="198" customWidth="1"/>
    <col min="12" max="256" width="9.140625" style="198"/>
    <col min="257" max="257" width="32.5703125" style="198" customWidth="1"/>
    <col min="258" max="258" width="45.5703125" style="198" customWidth="1"/>
    <col min="259" max="259" width="15.140625" style="198" customWidth="1"/>
    <col min="260" max="266" width="14.42578125" style="198" customWidth="1"/>
    <col min="267" max="267" width="10.5703125" style="198" customWidth="1"/>
    <col min="268" max="512" width="9.140625" style="198"/>
    <col min="513" max="513" width="32.5703125" style="198" customWidth="1"/>
    <col min="514" max="514" width="45.5703125" style="198" customWidth="1"/>
    <col min="515" max="515" width="15.140625" style="198" customWidth="1"/>
    <col min="516" max="522" width="14.42578125" style="198" customWidth="1"/>
    <col min="523" max="523" width="10.5703125" style="198" customWidth="1"/>
    <col min="524" max="768" width="9.140625" style="198"/>
    <col min="769" max="769" width="32.5703125" style="198" customWidth="1"/>
    <col min="770" max="770" width="45.5703125" style="198" customWidth="1"/>
    <col min="771" max="771" width="15.140625" style="198" customWidth="1"/>
    <col min="772" max="778" width="14.42578125" style="198" customWidth="1"/>
    <col min="779" max="779" width="10.5703125" style="198" customWidth="1"/>
    <col min="780" max="1024" width="9.140625" style="198"/>
    <col min="1025" max="1025" width="32.5703125" style="198" customWidth="1"/>
    <col min="1026" max="1026" width="45.5703125" style="198" customWidth="1"/>
    <col min="1027" max="1027" width="15.140625" style="198" customWidth="1"/>
    <col min="1028" max="1034" width="14.42578125" style="198" customWidth="1"/>
    <col min="1035" max="1035" width="10.5703125" style="198" customWidth="1"/>
    <col min="1036" max="1280" width="9.140625" style="198"/>
    <col min="1281" max="1281" width="32.5703125" style="198" customWidth="1"/>
    <col min="1282" max="1282" width="45.5703125" style="198" customWidth="1"/>
    <col min="1283" max="1283" width="15.140625" style="198" customWidth="1"/>
    <col min="1284" max="1290" width="14.42578125" style="198" customWidth="1"/>
    <col min="1291" max="1291" width="10.5703125" style="198" customWidth="1"/>
    <col min="1292" max="1536" width="9.140625" style="198"/>
    <col min="1537" max="1537" width="32.5703125" style="198" customWidth="1"/>
    <col min="1538" max="1538" width="45.5703125" style="198" customWidth="1"/>
    <col min="1539" max="1539" width="15.140625" style="198" customWidth="1"/>
    <col min="1540" max="1546" width="14.42578125" style="198" customWidth="1"/>
    <col min="1547" max="1547" width="10.5703125" style="198" customWidth="1"/>
    <col min="1548" max="1792" width="9.140625" style="198"/>
    <col min="1793" max="1793" width="32.5703125" style="198" customWidth="1"/>
    <col min="1794" max="1794" width="45.5703125" style="198" customWidth="1"/>
    <col min="1795" max="1795" width="15.140625" style="198" customWidth="1"/>
    <col min="1796" max="1802" width="14.42578125" style="198" customWidth="1"/>
    <col min="1803" max="1803" width="10.5703125" style="198" customWidth="1"/>
    <col min="1804" max="2048" width="9.140625" style="198"/>
    <col min="2049" max="2049" width="32.5703125" style="198" customWidth="1"/>
    <col min="2050" max="2050" width="45.5703125" style="198" customWidth="1"/>
    <col min="2051" max="2051" width="15.140625" style="198" customWidth="1"/>
    <col min="2052" max="2058" width="14.42578125" style="198" customWidth="1"/>
    <col min="2059" max="2059" width="10.5703125" style="198" customWidth="1"/>
    <col min="2060" max="2304" width="9.140625" style="198"/>
    <col min="2305" max="2305" width="32.5703125" style="198" customWidth="1"/>
    <col min="2306" max="2306" width="45.5703125" style="198" customWidth="1"/>
    <col min="2307" max="2307" width="15.140625" style="198" customWidth="1"/>
    <col min="2308" max="2314" width="14.42578125" style="198" customWidth="1"/>
    <col min="2315" max="2315" width="10.5703125" style="198" customWidth="1"/>
    <col min="2316" max="2560" width="9.140625" style="198"/>
    <col min="2561" max="2561" width="32.5703125" style="198" customWidth="1"/>
    <col min="2562" max="2562" width="45.5703125" style="198" customWidth="1"/>
    <col min="2563" max="2563" width="15.140625" style="198" customWidth="1"/>
    <col min="2564" max="2570" width="14.42578125" style="198" customWidth="1"/>
    <col min="2571" max="2571" width="10.5703125" style="198" customWidth="1"/>
    <col min="2572" max="2816" width="9.140625" style="198"/>
    <col min="2817" max="2817" width="32.5703125" style="198" customWidth="1"/>
    <col min="2818" max="2818" width="45.5703125" style="198" customWidth="1"/>
    <col min="2819" max="2819" width="15.140625" style="198" customWidth="1"/>
    <col min="2820" max="2826" width="14.42578125" style="198" customWidth="1"/>
    <col min="2827" max="2827" width="10.5703125" style="198" customWidth="1"/>
    <col min="2828" max="3072" width="9.140625" style="198"/>
    <col min="3073" max="3073" width="32.5703125" style="198" customWidth="1"/>
    <col min="3074" max="3074" width="45.5703125" style="198" customWidth="1"/>
    <col min="3075" max="3075" width="15.140625" style="198" customWidth="1"/>
    <col min="3076" max="3082" width="14.42578125" style="198" customWidth="1"/>
    <col min="3083" max="3083" width="10.5703125" style="198" customWidth="1"/>
    <col min="3084" max="3328" width="9.140625" style="198"/>
    <col min="3329" max="3329" width="32.5703125" style="198" customWidth="1"/>
    <col min="3330" max="3330" width="45.5703125" style="198" customWidth="1"/>
    <col min="3331" max="3331" width="15.140625" style="198" customWidth="1"/>
    <col min="3332" max="3338" width="14.42578125" style="198" customWidth="1"/>
    <col min="3339" max="3339" width="10.5703125" style="198" customWidth="1"/>
    <col min="3340" max="3584" width="9.140625" style="198"/>
    <col min="3585" max="3585" width="32.5703125" style="198" customWidth="1"/>
    <col min="3586" max="3586" width="45.5703125" style="198" customWidth="1"/>
    <col min="3587" max="3587" width="15.140625" style="198" customWidth="1"/>
    <col min="3588" max="3594" width="14.42578125" style="198" customWidth="1"/>
    <col min="3595" max="3595" width="10.5703125" style="198" customWidth="1"/>
    <col min="3596" max="3840" width="9.140625" style="198"/>
    <col min="3841" max="3841" width="32.5703125" style="198" customWidth="1"/>
    <col min="3842" max="3842" width="45.5703125" style="198" customWidth="1"/>
    <col min="3843" max="3843" width="15.140625" style="198" customWidth="1"/>
    <col min="3844" max="3850" width="14.42578125" style="198" customWidth="1"/>
    <col min="3851" max="3851" width="10.5703125" style="198" customWidth="1"/>
    <col min="3852" max="4096" width="9.140625" style="198"/>
    <col min="4097" max="4097" width="32.5703125" style="198" customWidth="1"/>
    <col min="4098" max="4098" width="45.5703125" style="198" customWidth="1"/>
    <col min="4099" max="4099" width="15.140625" style="198" customWidth="1"/>
    <col min="4100" max="4106" width="14.42578125" style="198" customWidth="1"/>
    <col min="4107" max="4107" width="10.5703125" style="198" customWidth="1"/>
    <col min="4108" max="4352" width="9.140625" style="198"/>
    <col min="4353" max="4353" width="32.5703125" style="198" customWidth="1"/>
    <col min="4354" max="4354" width="45.5703125" style="198" customWidth="1"/>
    <col min="4355" max="4355" width="15.140625" style="198" customWidth="1"/>
    <col min="4356" max="4362" width="14.42578125" style="198" customWidth="1"/>
    <col min="4363" max="4363" width="10.5703125" style="198" customWidth="1"/>
    <col min="4364" max="4608" width="9.140625" style="198"/>
    <col min="4609" max="4609" width="32.5703125" style="198" customWidth="1"/>
    <col min="4610" max="4610" width="45.5703125" style="198" customWidth="1"/>
    <col min="4611" max="4611" width="15.140625" style="198" customWidth="1"/>
    <col min="4612" max="4618" width="14.42578125" style="198" customWidth="1"/>
    <col min="4619" max="4619" width="10.5703125" style="198" customWidth="1"/>
    <col min="4620" max="4864" width="9.140625" style="198"/>
    <col min="4865" max="4865" width="32.5703125" style="198" customWidth="1"/>
    <col min="4866" max="4866" width="45.5703125" style="198" customWidth="1"/>
    <col min="4867" max="4867" width="15.140625" style="198" customWidth="1"/>
    <col min="4868" max="4874" width="14.42578125" style="198" customWidth="1"/>
    <col min="4875" max="4875" width="10.5703125" style="198" customWidth="1"/>
    <col min="4876" max="5120" width="9.140625" style="198"/>
    <col min="5121" max="5121" width="32.5703125" style="198" customWidth="1"/>
    <col min="5122" max="5122" width="45.5703125" style="198" customWidth="1"/>
    <col min="5123" max="5123" width="15.140625" style="198" customWidth="1"/>
    <col min="5124" max="5130" width="14.42578125" style="198" customWidth="1"/>
    <col min="5131" max="5131" width="10.5703125" style="198" customWidth="1"/>
    <col min="5132" max="5376" width="9.140625" style="198"/>
    <col min="5377" max="5377" width="32.5703125" style="198" customWidth="1"/>
    <col min="5378" max="5378" width="45.5703125" style="198" customWidth="1"/>
    <col min="5379" max="5379" width="15.140625" style="198" customWidth="1"/>
    <col min="5380" max="5386" width="14.42578125" style="198" customWidth="1"/>
    <col min="5387" max="5387" width="10.5703125" style="198" customWidth="1"/>
    <col min="5388" max="5632" width="9.140625" style="198"/>
    <col min="5633" max="5633" width="32.5703125" style="198" customWidth="1"/>
    <col min="5634" max="5634" width="45.5703125" style="198" customWidth="1"/>
    <col min="5635" max="5635" width="15.140625" style="198" customWidth="1"/>
    <col min="5636" max="5642" width="14.42578125" style="198" customWidth="1"/>
    <col min="5643" max="5643" width="10.5703125" style="198" customWidth="1"/>
    <col min="5644" max="5888" width="9.140625" style="198"/>
    <col min="5889" max="5889" width="32.5703125" style="198" customWidth="1"/>
    <col min="5890" max="5890" width="45.5703125" style="198" customWidth="1"/>
    <col min="5891" max="5891" width="15.140625" style="198" customWidth="1"/>
    <col min="5892" max="5898" width="14.42578125" style="198" customWidth="1"/>
    <col min="5899" max="5899" width="10.5703125" style="198" customWidth="1"/>
    <col min="5900" max="6144" width="9.140625" style="198"/>
    <col min="6145" max="6145" width="32.5703125" style="198" customWidth="1"/>
    <col min="6146" max="6146" width="45.5703125" style="198" customWidth="1"/>
    <col min="6147" max="6147" width="15.140625" style="198" customWidth="1"/>
    <col min="6148" max="6154" width="14.42578125" style="198" customWidth="1"/>
    <col min="6155" max="6155" width="10.5703125" style="198" customWidth="1"/>
    <col min="6156" max="6400" width="9.140625" style="198"/>
    <col min="6401" max="6401" width="32.5703125" style="198" customWidth="1"/>
    <col min="6402" max="6402" width="45.5703125" style="198" customWidth="1"/>
    <col min="6403" max="6403" width="15.140625" style="198" customWidth="1"/>
    <col min="6404" max="6410" width="14.42578125" style="198" customWidth="1"/>
    <col min="6411" max="6411" width="10.5703125" style="198" customWidth="1"/>
    <col min="6412" max="6656" width="9.140625" style="198"/>
    <col min="6657" max="6657" width="32.5703125" style="198" customWidth="1"/>
    <col min="6658" max="6658" width="45.5703125" style="198" customWidth="1"/>
    <col min="6659" max="6659" width="15.140625" style="198" customWidth="1"/>
    <col min="6660" max="6666" width="14.42578125" style="198" customWidth="1"/>
    <col min="6667" max="6667" width="10.5703125" style="198" customWidth="1"/>
    <col min="6668" max="6912" width="9.140625" style="198"/>
    <col min="6913" max="6913" width="32.5703125" style="198" customWidth="1"/>
    <col min="6914" max="6914" width="45.5703125" style="198" customWidth="1"/>
    <col min="6915" max="6915" width="15.140625" style="198" customWidth="1"/>
    <col min="6916" max="6922" width="14.42578125" style="198" customWidth="1"/>
    <col min="6923" max="6923" width="10.5703125" style="198" customWidth="1"/>
    <col min="6924" max="7168" width="9.140625" style="198"/>
    <col min="7169" max="7169" width="32.5703125" style="198" customWidth="1"/>
    <col min="7170" max="7170" width="45.5703125" style="198" customWidth="1"/>
    <col min="7171" max="7171" width="15.140625" style="198" customWidth="1"/>
    <col min="7172" max="7178" width="14.42578125" style="198" customWidth="1"/>
    <col min="7179" max="7179" width="10.5703125" style="198" customWidth="1"/>
    <col min="7180" max="7424" width="9.140625" style="198"/>
    <col min="7425" max="7425" width="32.5703125" style="198" customWidth="1"/>
    <col min="7426" max="7426" width="45.5703125" style="198" customWidth="1"/>
    <col min="7427" max="7427" width="15.140625" style="198" customWidth="1"/>
    <col min="7428" max="7434" width="14.42578125" style="198" customWidth="1"/>
    <col min="7435" max="7435" width="10.5703125" style="198" customWidth="1"/>
    <col min="7436" max="7680" width="9.140625" style="198"/>
    <col min="7681" max="7681" width="32.5703125" style="198" customWidth="1"/>
    <col min="7682" max="7682" width="45.5703125" style="198" customWidth="1"/>
    <col min="7683" max="7683" width="15.140625" style="198" customWidth="1"/>
    <col min="7684" max="7690" width="14.42578125" style="198" customWidth="1"/>
    <col min="7691" max="7691" width="10.5703125" style="198" customWidth="1"/>
    <col min="7692" max="7936" width="9.140625" style="198"/>
    <col min="7937" max="7937" width="32.5703125" style="198" customWidth="1"/>
    <col min="7938" max="7938" width="45.5703125" style="198" customWidth="1"/>
    <col min="7939" max="7939" width="15.140625" style="198" customWidth="1"/>
    <col min="7940" max="7946" width="14.42578125" style="198" customWidth="1"/>
    <col min="7947" max="7947" width="10.5703125" style="198" customWidth="1"/>
    <col min="7948" max="8192" width="9.140625" style="198"/>
    <col min="8193" max="8193" width="32.5703125" style="198" customWidth="1"/>
    <col min="8194" max="8194" width="45.5703125" style="198" customWidth="1"/>
    <col min="8195" max="8195" width="15.140625" style="198" customWidth="1"/>
    <col min="8196" max="8202" width="14.42578125" style="198" customWidth="1"/>
    <col min="8203" max="8203" width="10.5703125" style="198" customWidth="1"/>
    <col min="8204" max="8448" width="9.140625" style="198"/>
    <col min="8449" max="8449" width="32.5703125" style="198" customWidth="1"/>
    <col min="8450" max="8450" width="45.5703125" style="198" customWidth="1"/>
    <col min="8451" max="8451" width="15.140625" style="198" customWidth="1"/>
    <col min="8452" max="8458" width="14.42578125" style="198" customWidth="1"/>
    <col min="8459" max="8459" width="10.5703125" style="198" customWidth="1"/>
    <col min="8460" max="8704" width="9.140625" style="198"/>
    <col min="8705" max="8705" width="32.5703125" style="198" customWidth="1"/>
    <col min="8706" max="8706" width="45.5703125" style="198" customWidth="1"/>
    <col min="8707" max="8707" width="15.140625" style="198" customWidth="1"/>
    <col min="8708" max="8714" width="14.42578125" style="198" customWidth="1"/>
    <col min="8715" max="8715" width="10.5703125" style="198" customWidth="1"/>
    <col min="8716" max="8960" width="9.140625" style="198"/>
    <col min="8961" max="8961" width="32.5703125" style="198" customWidth="1"/>
    <col min="8962" max="8962" width="45.5703125" style="198" customWidth="1"/>
    <col min="8963" max="8963" width="15.140625" style="198" customWidth="1"/>
    <col min="8964" max="8970" width="14.42578125" style="198" customWidth="1"/>
    <col min="8971" max="8971" width="10.5703125" style="198" customWidth="1"/>
    <col min="8972" max="9216" width="9.140625" style="198"/>
    <col min="9217" max="9217" width="32.5703125" style="198" customWidth="1"/>
    <col min="9218" max="9218" width="45.5703125" style="198" customWidth="1"/>
    <col min="9219" max="9219" width="15.140625" style="198" customWidth="1"/>
    <col min="9220" max="9226" width="14.42578125" style="198" customWidth="1"/>
    <col min="9227" max="9227" width="10.5703125" style="198" customWidth="1"/>
    <col min="9228" max="9472" width="9.140625" style="198"/>
    <col min="9473" max="9473" width="32.5703125" style="198" customWidth="1"/>
    <col min="9474" max="9474" width="45.5703125" style="198" customWidth="1"/>
    <col min="9475" max="9475" width="15.140625" style="198" customWidth="1"/>
    <col min="9476" max="9482" width="14.42578125" style="198" customWidth="1"/>
    <col min="9483" max="9483" width="10.5703125" style="198" customWidth="1"/>
    <col min="9484" max="9728" width="9.140625" style="198"/>
    <col min="9729" max="9729" width="32.5703125" style="198" customWidth="1"/>
    <col min="9730" max="9730" width="45.5703125" style="198" customWidth="1"/>
    <col min="9731" max="9731" width="15.140625" style="198" customWidth="1"/>
    <col min="9732" max="9738" width="14.42578125" style="198" customWidth="1"/>
    <col min="9739" max="9739" width="10.5703125" style="198" customWidth="1"/>
    <col min="9740" max="9984" width="9.140625" style="198"/>
    <col min="9985" max="9985" width="32.5703125" style="198" customWidth="1"/>
    <col min="9986" max="9986" width="45.5703125" style="198" customWidth="1"/>
    <col min="9987" max="9987" width="15.140625" style="198" customWidth="1"/>
    <col min="9988" max="9994" width="14.42578125" style="198" customWidth="1"/>
    <col min="9995" max="9995" width="10.5703125" style="198" customWidth="1"/>
    <col min="9996" max="10240" width="9.140625" style="198"/>
    <col min="10241" max="10241" width="32.5703125" style="198" customWidth="1"/>
    <col min="10242" max="10242" width="45.5703125" style="198" customWidth="1"/>
    <col min="10243" max="10243" width="15.140625" style="198" customWidth="1"/>
    <col min="10244" max="10250" width="14.42578125" style="198" customWidth="1"/>
    <col min="10251" max="10251" width="10.5703125" style="198" customWidth="1"/>
    <col min="10252" max="10496" width="9.140625" style="198"/>
    <col min="10497" max="10497" width="32.5703125" style="198" customWidth="1"/>
    <col min="10498" max="10498" width="45.5703125" style="198" customWidth="1"/>
    <col min="10499" max="10499" width="15.140625" style="198" customWidth="1"/>
    <col min="10500" max="10506" width="14.42578125" style="198" customWidth="1"/>
    <col min="10507" max="10507" width="10.5703125" style="198" customWidth="1"/>
    <col min="10508" max="10752" width="9.140625" style="198"/>
    <col min="10753" max="10753" width="32.5703125" style="198" customWidth="1"/>
    <col min="10754" max="10754" width="45.5703125" style="198" customWidth="1"/>
    <col min="10755" max="10755" width="15.140625" style="198" customWidth="1"/>
    <col min="10756" max="10762" width="14.42578125" style="198" customWidth="1"/>
    <col min="10763" max="10763" width="10.5703125" style="198" customWidth="1"/>
    <col min="10764" max="11008" width="9.140625" style="198"/>
    <col min="11009" max="11009" width="32.5703125" style="198" customWidth="1"/>
    <col min="11010" max="11010" width="45.5703125" style="198" customWidth="1"/>
    <col min="11011" max="11011" width="15.140625" style="198" customWidth="1"/>
    <col min="11012" max="11018" width="14.42578125" style="198" customWidth="1"/>
    <col min="11019" max="11019" width="10.5703125" style="198" customWidth="1"/>
    <col min="11020" max="11264" width="9.140625" style="198"/>
    <col min="11265" max="11265" width="32.5703125" style="198" customWidth="1"/>
    <col min="11266" max="11266" width="45.5703125" style="198" customWidth="1"/>
    <col min="11267" max="11267" width="15.140625" style="198" customWidth="1"/>
    <col min="11268" max="11274" width="14.42578125" style="198" customWidth="1"/>
    <col min="11275" max="11275" width="10.5703125" style="198" customWidth="1"/>
    <col min="11276" max="11520" width="9.140625" style="198"/>
    <col min="11521" max="11521" width="32.5703125" style="198" customWidth="1"/>
    <col min="11522" max="11522" width="45.5703125" style="198" customWidth="1"/>
    <col min="11523" max="11523" width="15.140625" style="198" customWidth="1"/>
    <col min="11524" max="11530" width="14.42578125" style="198" customWidth="1"/>
    <col min="11531" max="11531" width="10.5703125" style="198" customWidth="1"/>
    <col min="11532" max="11776" width="9.140625" style="198"/>
    <col min="11777" max="11777" width="32.5703125" style="198" customWidth="1"/>
    <col min="11778" max="11778" width="45.5703125" style="198" customWidth="1"/>
    <col min="11779" max="11779" width="15.140625" style="198" customWidth="1"/>
    <col min="11780" max="11786" width="14.42578125" style="198" customWidth="1"/>
    <col min="11787" max="11787" width="10.5703125" style="198" customWidth="1"/>
    <col min="11788" max="12032" width="9.140625" style="198"/>
    <col min="12033" max="12033" width="32.5703125" style="198" customWidth="1"/>
    <col min="12034" max="12034" width="45.5703125" style="198" customWidth="1"/>
    <col min="12035" max="12035" width="15.140625" style="198" customWidth="1"/>
    <col min="12036" max="12042" width="14.42578125" style="198" customWidth="1"/>
    <col min="12043" max="12043" width="10.5703125" style="198" customWidth="1"/>
    <col min="12044" max="12288" width="9.140625" style="198"/>
    <col min="12289" max="12289" width="32.5703125" style="198" customWidth="1"/>
    <col min="12290" max="12290" width="45.5703125" style="198" customWidth="1"/>
    <col min="12291" max="12291" width="15.140625" style="198" customWidth="1"/>
    <col min="12292" max="12298" width="14.42578125" style="198" customWidth="1"/>
    <col min="12299" max="12299" width="10.5703125" style="198" customWidth="1"/>
    <col min="12300" max="12544" width="9.140625" style="198"/>
    <col min="12545" max="12545" width="32.5703125" style="198" customWidth="1"/>
    <col min="12546" max="12546" width="45.5703125" style="198" customWidth="1"/>
    <col min="12547" max="12547" width="15.140625" style="198" customWidth="1"/>
    <col min="12548" max="12554" width="14.42578125" style="198" customWidth="1"/>
    <col min="12555" max="12555" width="10.5703125" style="198" customWidth="1"/>
    <col min="12556" max="12800" width="9.140625" style="198"/>
    <col min="12801" max="12801" width="32.5703125" style="198" customWidth="1"/>
    <col min="12802" max="12802" width="45.5703125" style="198" customWidth="1"/>
    <col min="12803" max="12803" width="15.140625" style="198" customWidth="1"/>
    <col min="12804" max="12810" width="14.42578125" style="198" customWidth="1"/>
    <col min="12811" max="12811" width="10.5703125" style="198" customWidth="1"/>
    <col min="12812" max="13056" width="9.140625" style="198"/>
    <col min="13057" max="13057" width="32.5703125" style="198" customWidth="1"/>
    <col min="13058" max="13058" width="45.5703125" style="198" customWidth="1"/>
    <col min="13059" max="13059" width="15.140625" style="198" customWidth="1"/>
    <col min="13060" max="13066" width="14.42578125" style="198" customWidth="1"/>
    <col min="13067" max="13067" width="10.5703125" style="198" customWidth="1"/>
    <col min="13068" max="13312" width="9.140625" style="198"/>
    <col min="13313" max="13313" width="32.5703125" style="198" customWidth="1"/>
    <col min="13314" max="13314" width="45.5703125" style="198" customWidth="1"/>
    <col min="13315" max="13315" width="15.140625" style="198" customWidth="1"/>
    <col min="13316" max="13322" width="14.42578125" style="198" customWidth="1"/>
    <col min="13323" max="13323" width="10.5703125" style="198" customWidth="1"/>
    <col min="13324" max="13568" width="9.140625" style="198"/>
    <col min="13569" max="13569" width="32.5703125" style="198" customWidth="1"/>
    <col min="13570" max="13570" width="45.5703125" style="198" customWidth="1"/>
    <col min="13571" max="13571" width="15.140625" style="198" customWidth="1"/>
    <col min="13572" max="13578" width="14.42578125" style="198" customWidth="1"/>
    <col min="13579" max="13579" width="10.5703125" style="198" customWidth="1"/>
    <col min="13580" max="13824" width="9.140625" style="198"/>
    <col min="13825" max="13825" width="32.5703125" style="198" customWidth="1"/>
    <col min="13826" max="13826" width="45.5703125" style="198" customWidth="1"/>
    <col min="13827" max="13827" width="15.140625" style="198" customWidth="1"/>
    <col min="13828" max="13834" width="14.42578125" style="198" customWidth="1"/>
    <col min="13835" max="13835" width="10.5703125" style="198" customWidth="1"/>
    <col min="13836" max="14080" width="9.140625" style="198"/>
    <col min="14081" max="14081" width="32.5703125" style="198" customWidth="1"/>
    <col min="14082" max="14082" width="45.5703125" style="198" customWidth="1"/>
    <col min="14083" max="14083" width="15.140625" style="198" customWidth="1"/>
    <col min="14084" max="14090" width="14.42578125" style="198" customWidth="1"/>
    <col min="14091" max="14091" width="10.5703125" style="198" customWidth="1"/>
    <col min="14092" max="14336" width="9.140625" style="198"/>
    <col min="14337" max="14337" width="32.5703125" style="198" customWidth="1"/>
    <col min="14338" max="14338" width="45.5703125" style="198" customWidth="1"/>
    <col min="14339" max="14339" width="15.140625" style="198" customWidth="1"/>
    <col min="14340" max="14346" width="14.42578125" style="198" customWidth="1"/>
    <col min="14347" max="14347" width="10.5703125" style="198" customWidth="1"/>
    <col min="14348" max="14592" width="9.140625" style="198"/>
    <col min="14593" max="14593" width="32.5703125" style="198" customWidth="1"/>
    <col min="14594" max="14594" width="45.5703125" style="198" customWidth="1"/>
    <col min="14595" max="14595" width="15.140625" style="198" customWidth="1"/>
    <col min="14596" max="14602" width="14.42578125" style="198" customWidth="1"/>
    <col min="14603" max="14603" width="10.5703125" style="198" customWidth="1"/>
    <col min="14604" max="14848" width="9.140625" style="198"/>
    <col min="14849" max="14849" width="32.5703125" style="198" customWidth="1"/>
    <col min="14850" max="14850" width="45.5703125" style="198" customWidth="1"/>
    <col min="14851" max="14851" width="15.140625" style="198" customWidth="1"/>
    <col min="14852" max="14858" width="14.42578125" style="198" customWidth="1"/>
    <col min="14859" max="14859" width="10.5703125" style="198" customWidth="1"/>
    <col min="14860" max="15104" width="9.140625" style="198"/>
    <col min="15105" max="15105" width="32.5703125" style="198" customWidth="1"/>
    <col min="15106" max="15106" width="45.5703125" style="198" customWidth="1"/>
    <col min="15107" max="15107" width="15.140625" style="198" customWidth="1"/>
    <col min="15108" max="15114" width="14.42578125" style="198" customWidth="1"/>
    <col min="15115" max="15115" width="10.5703125" style="198" customWidth="1"/>
    <col min="15116" max="15360" width="9.140625" style="198"/>
    <col min="15361" max="15361" width="32.5703125" style="198" customWidth="1"/>
    <col min="15362" max="15362" width="45.5703125" style="198" customWidth="1"/>
    <col min="15363" max="15363" width="15.140625" style="198" customWidth="1"/>
    <col min="15364" max="15370" width="14.42578125" style="198" customWidth="1"/>
    <col min="15371" max="15371" width="10.5703125" style="198" customWidth="1"/>
    <col min="15372" max="15616" width="9.140625" style="198"/>
    <col min="15617" max="15617" width="32.5703125" style="198" customWidth="1"/>
    <col min="15618" max="15618" width="45.5703125" style="198" customWidth="1"/>
    <col min="15619" max="15619" width="15.140625" style="198" customWidth="1"/>
    <col min="15620" max="15626" width="14.42578125" style="198" customWidth="1"/>
    <col min="15627" max="15627" width="10.5703125" style="198" customWidth="1"/>
    <col min="15628" max="15872" width="9.140625" style="198"/>
    <col min="15873" max="15873" width="32.5703125" style="198" customWidth="1"/>
    <col min="15874" max="15874" width="45.5703125" style="198" customWidth="1"/>
    <col min="15875" max="15875" width="15.140625" style="198" customWidth="1"/>
    <col min="15876" max="15882" width="14.42578125" style="198" customWidth="1"/>
    <col min="15883" max="15883" width="10.5703125" style="198" customWidth="1"/>
    <col min="15884" max="16128" width="9.140625" style="198"/>
    <col min="16129" max="16129" width="32.5703125" style="198" customWidth="1"/>
    <col min="16130" max="16130" width="45.5703125" style="198" customWidth="1"/>
    <col min="16131" max="16131" width="15.140625" style="198" customWidth="1"/>
    <col min="16132" max="16138" width="14.42578125" style="198" customWidth="1"/>
    <col min="16139" max="16139" width="10.5703125" style="198" customWidth="1"/>
    <col min="16140" max="16384" width="9.140625" style="198"/>
  </cols>
  <sheetData>
    <row r="1" spans="1:11" ht="18.75" x14ac:dyDescent="0.25">
      <c r="A1" s="197"/>
    </row>
    <row r="2" spans="1:11" ht="15.75" thickBot="1" x14ac:dyDescent="0.3"/>
    <row r="3" spans="1:11" s="199" customFormat="1" ht="15.75" x14ac:dyDescent="0.25">
      <c r="B3" s="200" t="s">
        <v>440</v>
      </c>
      <c r="C3" s="201"/>
      <c r="D3" s="201"/>
      <c r="E3" s="201"/>
      <c r="F3" s="201"/>
      <c r="G3" s="201"/>
      <c r="H3" s="201"/>
      <c r="I3" s="202"/>
      <c r="J3" s="202"/>
    </row>
    <row r="4" spans="1:11" s="199" customFormat="1" ht="15.75" x14ac:dyDescent="0.25">
      <c r="B4" s="226" t="s">
        <v>441</v>
      </c>
      <c r="C4" s="222"/>
      <c r="D4" s="222"/>
      <c r="E4" s="222"/>
      <c r="F4" s="222"/>
      <c r="G4" s="222"/>
      <c r="H4" s="222"/>
      <c r="I4" s="223"/>
      <c r="J4" s="203"/>
    </row>
    <row r="5" spans="1:11" s="199" customFormat="1" ht="15.75" x14ac:dyDescent="0.25">
      <c r="B5" s="226" t="s">
        <v>442</v>
      </c>
      <c r="C5" s="222"/>
      <c r="D5" s="222"/>
      <c r="E5" s="222"/>
      <c r="F5" s="222"/>
      <c r="G5" s="222"/>
      <c r="H5" s="222"/>
      <c r="I5" s="223"/>
      <c r="J5" s="203"/>
    </row>
    <row r="6" spans="1:11" s="199" customFormat="1" ht="16.5" thickBot="1" x14ac:dyDescent="0.3">
      <c r="B6" s="242"/>
      <c r="C6" s="231"/>
      <c r="D6" s="231"/>
      <c r="E6" s="231"/>
      <c r="F6" s="231"/>
      <c r="G6" s="231"/>
      <c r="H6" s="231"/>
      <c r="I6" s="232"/>
      <c r="J6" s="204"/>
    </row>
    <row r="7" spans="1:11" s="199" customFormat="1" ht="15.75" x14ac:dyDescent="0.25"/>
    <row r="8" spans="1:11" s="199" customFormat="1" ht="31.5" x14ac:dyDescent="0.25">
      <c r="B8" s="205" t="s">
        <v>25</v>
      </c>
      <c r="C8" s="205" t="s">
        <v>443</v>
      </c>
      <c r="D8" s="205" t="s">
        <v>444</v>
      </c>
      <c r="E8" s="205" t="s">
        <v>445</v>
      </c>
      <c r="F8" s="205" t="s">
        <v>446</v>
      </c>
    </row>
    <row r="9" spans="1:11" s="206" customFormat="1" ht="15.75" x14ac:dyDescent="0.25">
      <c r="B9" s="207" t="s">
        <v>447</v>
      </c>
      <c r="C9" s="208">
        <f>ROUND(C16/1000,2)</f>
        <v>1627.86</v>
      </c>
      <c r="D9" s="208">
        <f>+ROUNDUP($C9*(D12),2)</f>
        <v>2141.7800000000002</v>
      </c>
      <c r="E9" s="208">
        <f>+ROUNDUP($C9*(E12),2)</f>
        <v>980.05</v>
      </c>
      <c r="F9" s="413">
        <f>SUM(C9:E9)</f>
        <v>4749.6900000000005</v>
      </c>
      <c r="G9" s="209"/>
      <c r="H9" s="199"/>
      <c r="I9" s="209"/>
      <c r="J9" s="209"/>
      <c r="K9" s="210"/>
    </row>
    <row r="10" spans="1:11" s="206" customFormat="1" ht="15.75" x14ac:dyDescent="0.25">
      <c r="B10" s="207" t="s">
        <v>448</v>
      </c>
      <c r="C10" s="211">
        <f>+J29</f>
        <v>13</v>
      </c>
      <c r="D10" s="211">
        <f>+ROUNDUP(D9/1000*D13,0)</f>
        <v>134</v>
      </c>
      <c r="E10" s="211">
        <f>+ROUNDUP(E9/1000*E13,0)</f>
        <v>81</v>
      </c>
      <c r="F10" s="414">
        <f>SUM(C10:E10)</f>
        <v>228</v>
      </c>
      <c r="H10" s="199"/>
      <c r="K10" s="199"/>
    </row>
    <row r="11" spans="1:11" s="206" customFormat="1" ht="15.75" x14ac:dyDescent="0.25">
      <c r="B11" s="212" t="s">
        <v>449</v>
      </c>
      <c r="C11" s="213"/>
      <c r="D11" s="213"/>
      <c r="E11" s="213"/>
      <c r="F11" s="213"/>
      <c r="K11" s="199"/>
    </row>
    <row r="12" spans="1:11" s="206" customFormat="1" ht="15.75" x14ac:dyDescent="0.25">
      <c r="B12" s="207" t="s">
        <v>450</v>
      </c>
      <c r="C12" s="213">
        <v>1</v>
      </c>
      <c r="D12" s="213">
        <v>1.3156971993682502</v>
      </c>
      <c r="E12" s="213">
        <v>0.60204252504718636</v>
      </c>
      <c r="F12" s="412">
        <v>1</v>
      </c>
      <c r="K12" s="199"/>
    </row>
    <row r="13" spans="1:11" s="206" customFormat="1" ht="31.5" x14ac:dyDescent="0.25">
      <c r="B13" s="207" t="s">
        <v>451</v>
      </c>
      <c r="C13" s="211">
        <v>0</v>
      </c>
      <c r="D13" s="211">
        <f>+'5_Prioritāte-3_Pielikums-2d'!C10</f>
        <v>62.284709238535228</v>
      </c>
      <c r="E13" s="211">
        <f>+'5_Prioritāte-3_Pielikums-2d'!D10</f>
        <v>82.567016347785753</v>
      </c>
      <c r="F13" s="214"/>
      <c r="K13" s="199"/>
    </row>
    <row r="14" spans="1:11" s="206" customFormat="1" ht="15.75" x14ac:dyDescent="0.25">
      <c r="B14" s="415"/>
      <c r="C14" s="416"/>
      <c r="D14" s="416"/>
      <c r="E14" s="416"/>
      <c r="F14" s="417"/>
      <c r="K14" s="199"/>
    </row>
    <row r="15" spans="1:11" s="206" customFormat="1" ht="15.75" x14ac:dyDescent="0.25">
      <c r="B15" s="181" t="s">
        <v>435</v>
      </c>
      <c r="K15" s="199"/>
    </row>
    <row r="16" spans="1:11" s="206" customFormat="1" ht="15.75" hidden="1" x14ac:dyDescent="0.25">
      <c r="B16" s="215"/>
      <c r="C16" s="216">
        <f>+'5_Prioritāte-3_Pielikums-1d'!G40</f>
        <v>1627862</v>
      </c>
      <c r="D16" s="206" t="s">
        <v>350</v>
      </c>
      <c r="K16" s="199"/>
    </row>
    <row r="17" spans="2:11" s="206" customFormat="1" ht="16.5" hidden="1" thickBot="1" x14ac:dyDescent="0.3"/>
    <row r="18" spans="2:11" s="206" customFormat="1" ht="16.5" hidden="1" thickBot="1" x14ac:dyDescent="0.3">
      <c r="B18" s="217"/>
      <c r="C18" s="218"/>
      <c r="D18" s="218"/>
      <c r="E18" s="218"/>
      <c r="F18" s="218"/>
      <c r="G18" s="218"/>
      <c r="H18" s="218"/>
      <c r="I18" s="218"/>
      <c r="J18" s="219"/>
    </row>
    <row r="19" spans="2:11" s="206" customFormat="1" ht="15.75" hidden="1" x14ac:dyDescent="0.25">
      <c r="B19" s="220"/>
      <c r="C19" s="221"/>
      <c r="D19" s="218"/>
      <c r="E19" s="218"/>
      <c r="F19" s="219"/>
      <c r="G19" s="222"/>
      <c r="H19" s="222"/>
      <c r="I19" s="222"/>
      <c r="J19" s="223"/>
    </row>
    <row r="20" spans="2:11" s="206" customFormat="1" ht="15.75" hidden="1" x14ac:dyDescent="0.25">
      <c r="B20" s="224" t="s">
        <v>452</v>
      </c>
      <c r="C20" s="225">
        <v>1110000</v>
      </c>
      <c r="D20" s="226" t="s">
        <v>350</v>
      </c>
      <c r="E20" s="222"/>
      <c r="F20" s="223"/>
      <c r="H20" s="222"/>
      <c r="I20" s="222"/>
      <c r="J20" s="223"/>
    </row>
    <row r="21" spans="2:11" s="206" customFormat="1" ht="15.75" hidden="1" x14ac:dyDescent="0.25">
      <c r="B21" s="224"/>
      <c r="C21" s="227"/>
      <c r="D21" s="222"/>
      <c r="E21" s="222"/>
      <c r="F21" s="223"/>
      <c r="G21" s="222"/>
      <c r="H21" s="222"/>
      <c r="I21" s="222"/>
      <c r="J21" s="223"/>
    </row>
    <row r="22" spans="2:11" s="206" customFormat="1" ht="16.5" hidden="1" thickBot="1" x14ac:dyDescent="0.3">
      <c r="B22" s="228" t="s">
        <v>453</v>
      </c>
      <c r="C22" s="229">
        <v>14</v>
      </c>
      <c r="D22" s="230"/>
      <c r="E22" s="231"/>
      <c r="F22" s="232"/>
      <c r="G22" s="222"/>
      <c r="H22" s="222"/>
      <c r="I22" s="222"/>
      <c r="J22" s="223"/>
    </row>
    <row r="23" spans="2:11" s="206" customFormat="1" ht="15.75" hidden="1" x14ac:dyDescent="0.25">
      <c r="B23" s="226"/>
      <c r="C23" s="222"/>
      <c r="D23" s="222"/>
      <c r="E23" s="233"/>
      <c r="F23" s="233"/>
      <c r="G23" s="222"/>
      <c r="H23" s="222"/>
      <c r="I23" s="222"/>
      <c r="J23" s="223"/>
    </row>
    <row r="24" spans="2:11" s="206" customFormat="1" ht="15.75" hidden="1" x14ac:dyDescent="0.25">
      <c r="B24" s="226"/>
      <c r="C24" s="234">
        <v>2011</v>
      </c>
      <c r="D24" s="234">
        <v>2012</v>
      </c>
      <c r="E24" s="234">
        <f t="shared" ref="E24:J24" si="0">+D24+1</f>
        <v>2013</v>
      </c>
      <c r="F24" s="234">
        <f t="shared" si="0"/>
        <v>2014</v>
      </c>
      <c r="G24" s="234">
        <f t="shared" si="0"/>
        <v>2015</v>
      </c>
      <c r="H24" s="234">
        <f t="shared" si="0"/>
        <v>2016</v>
      </c>
      <c r="I24" s="234">
        <f t="shared" si="0"/>
        <v>2017</v>
      </c>
      <c r="J24" s="235">
        <f t="shared" si="0"/>
        <v>2018</v>
      </c>
    </row>
    <row r="25" spans="2:11" s="206" customFormat="1" ht="15.75" hidden="1" x14ac:dyDescent="0.25">
      <c r="B25" s="224" t="s">
        <v>454</v>
      </c>
      <c r="C25" s="216">
        <f>+C20</f>
        <v>1110000</v>
      </c>
      <c r="D25" s="216">
        <f t="shared" ref="D25:I25" si="1">+C25*D26</f>
        <v>1274280</v>
      </c>
      <c r="E25" s="216">
        <f t="shared" si="1"/>
        <v>1569663.2011199999</v>
      </c>
      <c r="F25" s="216">
        <f t="shared" si="1"/>
        <v>2138470.255230417</v>
      </c>
      <c r="G25" s="216">
        <f t="shared" si="1"/>
        <v>2895918.4996289555</v>
      </c>
      <c r="H25" s="216">
        <f t="shared" si="1"/>
        <v>3270660.8112076498</v>
      </c>
      <c r="I25" s="216">
        <f t="shared" si="1"/>
        <v>4584576.2194819553</v>
      </c>
      <c r="J25" s="216">
        <f>+I25*J26</f>
        <v>6856891.9638226796</v>
      </c>
    </row>
    <row r="26" spans="2:11" s="206" customFormat="1" ht="15.75" hidden="1" x14ac:dyDescent="0.25">
      <c r="B26" s="224" t="s">
        <v>455</v>
      </c>
      <c r="C26" s="236">
        <v>1</v>
      </c>
      <c r="D26" s="236">
        <v>1.1479999999999999</v>
      </c>
      <c r="E26" s="236">
        <v>1.2318039999999999</v>
      </c>
      <c r="F26" s="236">
        <v>1.362375224</v>
      </c>
      <c r="G26" s="236">
        <v>1.354200972656</v>
      </c>
      <c r="H26" s="236">
        <v>1.129403611195104</v>
      </c>
      <c r="I26" s="236">
        <v>1.4017278110196818</v>
      </c>
      <c r="J26" s="237">
        <v>1.4956435743580003</v>
      </c>
    </row>
    <row r="27" spans="2:11" s="206" customFormat="1" ht="15.75" hidden="1" x14ac:dyDescent="0.25">
      <c r="B27" s="224" t="s">
        <v>456</v>
      </c>
      <c r="C27" s="216">
        <f>+C41</f>
        <v>302727.27272727271</v>
      </c>
      <c r="D27" s="216">
        <f>+ROUND(D26*C27,0)</f>
        <v>347531</v>
      </c>
      <c r="E27" s="216">
        <f t="shared" ref="E27:J27" si="2">+ROUND(E26*D27,0)</f>
        <v>428090</v>
      </c>
      <c r="F27" s="216">
        <f t="shared" si="2"/>
        <v>583219</v>
      </c>
      <c r="G27" s="216">
        <f t="shared" si="2"/>
        <v>789796</v>
      </c>
      <c r="H27" s="216">
        <f t="shared" si="2"/>
        <v>891998</v>
      </c>
      <c r="I27" s="216">
        <f t="shared" si="2"/>
        <v>1250338</v>
      </c>
      <c r="J27" s="216">
        <f t="shared" si="2"/>
        <v>1870060</v>
      </c>
    </row>
    <row r="28" spans="2:11" s="206" customFormat="1" ht="16.5" hidden="1" thickBot="1" x14ac:dyDescent="0.3">
      <c r="B28" s="224"/>
      <c r="C28" s="238"/>
      <c r="D28" s="238"/>
      <c r="E28" s="238"/>
      <c r="F28" s="238"/>
      <c r="G28" s="238"/>
      <c r="H28" s="238"/>
      <c r="I28" s="238"/>
      <c r="J28" s="239"/>
    </row>
    <row r="29" spans="2:11" s="206" customFormat="1" ht="16.5" hidden="1" thickBot="1" x14ac:dyDescent="0.3">
      <c r="B29" s="240" t="s">
        <v>457</v>
      </c>
      <c r="C29" s="241">
        <f t="shared" ref="C29:J29" si="3">ROUNDUP($C$16/C27*$C$22,0)</f>
        <v>76</v>
      </c>
      <c r="D29" s="241">
        <f t="shared" si="3"/>
        <v>66</v>
      </c>
      <c r="E29" s="241">
        <f t="shared" si="3"/>
        <v>54</v>
      </c>
      <c r="F29" s="241">
        <f t="shared" si="3"/>
        <v>40</v>
      </c>
      <c r="G29" s="241">
        <f t="shared" si="3"/>
        <v>29</v>
      </c>
      <c r="H29" s="241">
        <f t="shared" si="3"/>
        <v>26</v>
      </c>
      <c r="I29" s="241">
        <f t="shared" si="3"/>
        <v>19</v>
      </c>
      <c r="J29" s="241">
        <f t="shared" si="3"/>
        <v>13</v>
      </c>
    </row>
    <row r="30" spans="2:11" s="206" customFormat="1" ht="16.5" hidden="1" thickBot="1" x14ac:dyDescent="0.3">
      <c r="B30" s="242"/>
      <c r="C30" s="231"/>
      <c r="D30" s="231"/>
      <c r="E30" s="231"/>
      <c r="F30" s="231"/>
      <c r="G30" s="231"/>
      <c r="H30" s="231"/>
      <c r="I30" s="231"/>
      <c r="J30" s="232"/>
    </row>
    <row r="31" spans="2:11" ht="15.75" hidden="1" x14ac:dyDescent="0.25">
      <c r="K31" s="206"/>
    </row>
    <row r="32" spans="2:11" ht="15.75" hidden="1" x14ac:dyDescent="0.25">
      <c r="K32" s="206"/>
    </row>
    <row r="33" spans="2:10" ht="15.75" hidden="1" x14ac:dyDescent="0.25">
      <c r="C33" s="243">
        <f>+C20/C22</f>
        <v>79285.71428571429</v>
      </c>
      <c r="D33" s="243">
        <f t="shared" ref="D33:I33" si="4">+C33*D34</f>
        <v>91020</v>
      </c>
      <c r="E33" s="243">
        <f t="shared" si="4"/>
        <v>112118.80007999999</v>
      </c>
      <c r="F33" s="243">
        <f t="shared" si="4"/>
        <v>152747.87537360119</v>
      </c>
      <c r="G33" s="243">
        <f t="shared" si="4"/>
        <v>206851.32140206819</v>
      </c>
      <c r="H33" s="243">
        <f t="shared" si="4"/>
        <v>233618.62937197491</v>
      </c>
      <c r="I33" s="243">
        <f t="shared" si="4"/>
        <v>327469.72996299673</v>
      </c>
      <c r="J33" s="243">
        <f>+I33*J34</f>
        <v>489777.99741590559</v>
      </c>
    </row>
    <row r="34" spans="2:10" ht="15.75" hidden="1" x14ac:dyDescent="0.25">
      <c r="C34" s="236">
        <v>1</v>
      </c>
      <c r="D34" s="236">
        <v>1.1479999999999999</v>
      </c>
      <c r="E34" s="236">
        <v>1.2318039999999999</v>
      </c>
      <c r="F34" s="236">
        <v>1.362375224</v>
      </c>
      <c r="G34" s="236">
        <v>1.354200972656</v>
      </c>
      <c r="H34" s="236">
        <v>1.129403611195104</v>
      </c>
      <c r="I34" s="236">
        <v>1.4017278110196818</v>
      </c>
      <c r="J34" s="237">
        <v>1.4956435743580003</v>
      </c>
    </row>
    <row r="35" spans="2:10" hidden="1" x14ac:dyDescent="0.25"/>
    <row r="36" spans="2:10" hidden="1" x14ac:dyDescent="0.25"/>
    <row r="37" spans="2:10" hidden="1" x14ac:dyDescent="0.25"/>
    <row r="38" spans="2:10" hidden="1" x14ac:dyDescent="0.25"/>
    <row r="39" spans="2:10" hidden="1" x14ac:dyDescent="0.25"/>
    <row r="40" spans="2:10" ht="15.75" hidden="1" x14ac:dyDescent="0.25">
      <c r="B40" s="244" t="s">
        <v>458</v>
      </c>
      <c r="C40" s="243">
        <v>1110000</v>
      </c>
      <c r="D40" s="243">
        <f>+J25</f>
        <v>6856891.9638226796</v>
      </c>
    </row>
    <row r="41" spans="2:10" ht="15.75" hidden="1" x14ac:dyDescent="0.25">
      <c r="B41" s="244" t="s">
        <v>459</v>
      </c>
      <c r="C41" s="243">
        <f>+C40*C43</f>
        <v>302727.27272727271</v>
      </c>
      <c r="D41" s="243">
        <f>+C41*J26</f>
        <v>452772.10023746733</v>
      </c>
    </row>
    <row r="42" spans="2:10" hidden="1" x14ac:dyDescent="0.25">
      <c r="C42" s="198" t="s">
        <v>460</v>
      </c>
      <c r="D42" s="198" t="s">
        <v>461</v>
      </c>
    </row>
    <row r="43" spans="2:10" hidden="1" x14ac:dyDescent="0.2">
      <c r="B43" s="245" t="s">
        <v>462</v>
      </c>
      <c r="C43" s="198">
        <v>0.27272727272727271</v>
      </c>
      <c r="D43" s="198">
        <v>0.3707865168539326</v>
      </c>
    </row>
  </sheetData>
  <hyperlinks>
    <hyperlink ref="B43" r:id="rId1"/>
  </hyperlinks>
  <pageMargins left="0.4" right="0.37" top="0.74803149606299202" bottom="0.74803149606299202" header="0.31496062992126" footer="0.31496062992126"/>
  <pageSetup paperSize="9" scale="94" orientation="landscape" cellComments="asDisplayed" r:id="rId2"/>
  <headerFooter>
    <oddFooter>&amp;C&amp;A</oddFooter>
  </headerFooter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6:M27"/>
  <sheetViews>
    <sheetView view="pageBreakPreview" topLeftCell="A4" zoomScale="140" zoomScaleNormal="115" zoomScaleSheetLayoutView="140" workbookViewId="0">
      <selection activeCell="B6" sqref="B6"/>
    </sheetView>
  </sheetViews>
  <sheetFormatPr defaultRowHeight="15.75" x14ac:dyDescent="0.25"/>
  <cols>
    <col min="1" max="1" width="9.140625" style="246"/>
    <col min="2" max="2" width="34.28515625" style="246" customWidth="1"/>
    <col min="3" max="3" width="9.28515625" style="403" bestFit="1" customWidth="1"/>
    <col min="4" max="5" width="9.140625" style="403"/>
    <col min="6" max="6" width="9.140625" style="391"/>
    <col min="7" max="7" width="11.140625" style="391" bestFit="1" customWidth="1"/>
    <col min="8" max="9" width="9.28515625" style="391" bestFit="1" customWidth="1"/>
    <col min="10" max="10" width="9.7109375" style="391" bestFit="1" customWidth="1"/>
    <col min="11" max="11" width="9.28515625" style="391" bestFit="1" customWidth="1"/>
    <col min="12" max="13" width="9.140625" style="391"/>
    <col min="14" max="16384" width="9.140625" style="246"/>
  </cols>
  <sheetData>
    <row r="6" spans="2:11" x14ac:dyDescent="0.25">
      <c r="B6" s="379" t="s">
        <v>494</v>
      </c>
    </row>
    <row r="7" spans="2:11" x14ac:dyDescent="0.25">
      <c r="G7" s="391" t="s">
        <v>350</v>
      </c>
      <c r="I7" s="391" t="s">
        <v>463</v>
      </c>
      <c r="K7" s="391" t="s">
        <v>464</v>
      </c>
    </row>
    <row r="8" spans="2:11" x14ac:dyDescent="0.25">
      <c r="B8" s="400" t="s">
        <v>465</v>
      </c>
      <c r="C8" s="408">
        <v>1.4999999999999999E-2</v>
      </c>
      <c r="D8" s="55">
        <f>+'5_Prioritāte-3_Pielikums-1d'!$G$14/1000*C8</f>
        <v>27.677714999999999</v>
      </c>
      <c r="E8" s="403" t="s">
        <v>466</v>
      </c>
      <c r="F8" s="391" t="s">
        <v>467</v>
      </c>
      <c r="G8" s="392">
        <f>+'5_Prioritāte-3_Pielikums-1d'!J21</f>
        <v>553554</v>
      </c>
      <c r="H8" s="393">
        <f>+G8/G10</f>
        <v>0.29999983741432412</v>
      </c>
      <c r="I8" s="394">
        <v>10</v>
      </c>
      <c r="J8" s="392">
        <f>+G8/I8</f>
        <v>55355.4</v>
      </c>
    </row>
    <row r="9" spans="2:11" x14ac:dyDescent="0.25">
      <c r="F9" s="391" t="s">
        <v>468</v>
      </c>
      <c r="G9" s="392">
        <f>+'5_Prioritāte-3_Pielikums-1d'!F21</f>
        <v>1291627</v>
      </c>
      <c r="H9" s="393">
        <f>1-H8</f>
        <v>0.70000016258567588</v>
      </c>
      <c r="I9" s="394">
        <v>30</v>
      </c>
      <c r="J9" s="392">
        <f>+G9/I9</f>
        <v>43054.23333333333</v>
      </c>
    </row>
    <row r="10" spans="2:11" x14ac:dyDescent="0.25">
      <c r="F10" s="391" t="s">
        <v>469</v>
      </c>
      <c r="G10" s="392">
        <f>SUM(G8:G9)</f>
        <v>1845181</v>
      </c>
      <c r="J10" s="392">
        <f>SUM(J8:J9)</f>
        <v>98409.633333333331</v>
      </c>
      <c r="K10" s="395">
        <f>+J10/G10</f>
        <v>5.3333322494288272E-2</v>
      </c>
    </row>
    <row r="11" spans="2:11" x14ac:dyDescent="0.25">
      <c r="B11" s="400" t="s">
        <v>470</v>
      </c>
      <c r="C11" s="408">
        <v>0.01</v>
      </c>
      <c r="D11" s="55">
        <f>+'5_Prioritāte-3_Pielikums-1d'!$G$14/1000*C11</f>
        <v>18.451810000000002</v>
      </c>
      <c r="E11" s="403" t="s">
        <v>466</v>
      </c>
    </row>
    <row r="12" spans="2:11" x14ac:dyDescent="0.25">
      <c r="B12" s="401"/>
      <c r="C12" s="404"/>
      <c r="D12" s="404"/>
    </row>
    <row r="13" spans="2:11" x14ac:dyDescent="0.25">
      <c r="H13" s="396" t="s">
        <v>471</v>
      </c>
      <c r="I13" s="397" t="s">
        <v>472</v>
      </c>
      <c r="J13" s="398"/>
    </row>
    <row r="14" spans="2:11" x14ac:dyDescent="0.25">
      <c r="B14" s="400" t="s">
        <v>473</v>
      </c>
      <c r="C14" s="408">
        <v>5.0000000000000001E-3</v>
      </c>
      <c r="D14" s="55">
        <f>+'5_Prioritāte-3_Pielikums-1d'!$G$14/1000*C14</f>
        <v>9.2259050000000009</v>
      </c>
      <c r="E14" s="403" t="s">
        <v>466</v>
      </c>
      <c r="H14" s="397"/>
      <c r="I14" s="397" t="s">
        <v>474</v>
      </c>
      <c r="J14" s="399" t="e">
        <f>D18/J13*1000</f>
        <v>#DIV/0!</v>
      </c>
    </row>
    <row r="15" spans="2:11" x14ac:dyDescent="0.25">
      <c r="B15" s="401"/>
      <c r="C15" s="404"/>
      <c r="D15" s="404"/>
      <c r="E15" s="404"/>
      <c r="H15" s="397"/>
      <c r="I15" s="397"/>
      <c r="J15" s="399"/>
    </row>
    <row r="16" spans="2:11" x14ac:dyDescent="0.25">
      <c r="B16" s="401"/>
      <c r="C16" s="404"/>
      <c r="D16" s="404"/>
      <c r="E16" s="404"/>
      <c r="H16" s="397"/>
      <c r="I16" s="397"/>
      <c r="J16" s="399"/>
    </row>
    <row r="17" spans="3:5" ht="16.5" thickBot="1" x14ac:dyDescent="0.3"/>
    <row r="18" spans="3:5" ht="16.5" thickBot="1" x14ac:dyDescent="0.3">
      <c r="C18" s="405" t="s">
        <v>411</v>
      </c>
      <c r="D18" s="402">
        <f>SUM(D8:D14)</f>
        <v>55.355429999999998</v>
      </c>
      <c r="E18" s="403" t="s">
        <v>466</v>
      </c>
    </row>
    <row r="26" spans="3:5" x14ac:dyDescent="0.25">
      <c r="C26" s="406"/>
    </row>
    <row r="27" spans="3:5" x14ac:dyDescent="0.25">
      <c r="C27" s="406"/>
      <c r="D27" s="407"/>
    </row>
  </sheetData>
  <pageMargins left="0.7" right="0.7" top="0.75" bottom="0.75" header="0.3" footer="0.3"/>
  <pageSetup paperSize="9" orientation="portrait" cellComments="asDisplayed" r:id="rId1"/>
  <headerFooter>
    <oddFooter>&amp;C&amp;A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115"/>
  <sheetViews>
    <sheetView view="pageBreakPreview" topLeftCell="V1" zoomScale="85" zoomScaleNormal="70" zoomScaleSheetLayoutView="85" workbookViewId="0">
      <selection activeCell="X6" sqref="X6"/>
    </sheetView>
  </sheetViews>
  <sheetFormatPr defaultRowHeight="15" x14ac:dyDescent="0.25"/>
  <cols>
    <col min="1" max="1" width="13" style="12" hidden="1" customWidth="1"/>
    <col min="2" max="2" width="8.28515625" style="12" hidden="1" customWidth="1"/>
    <col min="3" max="3" width="8.28515625" style="279" hidden="1" customWidth="1"/>
    <col min="4" max="4" width="7.42578125" style="12" hidden="1" customWidth="1"/>
    <col min="5" max="15" width="9.140625" style="12" hidden="1" customWidth="1"/>
    <col min="16" max="16" width="3.7109375" style="12" hidden="1" customWidth="1"/>
    <col min="17" max="17" width="5" style="12" hidden="1" customWidth="1"/>
    <col min="18" max="18" width="5.7109375" style="12" hidden="1" customWidth="1"/>
    <col min="19" max="19" width="6.85546875" style="12" hidden="1" customWidth="1"/>
    <col min="20" max="20" width="2.5703125" style="12" hidden="1" customWidth="1"/>
    <col min="21" max="21" width="9.140625" style="12" hidden="1" customWidth="1"/>
    <col min="22" max="22" width="49.85546875" style="27" customWidth="1"/>
    <col min="23" max="23" width="11" style="12" customWidth="1"/>
    <col min="24" max="24" width="16.85546875" style="12" customWidth="1"/>
    <col min="25" max="25" width="9.140625" style="12" customWidth="1"/>
    <col min="26" max="55" width="6" style="12" customWidth="1"/>
    <col min="56" max="56" width="9.140625" style="12" customWidth="1"/>
    <col min="57" max="57" width="14.28515625" style="12" customWidth="1"/>
    <col min="58" max="59" width="9.140625" style="12" customWidth="1"/>
    <col min="60" max="60" width="12.140625" style="12" customWidth="1"/>
    <col min="61" max="61" width="6" style="12" customWidth="1"/>
    <col min="62" max="62" width="9.140625" style="12" customWidth="1"/>
    <col min="63" max="63" width="4.28515625" style="12" customWidth="1"/>
    <col min="64" max="64" width="12.5703125" style="105" customWidth="1"/>
    <col min="65" max="65" width="12.28515625" style="105" customWidth="1"/>
    <col min="66" max="66" width="14.7109375" style="255" customWidth="1"/>
    <col min="67" max="67" width="14.5703125" style="105" customWidth="1"/>
    <col min="68" max="16384" width="9.140625" style="12"/>
  </cols>
  <sheetData>
    <row r="1" spans="2:67" s="283" customFormat="1" ht="18" x14ac:dyDescent="0.25">
      <c r="C1" s="337"/>
      <c r="D1" s="337"/>
      <c r="E1" s="338" t="s">
        <v>394</v>
      </c>
      <c r="F1" s="339">
        <v>3.5000000000000003E-2</v>
      </c>
      <c r="V1" s="284"/>
      <c r="BL1" s="285"/>
      <c r="BM1" s="106" t="s">
        <v>396</v>
      </c>
      <c r="BN1" s="106" t="s">
        <v>397</v>
      </c>
      <c r="BO1" s="106" t="s">
        <v>398</v>
      </c>
    </row>
    <row r="2" spans="2:67" s="283" customFormat="1" ht="15.75" x14ac:dyDescent="0.25">
      <c r="C2" s="337"/>
      <c r="D2" s="337"/>
      <c r="E2" s="338" t="s">
        <v>395</v>
      </c>
      <c r="F2" s="339">
        <v>0.04</v>
      </c>
      <c r="V2" s="284"/>
      <c r="BL2" s="286" t="s">
        <v>399</v>
      </c>
      <c r="BM2" s="287">
        <f>INTERCEPT(T8:T31,C8:C31)</f>
        <v>32699.630972355411</v>
      </c>
      <c r="BN2" s="249">
        <f>EXP(INDEX(LINEST(LN(T8:T31),C8:C31),1,2))</f>
        <v>32488.348379828745</v>
      </c>
      <c r="BO2" s="287">
        <f>INDEX(LINEST(T8:T31, LN(C8:C31)), 1)</f>
        <v>14041.872471603707</v>
      </c>
    </row>
    <row r="3" spans="2:67" s="283" customFormat="1" ht="15.75" x14ac:dyDescent="0.25">
      <c r="C3" s="338"/>
      <c r="D3" s="337"/>
      <c r="E3" s="337"/>
      <c r="F3" s="337"/>
      <c r="V3" s="379" t="s">
        <v>502</v>
      </c>
      <c r="BL3" s="286" t="s">
        <v>400</v>
      </c>
      <c r="BM3" s="287">
        <f>SLOPE(T8:T31,C8:C31)</f>
        <v>287.17852039776966</v>
      </c>
      <c r="BN3" s="250">
        <f>INDEX(LINEST(LN(T8:T31),C8:C31), 1)</f>
        <v>4.6193757481574997E-3</v>
      </c>
      <c r="BO3" s="287">
        <f>INDEX(LINEST(T8:T31, LN(C8:C31)), 1, 2)</f>
        <v>8451.7886534872378</v>
      </c>
    </row>
    <row r="4" spans="2:67" s="283" customFormat="1" ht="15.75" thickBot="1" x14ac:dyDescent="0.3">
      <c r="C4" s="340">
        <v>1.3</v>
      </c>
      <c r="D4" s="337"/>
      <c r="E4" s="337"/>
      <c r="F4" s="340">
        <v>1</v>
      </c>
      <c r="T4" s="13"/>
      <c r="V4" s="284"/>
      <c r="BD4" s="288"/>
      <c r="BE4" s="289" t="s">
        <v>351</v>
      </c>
      <c r="BL4" s="285"/>
      <c r="BM4" s="291" t="s">
        <v>401</v>
      </c>
      <c r="BN4" s="256" t="s">
        <v>402</v>
      </c>
      <c r="BO4" s="292" t="s">
        <v>403</v>
      </c>
    </row>
    <row r="5" spans="2:67" s="283" customFormat="1" ht="16.5" thickBot="1" x14ac:dyDescent="0.3">
      <c r="C5" s="379" t="s">
        <v>485</v>
      </c>
      <c r="D5" s="337"/>
      <c r="E5" s="337"/>
      <c r="F5" s="340"/>
      <c r="T5" s="13"/>
      <c r="V5" s="284"/>
      <c r="W5" s="298" t="s">
        <v>497</v>
      </c>
      <c r="X5" s="449">
        <v>51.49</v>
      </c>
      <c r="BD5" s="288"/>
      <c r="BE5" s="289"/>
      <c r="BL5" s="285"/>
      <c r="BM5" s="376"/>
      <c r="BN5" s="377"/>
      <c r="BO5" s="378"/>
    </row>
    <row r="6" spans="2:67" s="283" customFormat="1" ht="15.75" thickBot="1" x14ac:dyDescent="0.3">
      <c r="C6" s="340"/>
      <c r="D6" s="337"/>
      <c r="E6" s="337"/>
      <c r="F6" s="340"/>
      <c r="T6" s="13"/>
      <c r="V6" s="284"/>
      <c r="W6" s="298" t="s">
        <v>501</v>
      </c>
      <c r="X6" s="449">
        <v>2.33</v>
      </c>
      <c r="BD6" s="288"/>
      <c r="BE6" s="289"/>
      <c r="BL6" s="285"/>
      <c r="BM6" s="376"/>
      <c r="BN6" s="377"/>
      <c r="BO6" s="378"/>
    </row>
    <row r="7" spans="2:67" s="283" customFormat="1" ht="45" x14ac:dyDescent="0.25">
      <c r="B7" s="293" t="s">
        <v>352</v>
      </c>
      <c r="C7" s="307" t="s">
        <v>372</v>
      </c>
      <c r="D7" s="308" t="s">
        <v>478</v>
      </c>
      <c r="E7" s="317" t="s">
        <v>353</v>
      </c>
      <c r="F7" s="309" t="s">
        <v>350</v>
      </c>
      <c r="G7" s="320" t="str">
        <f t="shared" ref="G7:T7" si="0">+G35</f>
        <v>2005</v>
      </c>
      <c r="H7" s="321" t="str">
        <f t="shared" si="0"/>
        <v>2006</v>
      </c>
      <c r="I7" s="321" t="str">
        <f t="shared" si="0"/>
        <v>2007</v>
      </c>
      <c r="J7" s="321" t="str">
        <f t="shared" si="0"/>
        <v>2008</v>
      </c>
      <c r="K7" s="321" t="str">
        <f t="shared" si="0"/>
        <v>2009</v>
      </c>
      <c r="L7" s="321" t="str">
        <f t="shared" si="0"/>
        <v>2010</v>
      </c>
      <c r="M7" s="321" t="str">
        <f t="shared" si="0"/>
        <v>2011</v>
      </c>
      <c r="N7" s="321" t="str">
        <f t="shared" si="0"/>
        <v>2012</v>
      </c>
      <c r="O7" s="321" t="str">
        <f t="shared" si="0"/>
        <v>2013</v>
      </c>
      <c r="P7" s="321" t="str">
        <f t="shared" si="0"/>
        <v>2014</v>
      </c>
      <c r="Q7" s="321" t="str">
        <f t="shared" si="0"/>
        <v>2015</v>
      </c>
      <c r="R7" s="321" t="str">
        <f t="shared" si="0"/>
        <v>2016</v>
      </c>
      <c r="S7" s="326" t="str">
        <f t="shared" si="0"/>
        <v>2017</v>
      </c>
      <c r="T7" s="329" t="str">
        <f t="shared" si="0"/>
        <v>2018</v>
      </c>
      <c r="V7" s="320" t="s">
        <v>480</v>
      </c>
      <c r="W7" s="308" t="s">
        <v>499</v>
      </c>
      <c r="X7" s="448" t="s">
        <v>500</v>
      </c>
      <c r="BD7" s="431" t="s">
        <v>372</v>
      </c>
      <c r="BE7" s="432" t="s">
        <v>350</v>
      </c>
      <c r="BF7" s="433"/>
      <c r="BG7" s="433" t="s">
        <v>352</v>
      </c>
      <c r="BH7" s="434" t="s">
        <v>389</v>
      </c>
      <c r="BL7" s="298" t="s">
        <v>352</v>
      </c>
      <c r="BM7" s="257" t="s">
        <v>350</v>
      </c>
      <c r="BN7" s="107" t="s">
        <v>350</v>
      </c>
      <c r="BO7" s="258" t="s">
        <v>350</v>
      </c>
    </row>
    <row r="8" spans="2:67" x14ac:dyDescent="0.25">
      <c r="B8" s="15">
        <v>0.65</v>
      </c>
      <c r="C8" s="310">
        <f>+ROUND(B8*$C$4,1)</f>
        <v>0.8</v>
      </c>
      <c r="D8" s="311">
        <v>2011</v>
      </c>
      <c r="E8" s="318">
        <v>10500</v>
      </c>
      <c r="F8" s="312">
        <f t="shared" ref="F8:F31" si="1">+E8/0.702804*$F$4*(1+$F$1)*(1+$F$2)</f>
        <v>16081.581778134445</v>
      </c>
      <c r="G8" s="322"/>
      <c r="H8" s="323"/>
      <c r="I8" s="323"/>
      <c r="J8" s="323"/>
      <c r="K8" s="323"/>
      <c r="L8" s="323"/>
      <c r="M8" s="323">
        <f>+F8</f>
        <v>16081.581778134445</v>
      </c>
      <c r="N8" s="323"/>
      <c r="O8" s="323"/>
      <c r="P8" s="323"/>
      <c r="Q8" s="323"/>
      <c r="R8" s="323"/>
      <c r="S8" s="327"/>
      <c r="T8" s="330">
        <f>+M8*$T$36/$M$36</f>
        <v>18727.12696702444</v>
      </c>
      <c r="V8" s="435" t="str">
        <f>+'5_Prioritate-1_Pielikums'!F5</f>
        <v>Aglonas ūdensapgādes sistēma Jaunciema iela</v>
      </c>
      <c r="W8" s="443">
        <f>+'5_Prioritate-1_Pielikums'!Q5</f>
        <v>26</v>
      </c>
      <c r="X8" s="444">
        <f>+W8*$X$5/$X$6</f>
        <v>574.56652360515022</v>
      </c>
      <c r="BD8" s="418">
        <f>+'5_Prioritate-1_Pielikums'!T5</f>
        <v>45.5</v>
      </c>
      <c r="BE8" s="419">
        <f t="shared" ref="BE8:BE27" si="2">ROUND(TREND($T$8:$T$31,$C$8:$C$31,BD8,1),0)</f>
        <v>45766</v>
      </c>
      <c r="BF8" s="323"/>
      <c r="BG8" s="420">
        <f>+ROUND(BD8,1)</f>
        <v>45.5</v>
      </c>
      <c r="BH8" s="421">
        <f t="shared" ref="BH8:BH27" si="3">+ROUNDUP(LOOKUP(BG8,$C$8:$C$31,$T$8:$T$31),0)</f>
        <v>46050</v>
      </c>
      <c r="BL8" s="111">
        <f t="shared" ref="BL8:BL27" si="4">+BG8</f>
        <v>45.5</v>
      </c>
      <c r="BM8" s="259">
        <f t="shared" ref="BM8:BM27" si="5">+$BM$3*BG8+$BM$2</f>
        <v>45766.253650453931</v>
      </c>
      <c r="BN8" s="251">
        <f t="shared" ref="BN8:BN27" si="6">ROUND($BN$2*EXP(1)^($BN$3*BG8),0)</f>
        <v>40087</v>
      </c>
      <c r="BO8" s="260">
        <f>+$BO$2*LN(BL8)+$BO$3</f>
        <v>62059.61826784366</v>
      </c>
    </row>
    <row r="9" spans="2:67" x14ac:dyDescent="0.25">
      <c r="B9" s="15">
        <v>1.6773972602739706</v>
      </c>
      <c r="C9" s="310">
        <f t="shared" ref="C9:C31" si="7">+ROUND(B9*$C$4,1)</f>
        <v>2.2000000000000002</v>
      </c>
      <c r="D9" s="311">
        <v>2009</v>
      </c>
      <c r="E9" s="318">
        <v>13000</v>
      </c>
      <c r="F9" s="312">
        <f t="shared" si="1"/>
        <v>19910.529820547406</v>
      </c>
      <c r="G9" s="322"/>
      <c r="H9" s="323"/>
      <c r="I9" s="323"/>
      <c r="J9" s="323"/>
      <c r="K9" s="323">
        <f>+F9</f>
        <v>19910.529820547406</v>
      </c>
      <c r="L9" s="323"/>
      <c r="M9" s="323"/>
      <c r="N9" s="323"/>
      <c r="O9" s="323"/>
      <c r="P9" s="323"/>
      <c r="Q9" s="323"/>
      <c r="R9" s="323"/>
      <c r="S9" s="327"/>
      <c r="T9" s="330">
        <f>+K9*$T$36/$K$36</f>
        <v>23021.950236234235</v>
      </c>
      <c r="V9" s="435" t="str">
        <f>+'5_Prioritate-1_Pielikums'!F6</f>
        <v>Bārtas ūdensapgādes sistēma Birzes Puļķi</v>
      </c>
      <c r="W9" s="443">
        <f>+'5_Prioritate-1_Pielikums'!Q6</f>
        <v>25</v>
      </c>
      <c r="X9" s="444">
        <f t="shared" ref="X9:X27" si="8">+W9*$X$5/$X$6</f>
        <v>552.46781115879821</v>
      </c>
      <c r="BD9" s="418">
        <f>+'5_Prioritate-1_Pielikums'!T6</f>
        <v>15.600000000000001</v>
      </c>
      <c r="BE9" s="419">
        <f t="shared" si="2"/>
        <v>37180</v>
      </c>
      <c r="BF9" s="323"/>
      <c r="BG9" s="420">
        <f t="shared" ref="BG9:BG27" si="9">+ROUND(BD9,1)</f>
        <v>15.6</v>
      </c>
      <c r="BH9" s="421">
        <f t="shared" si="3"/>
        <v>32408</v>
      </c>
      <c r="BL9" s="111">
        <f t="shared" si="4"/>
        <v>15.6</v>
      </c>
      <c r="BM9" s="259">
        <f t="shared" si="5"/>
        <v>37179.615890560621</v>
      </c>
      <c r="BN9" s="251">
        <f t="shared" si="6"/>
        <v>34916</v>
      </c>
      <c r="BO9" s="260">
        <f t="shared" ref="BO9:BO58" si="10">+$BO$2*LN(BL9)+$BO$3</f>
        <v>47028.61647640897</v>
      </c>
    </row>
    <row r="10" spans="2:67" x14ac:dyDescent="0.25">
      <c r="B10" s="15">
        <v>3</v>
      </c>
      <c r="C10" s="310">
        <f t="shared" si="7"/>
        <v>3.9</v>
      </c>
      <c r="D10" s="311">
        <v>2009</v>
      </c>
      <c r="E10" s="318">
        <v>12400</v>
      </c>
      <c r="F10" s="312">
        <f t="shared" si="1"/>
        <v>18991.582290368297</v>
      </c>
      <c r="G10" s="322"/>
      <c r="H10" s="323"/>
      <c r="I10" s="323"/>
      <c r="J10" s="323"/>
      <c r="K10" s="323">
        <f t="shared" ref="K10:K19" si="11">+F10</f>
        <v>18991.582290368297</v>
      </c>
      <c r="L10" s="323"/>
      <c r="M10" s="323"/>
      <c r="N10" s="323"/>
      <c r="O10" s="323"/>
      <c r="P10" s="323"/>
      <c r="Q10" s="323"/>
      <c r="R10" s="323"/>
      <c r="S10" s="327"/>
      <c r="T10" s="330">
        <f>+K10*$T$36/$K$36</f>
        <v>21959.398686869583</v>
      </c>
      <c r="V10" s="435" t="str">
        <f>+'5_Prioritate-1_Pielikums'!F7</f>
        <v>Bebru ūdensapgādes sistēma</v>
      </c>
      <c r="W10" s="443">
        <f>+'5_Prioritate-1_Pielikums'!Q7</f>
        <v>530</v>
      </c>
      <c r="X10" s="444">
        <f t="shared" si="8"/>
        <v>11712.317596566523</v>
      </c>
      <c r="BD10" s="418">
        <f>+'5_Prioritate-1_Pielikums'!T7</f>
        <v>84.5</v>
      </c>
      <c r="BE10" s="419">
        <f t="shared" si="2"/>
        <v>56966</v>
      </c>
      <c r="BF10" s="323"/>
      <c r="BG10" s="420">
        <f t="shared" si="9"/>
        <v>84.5</v>
      </c>
      <c r="BH10" s="421">
        <f t="shared" si="3"/>
        <v>46050</v>
      </c>
      <c r="BL10" s="111">
        <f t="shared" si="4"/>
        <v>84.5</v>
      </c>
      <c r="BM10" s="259">
        <f t="shared" si="5"/>
        <v>56966.215945966949</v>
      </c>
      <c r="BN10" s="251">
        <f t="shared" si="6"/>
        <v>48001</v>
      </c>
      <c r="BO10" s="260">
        <f t="shared" si="10"/>
        <v>70752.087887206348</v>
      </c>
    </row>
    <row r="11" spans="2:67" x14ac:dyDescent="0.25">
      <c r="B11" s="15">
        <v>3</v>
      </c>
      <c r="C11" s="310">
        <f t="shared" si="7"/>
        <v>3.9</v>
      </c>
      <c r="D11" s="311">
        <v>2009</v>
      </c>
      <c r="E11" s="318">
        <v>22596</v>
      </c>
      <c r="F11" s="312">
        <f t="shared" si="1"/>
        <v>34607.563986545319</v>
      </c>
      <c r="G11" s="322"/>
      <c r="H11" s="323"/>
      <c r="I11" s="323"/>
      <c r="J11" s="323"/>
      <c r="K11" s="323">
        <f t="shared" si="11"/>
        <v>34607.563986545319</v>
      </c>
      <c r="L11" s="323"/>
      <c r="M11" s="323"/>
      <c r="N11" s="323"/>
      <c r="O11" s="323"/>
      <c r="P11" s="323"/>
      <c r="Q11" s="323"/>
      <c r="R11" s="323"/>
      <c r="S11" s="327"/>
      <c r="T11" s="330">
        <f>+K11*$T$36/$K$36</f>
        <v>40015.691349072978</v>
      </c>
      <c r="V11" s="435" t="str">
        <f>+'5_Prioritate-1_Pielikums'!F8</f>
        <v>Beļavas ūdensapgādes sistēma Letes</v>
      </c>
      <c r="W11" s="443">
        <f>+'5_Prioritate-1_Pielikums'!Q8</f>
        <v>70</v>
      </c>
      <c r="X11" s="444">
        <f t="shared" si="8"/>
        <v>1546.9098712446353</v>
      </c>
      <c r="BD11" s="418">
        <f>+'5_Prioritate-1_Pielikums'!T8</f>
        <v>13</v>
      </c>
      <c r="BE11" s="419">
        <f t="shared" si="2"/>
        <v>36433</v>
      </c>
      <c r="BF11" s="323"/>
      <c r="BG11" s="420">
        <f t="shared" si="9"/>
        <v>13</v>
      </c>
      <c r="BH11" s="421">
        <f t="shared" si="3"/>
        <v>32408</v>
      </c>
      <c r="BL11" s="111">
        <f t="shared" si="4"/>
        <v>13</v>
      </c>
      <c r="BM11" s="259">
        <f t="shared" si="5"/>
        <v>36432.951737526419</v>
      </c>
      <c r="BN11" s="251">
        <f t="shared" si="6"/>
        <v>34499</v>
      </c>
      <c r="BO11" s="260">
        <f t="shared" si="10"/>
        <v>44468.480427084003</v>
      </c>
    </row>
    <row r="12" spans="2:67" x14ac:dyDescent="0.25">
      <c r="B12" s="15">
        <v>3.2</v>
      </c>
      <c r="C12" s="310">
        <f t="shared" si="7"/>
        <v>4.2</v>
      </c>
      <c r="D12" s="311">
        <f>+D8</f>
        <v>2011</v>
      </c>
      <c r="E12" s="318">
        <v>18000</v>
      </c>
      <c r="F12" s="312">
        <f t="shared" si="1"/>
        <v>27568.425905373333</v>
      </c>
      <c r="G12" s="322"/>
      <c r="H12" s="323"/>
      <c r="I12" s="323"/>
      <c r="J12" s="323"/>
      <c r="K12" s="323"/>
      <c r="L12" s="323"/>
      <c r="M12" s="323">
        <f>+F12</f>
        <v>27568.425905373333</v>
      </c>
      <c r="N12" s="323"/>
      <c r="O12" s="323"/>
      <c r="P12" s="323"/>
      <c r="Q12" s="323"/>
      <c r="R12" s="323"/>
      <c r="S12" s="327"/>
      <c r="T12" s="330">
        <f>+M12*$T$36/$M$36</f>
        <v>32103.646229184749</v>
      </c>
      <c r="V12" s="435" t="str">
        <f>+'5_Prioritate-1_Pielikums'!F9</f>
        <v>Birkineļu ūdensapgādes sistēma</v>
      </c>
      <c r="W12" s="443">
        <f>+'5_Prioritate-1_Pielikums'!Q9</f>
        <v>38</v>
      </c>
      <c r="X12" s="444">
        <f t="shared" si="8"/>
        <v>839.75107296137344</v>
      </c>
      <c r="BD12" s="418">
        <f>+'5_Prioritate-1_Pielikums'!T9</f>
        <v>3.9000000000000004</v>
      </c>
      <c r="BE12" s="419">
        <f t="shared" si="2"/>
        <v>33820</v>
      </c>
      <c r="BF12" s="323"/>
      <c r="BG12" s="420">
        <f t="shared" si="9"/>
        <v>3.9</v>
      </c>
      <c r="BH12" s="421">
        <f t="shared" si="3"/>
        <v>40016</v>
      </c>
      <c r="BL12" s="111">
        <f t="shared" si="4"/>
        <v>3.9</v>
      </c>
      <c r="BM12" s="259">
        <f t="shared" si="5"/>
        <v>33819.627201906711</v>
      </c>
      <c r="BN12" s="251">
        <f t="shared" si="6"/>
        <v>33079</v>
      </c>
      <c r="BO12" s="260">
        <f t="shared" si="10"/>
        <v>27562.447849460128</v>
      </c>
    </row>
    <row r="13" spans="2:67" x14ac:dyDescent="0.25">
      <c r="B13" s="15">
        <v>4</v>
      </c>
      <c r="C13" s="310">
        <f t="shared" si="7"/>
        <v>5.2</v>
      </c>
      <c r="D13" s="311">
        <f>+D11</f>
        <v>2009</v>
      </c>
      <c r="E13" s="318">
        <v>24500</v>
      </c>
      <c r="F13" s="312">
        <f t="shared" si="1"/>
        <v>37523.690815647038</v>
      </c>
      <c r="G13" s="322"/>
      <c r="H13" s="323"/>
      <c r="I13" s="323"/>
      <c r="J13" s="323"/>
      <c r="K13" s="323">
        <f>+F13</f>
        <v>37523.690815647038</v>
      </c>
      <c r="L13" s="323"/>
      <c r="M13" s="323"/>
      <c r="N13" s="323"/>
      <c r="O13" s="323"/>
      <c r="P13" s="323"/>
      <c r="Q13" s="323"/>
      <c r="R13" s="323"/>
      <c r="S13" s="327"/>
      <c r="T13" s="330">
        <f>+K13*$T$36/$K$36</f>
        <v>43387.521599056832</v>
      </c>
      <c r="V13" s="435" t="str">
        <f>+'5_Prioritate-1_Pielikums'!F10</f>
        <v>Blontu ūdensapgādes sistēma Kundziņi</v>
      </c>
      <c r="W13" s="443">
        <f>+'5_Prioritate-1_Pielikums'!Q10</f>
        <v>14</v>
      </c>
      <c r="X13" s="444">
        <f t="shared" si="8"/>
        <v>309.38197424892701</v>
      </c>
      <c r="BD13" s="418">
        <f>+'5_Prioritate-1_Pielikums'!T10</f>
        <v>5.2</v>
      </c>
      <c r="BE13" s="419">
        <f t="shared" si="2"/>
        <v>34193</v>
      </c>
      <c r="BF13" s="323"/>
      <c r="BG13" s="420">
        <f t="shared" si="9"/>
        <v>5.2</v>
      </c>
      <c r="BH13" s="421">
        <f t="shared" si="3"/>
        <v>43388</v>
      </c>
      <c r="BL13" s="111">
        <f t="shared" si="4"/>
        <v>5.2</v>
      </c>
      <c r="BM13" s="259">
        <f t="shared" si="5"/>
        <v>34192.959278423812</v>
      </c>
      <c r="BN13" s="251">
        <f t="shared" si="6"/>
        <v>33278</v>
      </c>
      <c r="BO13" s="260">
        <f t="shared" si="10"/>
        <v>31602.042823194693</v>
      </c>
    </row>
    <row r="14" spans="2:67" x14ac:dyDescent="0.25">
      <c r="B14" s="15">
        <v>4.375</v>
      </c>
      <c r="C14" s="310">
        <f t="shared" si="7"/>
        <v>5.7</v>
      </c>
      <c r="D14" s="311">
        <f>+D13</f>
        <v>2009</v>
      </c>
      <c r="E14" s="318">
        <v>15300</v>
      </c>
      <c r="F14" s="312">
        <f t="shared" si="1"/>
        <v>23433.162019567331</v>
      </c>
      <c r="G14" s="322"/>
      <c r="H14" s="323"/>
      <c r="I14" s="323"/>
      <c r="J14" s="323"/>
      <c r="K14" s="323">
        <f t="shared" si="11"/>
        <v>23433.162019567331</v>
      </c>
      <c r="L14" s="323"/>
      <c r="M14" s="323"/>
      <c r="N14" s="323"/>
      <c r="O14" s="323"/>
      <c r="P14" s="323"/>
      <c r="Q14" s="323"/>
      <c r="R14" s="323"/>
      <c r="S14" s="327"/>
      <c r="T14" s="330">
        <f>+K14*$T$36/$K$36</f>
        <v>27095.064508798758</v>
      </c>
      <c r="V14" s="435" t="str">
        <f>+'5_Prioritate-1_Pielikums'!F11</f>
        <v>Drabešu ūdensapgādes sistēma Kārļi</v>
      </c>
      <c r="W14" s="443">
        <f>+'5_Prioritate-1_Pielikums'!Q11</f>
        <v>75</v>
      </c>
      <c r="X14" s="444">
        <f t="shared" si="8"/>
        <v>1657.4034334763949</v>
      </c>
      <c r="BD14" s="418">
        <f>+'5_Prioritate-1_Pielikums'!T11</f>
        <v>7.8000000000000007</v>
      </c>
      <c r="BE14" s="419">
        <f t="shared" si="2"/>
        <v>34940</v>
      </c>
      <c r="BF14" s="323"/>
      <c r="BG14" s="420">
        <f t="shared" si="9"/>
        <v>7.8</v>
      </c>
      <c r="BH14" s="421">
        <f t="shared" si="3"/>
        <v>29447</v>
      </c>
      <c r="BL14" s="111">
        <f t="shared" si="4"/>
        <v>7.8</v>
      </c>
      <c r="BM14" s="259">
        <f t="shared" si="5"/>
        <v>34939.623431458014</v>
      </c>
      <c r="BN14" s="251">
        <f t="shared" si="6"/>
        <v>33680</v>
      </c>
      <c r="BO14" s="260">
        <f t="shared" si="10"/>
        <v>37295.532162934556</v>
      </c>
    </row>
    <row r="15" spans="2:67" x14ac:dyDescent="0.25">
      <c r="B15" s="15">
        <v>4.375</v>
      </c>
      <c r="C15" s="310">
        <f t="shared" si="7"/>
        <v>5.7</v>
      </c>
      <c r="D15" s="311">
        <f>+D14</f>
        <v>2009</v>
      </c>
      <c r="E15" s="318">
        <v>29650</v>
      </c>
      <c r="F15" s="312">
        <f t="shared" si="1"/>
        <v>45411.323783017739</v>
      </c>
      <c r="G15" s="322"/>
      <c r="H15" s="323"/>
      <c r="I15" s="323"/>
      <c r="J15" s="323"/>
      <c r="K15" s="323">
        <f t="shared" si="11"/>
        <v>45411.323783017739</v>
      </c>
      <c r="L15" s="323"/>
      <c r="M15" s="323"/>
      <c r="N15" s="323"/>
      <c r="O15" s="323"/>
      <c r="P15" s="323"/>
      <c r="Q15" s="323"/>
      <c r="R15" s="323"/>
      <c r="S15" s="327"/>
      <c r="T15" s="330">
        <f>+K15*$T$36/$K$36</f>
        <v>52507.755731103476</v>
      </c>
      <c r="V15" s="435" t="str">
        <f>+'5_Prioritate-1_Pielikums'!F12</f>
        <v>Drabešu ūdensapgādes sistēma Meijermuiža</v>
      </c>
      <c r="W15" s="443">
        <f>+'5_Prioritate-1_Pielikums'!Q12</f>
        <v>30</v>
      </c>
      <c r="X15" s="444">
        <f t="shared" si="8"/>
        <v>662.96137339055792</v>
      </c>
      <c r="BD15" s="418">
        <f>+'5_Prioritate-1_Pielikums'!T12</f>
        <v>3.9000000000000004</v>
      </c>
      <c r="BE15" s="419">
        <f t="shared" si="2"/>
        <v>33820</v>
      </c>
      <c r="BF15" s="323"/>
      <c r="BG15" s="420">
        <f t="shared" si="9"/>
        <v>3.9</v>
      </c>
      <c r="BH15" s="421">
        <f t="shared" si="3"/>
        <v>40016</v>
      </c>
      <c r="BL15" s="111">
        <f t="shared" si="4"/>
        <v>3.9</v>
      </c>
      <c r="BM15" s="259">
        <f t="shared" si="5"/>
        <v>33819.627201906711</v>
      </c>
      <c r="BN15" s="251">
        <f t="shared" si="6"/>
        <v>33079</v>
      </c>
      <c r="BO15" s="260">
        <f t="shared" si="10"/>
        <v>27562.447849460128</v>
      </c>
    </row>
    <row r="16" spans="2:67" x14ac:dyDescent="0.25">
      <c r="B16" s="15">
        <v>5</v>
      </c>
      <c r="C16" s="310">
        <f t="shared" si="7"/>
        <v>6.5</v>
      </c>
      <c r="D16" s="311">
        <f>+D12</f>
        <v>2011</v>
      </c>
      <c r="E16" s="318">
        <v>12800</v>
      </c>
      <c r="F16" s="312">
        <f t="shared" si="1"/>
        <v>19604.21397715437</v>
      </c>
      <c r="G16" s="322"/>
      <c r="H16" s="323"/>
      <c r="I16" s="323"/>
      <c r="J16" s="323"/>
      <c r="K16" s="323"/>
      <c r="L16" s="323"/>
      <c r="M16" s="323">
        <f>+F16</f>
        <v>19604.21397715437</v>
      </c>
      <c r="N16" s="323"/>
      <c r="O16" s="323"/>
      <c r="P16" s="323"/>
      <c r="Q16" s="323"/>
      <c r="R16" s="323"/>
      <c r="S16" s="327"/>
      <c r="T16" s="330">
        <f>+M16*$T$36/$M$36</f>
        <v>22829.259540753599</v>
      </c>
      <c r="V16" s="435" t="str">
        <f>+'5_Prioritate-1_Pielikums'!F13</f>
        <v>Drabešu ūdensapgādes sistēma Rāceņi</v>
      </c>
      <c r="W16" s="443">
        <f>+'5_Prioritate-1_Pielikums'!Q13</f>
        <v>17</v>
      </c>
      <c r="X16" s="444">
        <f t="shared" si="8"/>
        <v>375.67811158798281</v>
      </c>
      <c r="BD16" s="418">
        <f>+'5_Prioritate-1_Pielikums'!T13</f>
        <v>1.3</v>
      </c>
      <c r="BE16" s="419">
        <f t="shared" si="2"/>
        <v>33073</v>
      </c>
      <c r="BF16" s="323"/>
      <c r="BG16" s="420">
        <f t="shared" si="9"/>
        <v>1.3</v>
      </c>
      <c r="BH16" s="421">
        <f t="shared" si="3"/>
        <v>18728</v>
      </c>
      <c r="BL16" s="111">
        <f t="shared" si="4"/>
        <v>1.3</v>
      </c>
      <c r="BM16" s="259">
        <f t="shared" si="5"/>
        <v>33072.963048872509</v>
      </c>
      <c r="BN16" s="251">
        <f t="shared" si="6"/>
        <v>32684</v>
      </c>
      <c r="BO16" s="260">
        <f t="shared" si="10"/>
        <v>12135.874196245855</v>
      </c>
    </row>
    <row r="17" spans="2:67" x14ac:dyDescent="0.25">
      <c r="B17" s="15">
        <v>5</v>
      </c>
      <c r="C17" s="310">
        <f t="shared" si="7"/>
        <v>6.5</v>
      </c>
      <c r="D17" s="311">
        <f>+D15</f>
        <v>2009</v>
      </c>
      <c r="E17" s="318">
        <v>14560</v>
      </c>
      <c r="F17" s="312">
        <f t="shared" si="1"/>
        <v>22299.793399013099</v>
      </c>
      <c r="G17" s="322"/>
      <c r="H17" s="323"/>
      <c r="I17" s="323"/>
      <c r="J17" s="323"/>
      <c r="K17" s="323">
        <f t="shared" si="11"/>
        <v>22299.793399013099</v>
      </c>
      <c r="L17" s="323"/>
      <c r="M17" s="323"/>
      <c r="N17" s="323"/>
      <c r="O17" s="323"/>
      <c r="P17" s="323"/>
      <c r="Q17" s="323"/>
      <c r="R17" s="323"/>
      <c r="S17" s="327"/>
      <c r="T17" s="330">
        <f>+K17*$T$36/$K$36</f>
        <v>25784.58426458235</v>
      </c>
      <c r="V17" s="435" t="str">
        <f>+'5_Prioritate-1_Pielikums'!F14</f>
        <v>Durbes ūdensapgādes sistēma Līguti</v>
      </c>
      <c r="W17" s="443">
        <f>+'5_Prioritate-1_Pielikums'!Q14</f>
        <v>25</v>
      </c>
      <c r="X17" s="444">
        <f t="shared" si="8"/>
        <v>552.46781115879821</v>
      </c>
      <c r="BD17" s="418">
        <f>+'5_Prioritate-1_Pielikums'!T14</f>
        <v>1.3390000000000002</v>
      </c>
      <c r="BE17" s="419">
        <f t="shared" si="2"/>
        <v>33084</v>
      </c>
      <c r="BF17" s="323"/>
      <c r="BG17" s="420">
        <f t="shared" si="9"/>
        <v>1.3</v>
      </c>
      <c r="BH17" s="421">
        <f t="shared" si="3"/>
        <v>18728</v>
      </c>
      <c r="BL17" s="111">
        <f t="shared" si="4"/>
        <v>1.3</v>
      </c>
      <c r="BM17" s="259">
        <f t="shared" si="5"/>
        <v>33072.963048872509</v>
      </c>
      <c r="BN17" s="251">
        <f t="shared" si="6"/>
        <v>32684</v>
      </c>
      <c r="BO17" s="260">
        <f t="shared" si="10"/>
        <v>12135.874196245855</v>
      </c>
    </row>
    <row r="18" spans="2:67" x14ac:dyDescent="0.25">
      <c r="B18" s="15">
        <v>5.5</v>
      </c>
      <c r="C18" s="310">
        <f t="shared" si="7"/>
        <v>7.2</v>
      </c>
      <c r="D18" s="311">
        <f>+D16</f>
        <v>2011</v>
      </c>
      <c r="E18" s="318">
        <v>16510</v>
      </c>
      <c r="F18" s="312">
        <f t="shared" si="1"/>
        <v>25286.372872095206</v>
      </c>
      <c r="G18" s="322"/>
      <c r="H18" s="323"/>
      <c r="I18" s="323"/>
      <c r="J18" s="323"/>
      <c r="K18" s="323"/>
      <c r="L18" s="323"/>
      <c r="M18" s="323">
        <f>+F18</f>
        <v>25286.372872095206</v>
      </c>
      <c r="N18" s="323"/>
      <c r="O18" s="323"/>
      <c r="P18" s="323"/>
      <c r="Q18" s="323"/>
      <c r="R18" s="323"/>
      <c r="S18" s="327"/>
      <c r="T18" s="330">
        <f>+M18*$T$36/$M$36</f>
        <v>29446.177735768899</v>
      </c>
      <c r="V18" s="435" t="str">
        <f>+'5_Prioritate-1_Pielikums'!F15</f>
        <v>Gaviezes ūdensapgādes sistēma Centrs</v>
      </c>
      <c r="W18" s="443">
        <f>+'5_Prioritate-1_Pielikums'!Q15</f>
        <v>215</v>
      </c>
      <c r="X18" s="444">
        <f t="shared" si="8"/>
        <v>4751.2231759656652</v>
      </c>
      <c r="BD18" s="418">
        <f>+'5_Prioritate-1_Pielikums'!T15</f>
        <v>27.3</v>
      </c>
      <c r="BE18" s="419">
        <f t="shared" si="2"/>
        <v>40540</v>
      </c>
      <c r="BF18" s="323"/>
      <c r="BG18" s="420">
        <f t="shared" si="9"/>
        <v>27.3</v>
      </c>
      <c r="BH18" s="421">
        <f t="shared" si="3"/>
        <v>78435</v>
      </c>
      <c r="BL18" s="111">
        <f t="shared" si="4"/>
        <v>27.3</v>
      </c>
      <c r="BM18" s="259">
        <f t="shared" si="5"/>
        <v>40539.604579214523</v>
      </c>
      <c r="BN18" s="251">
        <f t="shared" si="6"/>
        <v>36855</v>
      </c>
      <c r="BO18" s="260">
        <f t="shared" si="10"/>
        <v>54886.670003694206</v>
      </c>
    </row>
    <row r="19" spans="2:67" x14ac:dyDescent="0.25">
      <c r="B19" s="15">
        <v>7.5</v>
      </c>
      <c r="C19" s="310">
        <f t="shared" si="7"/>
        <v>9.8000000000000007</v>
      </c>
      <c r="D19" s="311">
        <f>+D17</f>
        <v>2009</v>
      </c>
      <c r="E19" s="318">
        <v>26300</v>
      </c>
      <c r="F19" s="312">
        <f t="shared" si="1"/>
        <v>40280.533406184375</v>
      </c>
      <c r="G19" s="322"/>
      <c r="H19" s="323"/>
      <c r="I19" s="323"/>
      <c r="J19" s="323"/>
      <c r="K19" s="323">
        <f t="shared" si="11"/>
        <v>40280.533406184375</v>
      </c>
      <c r="L19" s="323"/>
      <c r="M19" s="323"/>
      <c r="N19" s="323"/>
      <c r="O19" s="323"/>
      <c r="P19" s="323"/>
      <c r="Q19" s="323"/>
      <c r="R19" s="323"/>
      <c r="S19" s="327"/>
      <c r="T19" s="330">
        <f>+K19*$T$36/$K$36</f>
        <v>46575.176247150805</v>
      </c>
      <c r="V19" s="435" t="str">
        <f>+'5_Prioritate-1_Pielikums'!F16</f>
        <v>Gramzdas ūdensapgādes sistēma Liepas</v>
      </c>
      <c r="W19" s="443">
        <f>+'5_Prioritate-1_Pielikums'!Q16</f>
        <v>18</v>
      </c>
      <c r="X19" s="444">
        <f t="shared" si="8"/>
        <v>397.77682403433477</v>
      </c>
      <c r="BD19" s="418">
        <f>+'5_Prioritate-1_Pielikums'!T16</f>
        <v>3.9000000000000004</v>
      </c>
      <c r="BE19" s="419">
        <f t="shared" si="2"/>
        <v>33820</v>
      </c>
      <c r="BF19" s="323"/>
      <c r="BG19" s="420">
        <f t="shared" si="9"/>
        <v>3.9</v>
      </c>
      <c r="BH19" s="421">
        <f t="shared" si="3"/>
        <v>40016</v>
      </c>
      <c r="BL19" s="111">
        <f t="shared" si="4"/>
        <v>3.9</v>
      </c>
      <c r="BM19" s="259">
        <f t="shared" si="5"/>
        <v>33819.627201906711</v>
      </c>
      <c r="BN19" s="251">
        <f t="shared" si="6"/>
        <v>33079</v>
      </c>
      <c r="BO19" s="260">
        <f t="shared" si="10"/>
        <v>27562.447849460128</v>
      </c>
    </row>
    <row r="20" spans="2:67" x14ac:dyDescent="0.25">
      <c r="B20" s="15">
        <v>10</v>
      </c>
      <c r="C20" s="310">
        <f t="shared" si="7"/>
        <v>13</v>
      </c>
      <c r="D20" s="311">
        <f>+D19</f>
        <v>2009</v>
      </c>
      <c r="E20" s="318">
        <v>18300</v>
      </c>
      <c r="F20" s="312">
        <f t="shared" si="1"/>
        <v>28027.899670462888</v>
      </c>
      <c r="G20" s="322"/>
      <c r="H20" s="323"/>
      <c r="I20" s="323"/>
      <c r="J20" s="323"/>
      <c r="K20" s="323">
        <f>+F20</f>
        <v>28027.899670462888</v>
      </c>
      <c r="L20" s="323"/>
      <c r="M20" s="323"/>
      <c r="N20" s="323"/>
      <c r="O20" s="323"/>
      <c r="P20" s="323"/>
      <c r="Q20" s="323"/>
      <c r="R20" s="323"/>
      <c r="S20" s="327"/>
      <c r="T20" s="330">
        <f>+K20*$T$36/$K$36</f>
        <v>32407.822255622046</v>
      </c>
      <c r="V20" s="435" t="str">
        <f>+'5_Prioritate-1_Pielikums'!F17</f>
        <v>Grobiņas ūdensapgādes sistēma Cimdenieki</v>
      </c>
      <c r="W20" s="443">
        <f>+'5_Prioritate-1_Pielikums'!Q17</f>
        <v>330</v>
      </c>
      <c r="X20" s="444">
        <f t="shared" si="8"/>
        <v>7292.5751072961375</v>
      </c>
      <c r="BD20" s="418">
        <f>+'5_Prioritate-1_Pielikums'!T17</f>
        <v>33.800000000000004</v>
      </c>
      <c r="BE20" s="419">
        <f t="shared" si="2"/>
        <v>42406</v>
      </c>
      <c r="BF20" s="323"/>
      <c r="BG20" s="420">
        <f t="shared" si="9"/>
        <v>33.799999999999997</v>
      </c>
      <c r="BH20" s="421">
        <f t="shared" si="3"/>
        <v>78435</v>
      </c>
      <c r="BL20" s="111">
        <f t="shared" si="4"/>
        <v>33.799999999999997</v>
      </c>
      <c r="BM20" s="259">
        <f t="shared" si="5"/>
        <v>42406.264961800029</v>
      </c>
      <c r="BN20" s="251">
        <f t="shared" si="6"/>
        <v>37978</v>
      </c>
      <c r="BO20" s="260">
        <f t="shared" si="10"/>
        <v>57885.650283317045</v>
      </c>
    </row>
    <row r="21" spans="2:67" x14ac:dyDescent="0.25">
      <c r="B21" s="15">
        <v>14</v>
      </c>
      <c r="C21" s="310">
        <f t="shared" si="7"/>
        <v>18.2</v>
      </c>
      <c r="D21" s="311">
        <v>2012</v>
      </c>
      <c r="E21" s="318">
        <v>21000</v>
      </c>
      <c r="F21" s="312">
        <f t="shared" si="1"/>
        <v>32163.16355626889</v>
      </c>
      <c r="G21" s="322"/>
      <c r="H21" s="323"/>
      <c r="I21" s="323"/>
      <c r="J21" s="323"/>
      <c r="K21" s="323"/>
      <c r="L21" s="323"/>
      <c r="M21" s="323"/>
      <c r="N21" s="323">
        <f>+F21</f>
        <v>32163.16355626889</v>
      </c>
      <c r="O21" s="323"/>
      <c r="P21" s="323"/>
      <c r="Q21" s="323"/>
      <c r="R21" s="323"/>
      <c r="S21" s="327"/>
      <c r="T21" s="330">
        <f>+N21*$T$36/$N$36</f>
        <v>35069.356018296829</v>
      </c>
      <c r="V21" s="435" t="str">
        <f>+'5_Prioritate-1_Pielikums'!F18</f>
        <v>Grobiņas ūdensapgādes sistēma Gūžas</v>
      </c>
      <c r="W21" s="443">
        <f>+'5_Prioritate-1_Pielikums'!Q18</f>
        <v>74</v>
      </c>
      <c r="X21" s="444">
        <f t="shared" si="8"/>
        <v>1635.3047210300429</v>
      </c>
      <c r="BD21" s="418">
        <f>+'5_Prioritate-1_Pielikums'!T18</f>
        <v>14.3</v>
      </c>
      <c r="BE21" s="419">
        <f t="shared" si="2"/>
        <v>36806</v>
      </c>
      <c r="BF21" s="323"/>
      <c r="BG21" s="420">
        <f t="shared" si="9"/>
        <v>14.3</v>
      </c>
      <c r="BH21" s="421">
        <f t="shared" si="3"/>
        <v>32408</v>
      </c>
      <c r="BL21" s="111">
        <f t="shared" si="4"/>
        <v>14.3</v>
      </c>
      <c r="BM21" s="259">
        <f t="shared" si="5"/>
        <v>36806.28381404352</v>
      </c>
      <c r="BN21" s="251">
        <f t="shared" si="6"/>
        <v>34707</v>
      </c>
      <c r="BO21" s="260">
        <f t="shared" si="10"/>
        <v>45806.813817141956</v>
      </c>
    </row>
    <row r="22" spans="2:67" x14ac:dyDescent="0.25">
      <c r="B22" s="15">
        <v>15</v>
      </c>
      <c r="C22" s="310">
        <f t="shared" si="7"/>
        <v>19.5</v>
      </c>
      <c r="D22" s="311">
        <f>+D20</f>
        <v>2009</v>
      </c>
      <c r="E22" s="318">
        <v>44290</v>
      </c>
      <c r="F22" s="312">
        <f t="shared" si="1"/>
        <v>67833.643519388061</v>
      </c>
      <c r="G22" s="322"/>
      <c r="H22" s="323"/>
      <c r="I22" s="323"/>
      <c r="J22" s="323"/>
      <c r="K22" s="323">
        <f>+F22</f>
        <v>67833.643519388061</v>
      </c>
      <c r="L22" s="323"/>
      <c r="M22" s="323"/>
      <c r="N22" s="323"/>
      <c r="O22" s="323"/>
      <c r="P22" s="323"/>
      <c r="Q22" s="323"/>
      <c r="R22" s="323"/>
      <c r="S22" s="327"/>
      <c r="T22" s="330">
        <f>+K22*$T$36/$K$36</f>
        <v>78434.013535601116</v>
      </c>
      <c r="V22" s="435" t="str">
        <f>+'5_Prioritate-1_Pielikums'!F19</f>
        <v>Grobiņas ūdensapgādes sistēma Krusiņas</v>
      </c>
      <c r="W22" s="443">
        <f>+'5_Prioritate-1_Pielikums'!Q19</f>
        <v>18</v>
      </c>
      <c r="X22" s="444">
        <f t="shared" si="8"/>
        <v>397.77682403433477</v>
      </c>
      <c r="BD22" s="418">
        <f>+'5_Prioritate-1_Pielikums'!T19</f>
        <v>2.6</v>
      </c>
      <c r="BE22" s="419">
        <f t="shared" si="2"/>
        <v>33446</v>
      </c>
      <c r="BF22" s="323"/>
      <c r="BG22" s="420">
        <f t="shared" si="9"/>
        <v>2.6</v>
      </c>
      <c r="BH22" s="421">
        <f t="shared" si="3"/>
        <v>23022</v>
      </c>
      <c r="BL22" s="111">
        <f t="shared" si="4"/>
        <v>2.6</v>
      </c>
      <c r="BM22" s="259">
        <f t="shared" si="5"/>
        <v>33446.29512538961</v>
      </c>
      <c r="BN22" s="251">
        <f t="shared" si="6"/>
        <v>32881</v>
      </c>
      <c r="BO22" s="260">
        <f t="shared" si="10"/>
        <v>21868.958509720273</v>
      </c>
    </row>
    <row r="23" spans="2:67" x14ac:dyDescent="0.25">
      <c r="B23" s="15">
        <v>28.3</v>
      </c>
      <c r="C23" s="310">
        <f t="shared" si="7"/>
        <v>36.799999999999997</v>
      </c>
      <c r="D23" s="311">
        <v>2011</v>
      </c>
      <c r="E23" s="318">
        <v>14000</v>
      </c>
      <c r="F23" s="312">
        <f t="shared" si="1"/>
        <v>21442.109037512593</v>
      </c>
      <c r="G23" s="322"/>
      <c r="H23" s="323"/>
      <c r="I23" s="323"/>
      <c r="J23" s="323"/>
      <c r="K23" s="323"/>
      <c r="L23" s="323"/>
      <c r="M23" s="323">
        <f>+F23</f>
        <v>21442.109037512593</v>
      </c>
      <c r="N23" s="323"/>
      <c r="O23" s="323"/>
      <c r="P23" s="323"/>
      <c r="Q23" s="323"/>
      <c r="R23" s="323"/>
      <c r="S23" s="327"/>
      <c r="T23" s="330">
        <f>+M23*$T$36/$M$36</f>
        <v>24969.502622699252</v>
      </c>
      <c r="V23" s="435" t="str">
        <f>+'5_Prioritate-1_Pielikums'!F20</f>
        <v>Grobiņas ūdensapgādes sistēma Vairogi</v>
      </c>
      <c r="W23" s="443">
        <f>+'5_Prioritate-1_Pielikums'!Q20</f>
        <v>35</v>
      </c>
      <c r="X23" s="444">
        <f t="shared" si="8"/>
        <v>773.45493562231763</v>
      </c>
      <c r="BD23" s="418">
        <f>+'5_Prioritate-1_Pielikums'!T20</f>
        <v>15.600000000000001</v>
      </c>
      <c r="BE23" s="419">
        <f t="shared" si="2"/>
        <v>37180</v>
      </c>
      <c r="BF23" s="323"/>
      <c r="BG23" s="420">
        <f t="shared" si="9"/>
        <v>15.6</v>
      </c>
      <c r="BH23" s="421">
        <f t="shared" si="3"/>
        <v>32408</v>
      </c>
      <c r="BL23" s="111">
        <f t="shared" si="4"/>
        <v>15.6</v>
      </c>
      <c r="BM23" s="259">
        <f t="shared" si="5"/>
        <v>37179.615890560621</v>
      </c>
      <c r="BN23" s="251">
        <f t="shared" si="6"/>
        <v>34916</v>
      </c>
      <c r="BO23" s="260">
        <f t="shared" si="10"/>
        <v>47028.61647640897</v>
      </c>
    </row>
    <row r="24" spans="2:67" x14ac:dyDescent="0.25">
      <c r="B24" s="15">
        <v>25.25</v>
      </c>
      <c r="C24" s="310">
        <f t="shared" si="7"/>
        <v>32.799999999999997</v>
      </c>
      <c r="D24" s="311">
        <v>2004</v>
      </c>
      <c r="E24" s="318">
        <v>15000</v>
      </c>
      <c r="F24" s="312">
        <f t="shared" si="1"/>
        <v>22973.688254477776</v>
      </c>
      <c r="G24" s="322">
        <f>+F24*$G$37</f>
        <v>25611.692591391056</v>
      </c>
      <c r="H24" s="323"/>
      <c r="I24" s="323"/>
      <c r="J24" s="323"/>
      <c r="K24" s="323"/>
      <c r="L24" s="323"/>
      <c r="M24" s="323"/>
      <c r="N24" s="323"/>
      <c r="O24" s="323"/>
      <c r="P24" s="323"/>
      <c r="Q24" s="323"/>
      <c r="R24" s="323"/>
      <c r="S24" s="327"/>
      <c r="T24" s="330">
        <f>+G24*$T$36/100</f>
        <v>46049.823279321121</v>
      </c>
      <c r="V24" s="435" t="str">
        <f>+'5_Prioritate-1_Pielikums'!F21</f>
        <v>Indras ūdensapgādes sistēma Gagarina iela</v>
      </c>
      <c r="W24" s="443">
        <f>+'5_Prioritate-1_Pielikums'!Q21</f>
        <v>80</v>
      </c>
      <c r="X24" s="444">
        <f t="shared" si="8"/>
        <v>1767.8969957081545</v>
      </c>
      <c r="BD24" s="418">
        <f>+'5_Prioritate-1_Pielikums'!T21</f>
        <v>31.200000000000003</v>
      </c>
      <c r="BE24" s="419">
        <f t="shared" si="2"/>
        <v>41660</v>
      </c>
      <c r="BF24" s="323"/>
      <c r="BG24" s="420">
        <f t="shared" si="9"/>
        <v>31.2</v>
      </c>
      <c r="BH24" s="421">
        <f t="shared" si="3"/>
        <v>78435</v>
      </c>
      <c r="BL24" s="111">
        <f t="shared" si="4"/>
        <v>31.2</v>
      </c>
      <c r="BM24" s="259">
        <f t="shared" si="5"/>
        <v>41659.600808765827</v>
      </c>
      <c r="BN24" s="251">
        <f t="shared" si="6"/>
        <v>37525</v>
      </c>
      <c r="BO24" s="260">
        <f t="shared" si="10"/>
        <v>56761.700789883391</v>
      </c>
    </row>
    <row r="25" spans="2:67" x14ac:dyDescent="0.25">
      <c r="B25" s="15">
        <v>36</v>
      </c>
      <c r="C25" s="310">
        <f t="shared" si="7"/>
        <v>46.8</v>
      </c>
      <c r="D25" s="311">
        <f>+D18</f>
        <v>2011</v>
      </c>
      <c r="E25" s="318">
        <v>35000</v>
      </c>
      <c r="F25" s="312">
        <f t="shared" si="1"/>
        <v>53605.272593781476</v>
      </c>
      <c r="G25" s="322"/>
      <c r="H25" s="323"/>
      <c r="I25" s="323"/>
      <c r="J25" s="323"/>
      <c r="K25" s="323"/>
      <c r="L25" s="323"/>
      <c r="M25" s="323">
        <f>+F25</f>
        <v>53605.272593781476</v>
      </c>
      <c r="N25" s="323"/>
      <c r="O25" s="323"/>
      <c r="P25" s="323"/>
      <c r="Q25" s="323"/>
      <c r="R25" s="323"/>
      <c r="S25" s="327"/>
      <c r="T25" s="330">
        <f>+M25*$T$36/$M$36</f>
        <v>62423.756556748122</v>
      </c>
      <c r="V25" s="435" t="str">
        <f>+'5_Prioritate-1_Pielikums'!F22</f>
        <v>Jaunjelgavas ūdensapgādes sistēma Kalna iela</v>
      </c>
      <c r="W25" s="443">
        <f>+'5_Prioritate-1_Pielikums'!Q22</f>
        <v>20</v>
      </c>
      <c r="X25" s="444">
        <f t="shared" si="8"/>
        <v>441.97424892703862</v>
      </c>
      <c r="BD25" s="418">
        <f>+'5_Prioritate-1_Pielikums'!T22</f>
        <v>1.677</v>
      </c>
      <c r="BE25" s="419">
        <f t="shared" si="2"/>
        <v>33181</v>
      </c>
      <c r="BF25" s="323"/>
      <c r="BG25" s="420">
        <f t="shared" si="9"/>
        <v>1.7</v>
      </c>
      <c r="BH25" s="421">
        <f t="shared" si="3"/>
        <v>18728</v>
      </c>
      <c r="BL25" s="111">
        <f t="shared" si="4"/>
        <v>1.7</v>
      </c>
      <c r="BM25" s="259">
        <f t="shared" si="5"/>
        <v>33187.834457031619</v>
      </c>
      <c r="BN25" s="251">
        <f t="shared" si="6"/>
        <v>32744</v>
      </c>
      <c r="BO25" s="260">
        <f t="shared" si="10"/>
        <v>15902.802884732348</v>
      </c>
    </row>
    <row r="26" spans="2:67" x14ac:dyDescent="0.25">
      <c r="B26" s="15">
        <v>37.553443199999997</v>
      </c>
      <c r="C26" s="310">
        <f t="shared" si="7"/>
        <v>48.8</v>
      </c>
      <c r="D26" s="311">
        <v>2004</v>
      </c>
      <c r="E26" s="318">
        <v>15000</v>
      </c>
      <c r="F26" s="312">
        <f t="shared" si="1"/>
        <v>22973.688254477776</v>
      </c>
      <c r="G26" s="322">
        <f t="shared" ref="G26:G31" si="12">+F26*$G$37</f>
        <v>25611.692591391056</v>
      </c>
      <c r="H26" s="323"/>
      <c r="I26" s="323"/>
      <c r="J26" s="323"/>
      <c r="K26" s="323"/>
      <c r="L26" s="323"/>
      <c r="M26" s="323"/>
      <c r="N26" s="323"/>
      <c r="O26" s="323"/>
      <c r="P26" s="323"/>
      <c r="Q26" s="323"/>
      <c r="R26" s="323"/>
      <c r="S26" s="327"/>
      <c r="T26" s="330">
        <f t="shared" ref="T26:T31" si="13">+G26*$T$36/100</f>
        <v>46049.823279321121</v>
      </c>
      <c r="V26" s="435" t="str">
        <f>+'5_Prioritate-1_Pielikums'!F23</f>
        <v>Jaunsilavas ūdensapgādes sistēma</v>
      </c>
      <c r="W26" s="443">
        <f>+'5_Prioritate-1_Pielikums'!Q23</f>
        <v>277</v>
      </c>
      <c r="X26" s="444">
        <f t="shared" si="8"/>
        <v>6121.3433476394857</v>
      </c>
      <c r="BD26" s="418">
        <f>+'5_Prioritate-1_Pielikums'!T23</f>
        <v>26</v>
      </c>
      <c r="BE26" s="419">
        <f t="shared" si="2"/>
        <v>40166</v>
      </c>
      <c r="BF26" s="323"/>
      <c r="BG26" s="420">
        <f t="shared" si="9"/>
        <v>26</v>
      </c>
      <c r="BH26" s="421">
        <f t="shared" si="3"/>
        <v>78435</v>
      </c>
      <c r="BL26" s="111">
        <f t="shared" si="4"/>
        <v>26</v>
      </c>
      <c r="BM26" s="259">
        <f t="shared" si="5"/>
        <v>40166.272502697422</v>
      </c>
      <c r="BN26" s="251">
        <f t="shared" si="6"/>
        <v>36634</v>
      </c>
      <c r="BO26" s="260">
        <f t="shared" si="10"/>
        <v>54201.564740558424</v>
      </c>
    </row>
    <row r="27" spans="2:67" x14ac:dyDescent="0.25">
      <c r="B27" s="22">
        <v>65.050110000000004</v>
      </c>
      <c r="C27" s="310">
        <f t="shared" si="7"/>
        <v>84.6</v>
      </c>
      <c r="D27" s="313">
        <v>2004</v>
      </c>
      <c r="E27" s="318">
        <v>15250</v>
      </c>
      <c r="F27" s="312">
        <f t="shared" si="1"/>
        <v>23356.583058719076</v>
      </c>
      <c r="G27" s="322">
        <f t="shared" si="12"/>
        <v>26038.554134580911</v>
      </c>
      <c r="H27" s="323"/>
      <c r="I27" s="323"/>
      <c r="J27" s="323"/>
      <c r="K27" s="323"/>
      <c r="L27" s="323"/>
      <c r="M27" s="323"/>
      <c r="N27" s="323"/>
      <c r="O27" s="323"/>
      <c r="P27" s="323"/>
      <c r="Q27" s="323"/>
      <c r="R27" s="323"/>
      <c r="S27" s="327"/>
      <c r="T27" s="330">
        <f t="shared" si="13"/>
        <v>46817.320333976488</v>
      </c>
      <c r="V27" s="435" t="str">
        <f>+'5_Prioritate-1_Pielikums'!F24</f>
        <v>Kokneses ūdensapgādes sistēma 1905. gada iela</v>
      </c>
      <c r="W27" s="443">
        <f>+'5_Prioritate-1_Pielikums'!Q24</f>
        <v>35</v>
      </c>
      <c r="X27" s="444">
        <f t="shared" si="8"/>
        <v>773.45493562231763</v>
      </c>
      <c r="BD27" s="418">
        <f>+'5_Prioritate-1_Pielikums'!T24</f>
        <v>3.9000000000000004</v>
      </c>
      <c r="BE27" s="419">
        <f t="shared" si="2"/>
        <v>33820</v>
      </c>
      <c r="BF27" s="323"/>
      <c r="BG27" s="420">
        <f t="shared" si="9"/>
        <v>3.9</v>
      </c>
      <c r="BH27" s="421">
        <f t="shared" si="3"/>
        <v>40016</v>
      </c>
      <c r="BL27" s="111">
        <f t="shared" si="4"/>
        <v>3.9</v>
      </c>
      <c r="BM27" s="259">
        <f t="shared" si="5"/>
        <v>33819.627201906711</v>
      </c>
      <c r="BN27" s="251">
        <f t="shared" si="6"/>
        <v>33079</v>
      </c>
      <c r="BO27" s="260">
        <f t="shared" si="10"/>
        <v>27562.447849460128</v>
      </c>
    </row>
    <row r="28" spans="2:67" hidden="1" x14ac:dyDescent="0.25">
      <c r="B28" s="22">
        <v>112.87712537497836</v>
      </c>
      <c r="C28" s="310">
        <f t="shared" si="7"/>
        <v>146.69999999999999</v>
      </c>
      <c r="D28" s="313">
        <v>2004</v>
      </c>
      <c r="E28" s="318">
        <v>20100</v>
      </c>
      <c r="F28" s="312">
        <f t="shared" si="1"/>
        <v>30784.742261000221</v>
      </c>
      <c r="G28" s="322">
        <f t="shared" si="12"/>
        <v>34319.668072464017</v>
      </c>
      <c r="H28" s="323"/>
      <c r="I28" s="323"/>
      <c r="J28" s="323"/>
      <c r="K28" s="323"/>
      <c r="L28" s="323"/>
      <c r="M28" s="323"/>
      <c r="N28" s="323"/>
      <c r="O28" s="323"/>
      <c r="P28" s="323"/>
      <c r="Q28" s="323"/>
      <c r="R28" s="323"/>
      <c r="S28" s="327"/>
      <c r="T28" s="330">
        <f t="shared" si="13"/>
        <v>61706.76319429031</v>
      </c>
      <c r="V28" s="436" t="str">
        <f>+'5_Prioritate-1_Pielikums'!F25</f>
        <v>Krāslavas ūdensapgādes sistēma</v>
      </c>
      <c r="W28" s="445"/>
      <c r="X28" s="446"/>
      <c r="BD28" s="422"/>
      <c r="BE28" s="423"/>
      <c r="BF28" s="323"/>
      <c r="BG28" s="424"/>
      <c r="BH28" s="423"/>
      <c r="BL28" s="111"/>
      <c r="BM28" s="259"/>
      <c r="BN28" s="251"/>
      <c r="BO28" s="260"/>
    </row>
    <row r="29" spans="2:67" x14ac:dyDescent="0.25">
      <c r="B29" s="22">
        <v>125.58569675557541</v>
      </c>
      <c r="C29" s="310">
        <f t="shared" si="7"/>
        <v>163.30000000000001</v>
      </c>
      <c r="D29" s="313">
        <v>2004</v>
      </c>
      <c r="E29" s="318">
        <v>36620</v>
      </c>
      <c r="F29" s="312">
        <f t="shared" si="1"/>
        <v>56086.430925265078</v>
      </c>
      <c r="G29" s="322">
        <f t="shared" si="12"/>
        <v>62526.678846449366</v>
      </c>
      <c r="H29" s="323"/>
      <c r="I29" s="323"/>
      <c r="J29" s="323"/>
      <c r="K29" s="323"/>
      <c r="L29" s="323"/>
      <c r="M29" s="323"/>
      <c r="N29" s="323"/>
      <c r="O29" s="323"/>
      <c r="P29" s="323"/>
      <c r="Q29" s="323"/>
      <c r="R29" s="323"/>
      <c r="S29" s="327"/>
      <c r="T29" s="330">
        <f t="shared" si="13"/>
        <v>112422.96856591597</v>
      </c>
      <c r="V29" s="435" t="str">
        <f>+'5_Prioritate-1_Pielikums'!F26</f>
        <v>Lones ūdensapgādes sistēma Ezera iela</v>
      </c>
      <c r="W29" s="443">
        <f>+'5_Prioritate-1_Pielikums'!Q26</f>
        <v>26</v>
      </c>
      <c r="X29" s="444">
        <f t="shared" ref="X29:X58" si="14">+W29*$X$5/$X$6</f>
        <v>574.56652360515022</v>
      </c>
      <c r="BD29" s="418">
        <f>+'5_Prioritate-1_Pielikums'!T26</f>
        <v>6.5</v>
      </c>
      <c r="BE29" s="419">
        <f t="shared" ref="BE29:BE58" si="15">ROUND(TREND($T$8:$T$31,$C$8:$C$31,BD29,1),0)</f>
        <v>34566</v>
      </c>
      <c r="BF29" s="323"/>
      <c r="BG29" s="420">
        <f t="shared" ref="BG29:BG58" si="16">+ROUND(BD29,1)</f>
        <v>6.5</v>
      </c>
      <c r="BH29" s="421">
        <f t="shared" ref="BH29:BH58" si="17">+ROUNDUP(LOOKUP(BG29,$C$8:$C$31,$T$8:$T$31),0)</f>
        <v>25785</v>
      </c>
      <c r="BL29" s="111">
        <f t="shared" ref="BL29:BL58" si="18">+BG29</f>
        <v>6.5</v>
      </c>
      <c r="BM29" s="259">
        <f t="shared" ref="BM29:BM58" si="19">+$BM$3*BG29+$BM$2</f>
        <v>34566.291354940913</v>
      </c>
      <c r="BN29" s="251">
        <f t="shared" ref="BN29:BN58" si="20">ROUND($BN$2*EXP(1)^($BN$3*BG29),0)</f>
        <v>33479</v>
      </c>
      <c r="BO29" s="260">
        <f t="shared" si="10"/>
        <v>34735.39611360959</v>
      </c>
    </row>
    <row r="30" spans="2:67" x14ac:dyDescent="0.25">
      <c r="B30" s="22">
        <v>173.65659429095558</v>
      </c>
      <c r="C30" s="310">
        <f t="shared" si="7"/>
        <v>225.8</v>
      </c>
      <c r="D30" s="313">
        <v>2004</v>
      </c>
      <c r="E30" s="318">
        <v>24745</v>
      </c>
      <c r="F30" s="312">
        <f t="shared" si="1"/>
        <v>37898.927723803514</v>
      </c>
      <c r="G30" s="322">
        <f t="shared" si="12"/>
        <v>42250.755544931453</v>
      </c>
      <c r="H30" s="323"/>
      <c r="I30" s="323"/>
      <c r="J30" s="323"/>
      <c r="K30" s="323"/>
      <c r="L30" s="323"/>
      <c r="M30" s="323"/>
      <c r="N30" s="323"/>
      <c r="O30" s="323"/>
      <c r="P30" s="323"/>
      <c r="Q30" s="323"/>
      <c r="R30" s="323"/>
      <c r="S30" s="327"/>
      <c r="T30" s="330">
        <f t="shared" si="13"/>
        <v>75966.858469786763</v>
      </c>
      <c r="V30" s="435" t="str">
        <f>+'5_Prioritate-1_Pielikums'!F27</f>
        <v>Lutriņu ūdensapgādes sistēma Dzirnieki</v>
      </c>
      <c r="W30" s="443">
        <f>+'5_Prioritate-1_Pielikums'!Q27</f>
        <v>15</v>
      </c>
      <c r="X30" s="444">
        <f t="shared" si="14"/>
        <v>331.48068669527896</v>
      </c>
      <c r="BD30" s="418">
        <f>+'5_Prioritate-1_Pielikums'!T27</f>
        <v>26</v>
      </c>
      <c r="BE30" s="419">
        <f t="shared" si="15"/>
        <v>40166</v>
      </c>
      <c r="BF30" s="323"/>
      <c r="BG30" s="420">
        <f t="shared" si="16"/>
        <v>26</v>
      </c>
      <c r="BH30" s="421">
        <f t="shared" si="17"/>
        <v>78435</v>
      </c>
      <c r="BL30" s="111">
        <f t="shared" si="18"/>
        <v>26</v>
      </c>
      <c r="BM30" s="259">
        <f t="shared" si="19"/>
        <v>40166.272502697422</v>
      </c>
      <c r="BN30" s="251">
        <f t="shared" si="20"/>
        <v>36634</v>
      </c>
      <c r="BO30" s="260">
        <f t="shared" si="10"/>
        <v>54201.564740558424</v>
      </c>
    </row>
    <row r="31" spans="2:67" ht="15.75" thickBot="1" x14ac:dyDescent="0.3">
      <c r="B31" s="24">
        <v>267.12326591999999</v>
      </c>
      <c r="C31" s="314">
        <f t="shared" si="7"/>
        <v>347.3</v>
      </c>
      <c r="D31" s="315">
        <v>2004</v>
      </c>
      <c r="E31" s="319">
        <v>44500</v>
      </c>
      <c r="F31" s="316">
        <f t="shared" si="1"/>
        <v>68155.275154950737</v>
      </c>
      <c r="G31" s="324">
        <f t="shared" si="12"/>
        <v>75981.354687793471</v>
      </c>
      <c r="H31" s="325"/>
      <c r="I31" s="325"/>
      <c r="J31" s="325"/>
      <c r="K31" s="325"/>
      <c r="L31" s="325"/>
      <c r="M31" s="325"/>
      <c r="N31" s="325"/>
      <c r="O31" s="325"/>
      <c r="P31" s="325"/>
      <c r="Q31" s="325"/>
      <c r="R31" s="325"/>
      <c r="S31" s="328"/>
      <c r="T31" s="331">
        <f t="shared" si="13"/>
        <v>136614.47572865267</v>
      </c>
      <c r="V31" s="435" t="str">
        <f>+'5_Prioritate-1_Pielikums'!F28</f>
        <v>Lutriņu ūdensapgādes sistēma Kūdrāji</v>
      </c>
      <c r="W31" s="443">
        <f>+'5_Prioritate-1_Pielikums'!Q28</f>
        <v>18</v>
      </c>
      <c r="X31" s="444">
        <f t="shared" si="14"/>
        <v>397.77682403433477</v>
      </c>
      <c r="BD31" s="418">
        <f>+'5_Prioritate-1_Pielikums'!T28</f>
        <v>13</v>
      </c>
      <c r="BE31" s="419">
        <f t="shared" si="15"/>
        <v>36433</v>
      </c>
      <c r="BF31" s="323"/>
      <c r="BG31" s="420">
        <f t="shared" si="16"/>
        <v>13</v>
      </c>
      <c r="BH31" s="421">
        <f t="shared" si="17"/>
        <v>32408</v>
      </c>
      <c r="BL31" s="111">
        <f t="shared" si="18"/>
        <v>13</v>
      </c>
      <c r="BM31" s="259">
        <f t="shared" si="19"/>
        <v>36432.951737526419</v>
      </c>
      <c r="BN31" s="251">
        <f t="shared" si="20"/>
        <v>34499</v>
      </c>
      <c r="BO31" s="260">
        <f t="shared" si="10"/>
        <v>44468.480427084003</v>
      </c>
    </row>
    <row r="32" spans="2:67" x14ac:dyDescent="0.25"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V32" s="435" t="str">
        <f>+'5_Prioritate-1_Pielikums'!F29</f>
        <v>Lutriņu ūdensapgādes sistēma Mežmaļi</v>
      </c>
      <c r="W32" s="443">
        <f>+'5_Prioritate-1_Pielikums'!Q29</f>
        <v>16</v>
      </c>
      <c r="X32" s="444">
        <f t="shared" si="14"/>
        <v>353.57939914163092</v>
      </c>
      <c r="BD32" s="418">
        <f>+'5_Prioritate-1_Pielikums'!T29</f>
        <v>4.6800000000000006</v>
      </c>
      <c r="BE32" s="419">
        <f t="shared" si="15"/>
        <v>34044</v>
      </c>
      <c r="BF32" s="323"/>
      <c r="BG32" s="420">
        <f t="shared" si="16"/>
        <v>4.7</v>
      </c>
      <c r="BH32" s="421">
        <f t="shared" si="17"/>
        <v>32104</v>
      </c>
      <c r="BL32" s="111">
        <f t="shared" si="18"/>
        <v>4.7</v>
      </c>
      <c r="BM32" s="259">
        <f t="shared" si="19"/>
        <v>34049.37001822493</v>
      </c>
      <c r="BN32" s="251">
        <f t="shared" si="20"/>
        <v>33201</v>
      </c>
      <c r="BO32" s="260">
        <f t="shared" si="10"/>
        <v>30182.464042712592</v>
      </c>
    </row>
    <row r="33" spans="1:67" ht="15.75" x14ac:dyDescent="0.25">
      <c r="C33" s="280"/>
      <c r="D33" s="23"/>
      <c r="E33" s="23"/>
      <c r="F33" s="25"/>
      <c r="G33" s="299" t="s">
        <v>475</v>
      </c>
      <c r="H33" s="23"/>
      <c r="I33" s="23"/>
      <c r="J33" s="23"/>
      <c r="K33" s="23"/>
      <c r="L33" s="23"/>
      <c r="M33" s="23"/>
      <c r="N33" s="23"/>
      <c r="O33" s="23"/>
      <c r="P33" s="23"/>
      <c r="R33" s="23"/>
      <c r="S33" s="23"/>
      <c r="V33" s="435" t="str">
        <f>+'5_Prioritate-1_Pielikums'!F30</f>
        <v>Lutriņu ūdensapgādes sistēma Vizuļi</v>
      </c>
      <c r="W33" s="443">
        <f>+'5_Prioritate-1_Pielikums'!Q30</f>
        <v>12</v>
      </c>
      <c r="X33" s="444">
        <f t="shared" si="14"/>
        <v>265.18454935622316</v>
      </c>
      <c r="BD33" s="418">
        <f>+'5_Prioritate-1_Pielikums'!T30</f>
        <v>27.3</v>
      </c>
      <c r="BE33" s="419">
        <f t="shared" si="15"/>
        <v>40540</v>
      </c>
      <c r="BF33" s="323"/>
      <c r="BG33" s="420">
        <f t="shared" si="16"/>
        <v>27.3</v>
      </c>
      <c r="BH33" s="421">
        <f t="shared" si="17"/>
        <v>78435</v>
      </c>
      <c r="BL33" s="111">
        <f t="shared" si="18"/>
        <v>27.3</v>
      </c>
      <c r="BM33" s="259">
        <f t="shared" si="19"/>
        <v>40539.604579214523</v>
      </c>
      <c r="BN33" s="251">
        <f t="shared" si="20"/>
        <v>36855</v>
      </c>
      <c r="BO33" s="260">
        <f t="shared" si="10"/>
        <v>54886.670003694206</v>
      </c>
    </row>
    <row r="34" spans="1:67" x14ac:dyDescent="0.25">
      <c r="A34" s="306" t="s">
        <v>477</v>
      </c>
      <c r="C34" s="281"/>
      <c r="D34" s="23"/>
      <c r="E34" s="23"/>
      <c r="F34" s="23"/>
      <c r="G34" s="23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V34" s="435" t="str">
        <f>+'5_Prioritate-1_Pielikums'!F31</f>
        <v>Nītaures ūdensapgādes sistēma Cirīši</v>
      </c>
      <c r="W34" s="443">
        <f>+'5_Prioritate-1_Pielikums'!Q31</f>
        <v>15</v>
      </c>
      <c r="X34" s="444">
        <f t="shared" si="14"/>
        <v>331.48068669527896</v>
      </c>
      <c r="BD34" s="418">
        <f>+'5_Prioritate-1_Pielikums'!T31</f>
        <v>2.6</v>
      </c>
      <c r="BE34" s="419">
        <f t="shared" si="15"/>
        <v>33446</v>
      </c>
      <c r="BF34" s="323"/>
      <c r="BG34" s="420">
        <f t="shared" si="16"/>
        <v>2.6</v>
      </c>
      <c r="BH34" s="421">
        <f t="shared" si="17"/>
        <v>23022</v>
      </c>
      <c r="BL34" s="111">
        <f t="shared" si="18"/>
        <v>2.6</v>
      </c>
      <c r="BM34" s="259">
        <f t="shared" si="19"/>
        <v>33446.29512538961</v>
      </c>
      <c r="BN34" s="251">
        <f t="shared" si="20"/>
        <v>32881</v>
      </c>
      <c r="BO34" s="260">
        <f t="shared" si="10"/>
        <v>21868.958509720273</v>
      </c>
    </row>
    <row r="35" spans="1:67" ht="15.75" thickBot="1" x14ac:dyDescent="0.3">
      <c r="A35" s="18"/>
      <c r="C35" s="19" t="s">
        <v>354</v>
      </c>
      <c r="D35" s="19" t="s">
        <v>356</v>
      </c>
      <c r="E35" s="19" t="s">
        <v>357</v>
      </c>
      <c r="F35" s="19" t="s">
        <v>355</v>
      </c>
      <c r="G35" s="19" t="s">
        <v>358</v>
      </c>
      <c r="H35" s="19" t="s">
        <v>359</v>
      </c>
      <c r="I35" s="19" t="s">
        <v>360</v>
      </c>
      <c r="J35" s="19" t="s">
        <v>361</v>
      </c>
      <c r="K35" s="19" t="s">
        <v>362</v>
      </c>
      <c r="L35" s="19" t="s">
        <v>363</v>
      </c>
      <c r="M35" s="19" t="s">
        <v>364</v>
      </c>
      <c r="N35" s="19" t="s">
        <v>365</v>
      </c>
      <c r="O35" s="19" t="s">
        <v>366</v>
      </c>
      <c r="P35" s="19" t="s">
        <v>367</v>
      </c>
      <c r="Q35" s="19" t="s">
        <v>368</v>
      </c>
      <c r="R35" s="19" t="s">
        <v>47</v>
      </c>
      <c r="S35" s="19" t="s">
        <v>48</v>
      </c>
      <c r="T35" s="20" t="s">
        <v>37</v>
      </c>
      <c r="V35" s="435" t="str">
        <f>+'5_Prioritate-1_Pielikums'!F32</f>
        <v>Ogres novada ūdensapgādes sistēma - Suntaži JUGLA</v>
      </c>
      <c r="W35" s="443">
        <f>+'5_Prioritate-1_Pielikums'!Q32</f>
        <v>48</v>
      </c>
      <c r="X35" s="444">
        <f t="shared" si="14"/>
        <v>1060.7381974248926</v>
      </c>
      <c r="BD35" s="418">
        <f>+'5_Prioritate-1_Pielikums'!T32</f>
        <v>3.25</v>
      </c>
      <c r="BE35" s="419">
        <f t="shared" si="15"/>
        <v>33633</v>
      </c>
      <c r="BF35" s="323"/>
      <c r="BG35" s="420">
        <f t="shared" si="16"/>
        <v>3.3</v>
      </c>
      <c r="BH35" s="421">
        <f t="shared" si="17"/>
        <v>23022</v>
      </c>
      <c r="BL35" s="111">
        <f t="shared" si="18"/>
        <v>3.3</v>
      </c>
      <c r="BM35" s="259">
        <f t="shared" si="19"/>
        <v>33647.32008966805</v>
      </c>
      <c r="BN35" s="251">
        <f t="shared" si="20"/>
        <v>32987</v>
      </c>
      <c r="BO35" s="260">
        <f t="shared" si="10"/>
        <v>25216.69569675946</v>
      </c>
    </row>
    <row r="36" spans="1:67" ht="15.75" thickBot="1" x14ac:dyDescent="0.3">
      <c r="A36" s="21" t="s">
        <v>369</v>
      </c>
      <c r="C36" s="301">
        <v>89.2</v>
      </c>
      <c r="D36" s="301">
        <v>84.4</v>
      </c>
      <c r="E36" s="301">
        <v>89.7</v>
      </c>
      <c r="F36" s="301">
        <v>85.5</v>
      </c>
      <c r="G36" s="302">
        <v>100</v>
      </c>
      <c r="H36" s="301">
        <v>120.9</v>
      </c>
      <c r="I36" s="301">
        <v>152.5</v>
      </c>
      <c r="J36" s="301">
        <v>174.5</v>
      </c>
      <c r="K36" s="301">
        <v>155.5</v>
      </c>
      <c r="L36" s="301">
        <v>151.30000000000001</v>
      </c>
      <c r="M36" s="301">
        <v>154.4</v>
      </c>
      <c r="N36" s="301">
        <v>164.9</v>
      </c>
      <c r="O36" s="301">
        <v>169.1</v>
      </c>
      <c r="P36" s="301">
        <v>169.8</v>
      </c>
      <c r="Q36" s="301">
        <v>170</v>
      </c>
      <c r="R36" s="301">
        <v>169.2</v>
      </c>
      <c r="S36" s="303">
        <v>172.3</v>
      </c>
      <c r="T36" s="304">
        <v>179.8</v>
      </c>
      <c r="V36" s="435" t="str">
        <f>+'5_Prioritate-1_Pielikums'!F33</f>
        <v>Ošenieku ūdensapgādes sistēma</v>
      </c>
      <c r="W36" s="443">
        <f>+'5_Prioritate-1_Pielikums'!Q33</f>
        <v>64</v>
      </c>
      <c r="X36" s="444">
        <f t="shared" si="14"/>
        <v>1414.3175965665237</v>
      </c>
      <c r="BD36" s="418">
        <f>+'5_Prioritate-1_Pielikums'!T33</f>
        <v>10.53</v>
      </c>
      <c r="BE36" s="419">
        <f t="shared" si="15"/>
        <v>35724</v>
      </c>
      <c r="BF36" s="323"/>
      <c r="BG36" s="420">
        <f t="shared" si="16"/>
        <v>10.5</v>
      </c>
      <c r="BH36" s="421">
        <f t="shared" si="17"/>
        <v>46576</v>
      </c>
      <c r="BL36" s="111">
        <f t="shared" si="18"/>
        <v>10.5</v>
      </c>
      <c r="BM36" s="259">
        <f t="shared" si="19"/>
        <v>35715.005436531996</v>
      </c>
      <c r="BN36" s="251">
        <f t="shared" si="20"/>
        <v>34103</v>
      </c>
      <c r="BO36" s="260">
        <f t="shared" si="10"/>
        <v>41469.500147461164</v>
      </c>
    </row>
    <row r="37" spans="1:67" x14ac:dyDescent="0.25">
      <c r="A37" s="21"/>
      <c r="C37" s="301"/>
      <c r="D37" s="301"/>
      <c r="E37" s="301"/>
      <c r="F37" s="301"/>
      <c r="G37" s="336">
        <f>+G36/E36</f>
        <v>1.1148272017837235</v>
      </c>
      <c r="H37" s="305"/>
      <c r="I37" s="305"/>
      <c r="J37" s="305"/>
      <c r="K37" s="305"/>
      <c r="L37" s="305"/>
      <c r="M37" s="305"/>
      <c r="N37" s="305"/>
      <c r="O37" s="305"/>
      <c r="P37" s="305"/>
      <c r="Q37" s="305"/>
      <c r="R37" s="305"/>
      <c r="S37" s="305"/>
      <c r="T37" s="305"/>
      <c r="V37" s="435" t="str">
        <f>+'5_Prioritate-1_Pielikums'!F34</f>
        <v>Pilskalnes Darbnīcas ūdensapgādes sistēma</v>
      </c>
      <c r="W37" s="443">
        <f>+'5_Prioritate-1_Pielikums'!Q34</f>
        <v>120</v>
      </c>
      <c r="X37" s="444">
        <f t="shared" si="14"/>
        <v>2651.8454935622317</v>
      </c>
      <c r="BD37" s="418">
        <f>+'5_Prioritate-1_Pielikums'!T34</f>
        <v>44.2</v>
      </c>
      <c r="BE37" s="419">
        <f t="shared" si="15"/>
        <v>45393</v>
      </c>
      <c r="BF37" s="323"/>
      <c r="BG37" s="420">
        <f t="shared" si="16"/>
        <v>44.2</v>
      </c>
      <c r="BH37" s="421">
        <f t="shared" si="17"/>
        <v>46050</v>
      </c>
      <c r="BL37" s="111">
        <f t="shared" si="18"/>
        <v>44.2</v>
      </c>
      <c r="BM37" s="259">
        <f t="shared" si="19"/>
        <v>45392.92157393683</v>
      </c>
      <c r="BN37" s="251">
        <f t="shared" si="20"/>
        <v>39847</v>
      </c>
      <c r="BO37" s="260">
        <f t="shared" si="10"/>
        <v>61652.578971803538</v>
      </c>
    </row>
    <row r="38" spans="1:67" x14ac:dyDescent="0.25">
      <c r="A38" s="21" t="s">
        <v>370</v>
      </c>
      <c r="C38" s="301">
        <v>52.5</v>
      </c>
      <c r="D38" s="301">
        <v>49.6</v>
      </c>
      <c r="E38" s="301">
        <v>52.8</v>
      </c>
      <c r="F38" s="301">
        <v>50.3</v>
      </c>
      <c r="G38" s="301">
        <v>58.8</v>
      </c>
      <c r="H38" s="301">
        <v>71.099999999999994</v>
      </c>
      <c r="I38" s="301">
        <v>89.7</v>
      </c>
      <c r="J38" s="301">
        <v>102.7</v>
      </c>
      <c r="K38" s="301">
        <v>91.5</v>
      </c>
      <c r="L38" s="301">
        <v>89</v>
      </c>
      <c r="M38" s="301">
        <v>90.9</v>
      </c>
      <c r="N38" s="301">
        <v>97</v>
      </c>
      <c r="O38" s="301">
        <v>99.5</v>
      </c>
      <c r="P38" s="301">
        <v>99.9</v>
      </c>
      <c r="Q38" s="302">
        <v>100</v>
      </c>
      <c r="R38" s="301">
        <v>99.5</v>
      </c>
      <c r="S38" s="301">
        <v>101.4</v>
      </c>
      <c r="T38" s="301">
        <v>105.8</v>
      </c>
      <c r="V38" s="435" t="str">
        <f>+'5_Prioritate-1_Pielikums'!F35</f>
        <v>Ratnieku ūdensapgādes sistēma</v>
      </c>
      <c r="W38" s="443">
        <f>+'5_Prioritate-1_Pielikums'!Q35</f>
        <v>260</v>
      </c>
      <c r="X38" s="444">
        <f t="shared" si="14"/>
        <v>5745.6652360515018</v>
      </c>
      <c r="BD38" s="418">
        <f>+'5_Prioritate-1_Pielikums'!T35</f>
        <v>39</v>
      </c>
      <c r="BE38" s="419">
        <f t="shared" si="15"/>
        <v>43900</v>
      </c>
      <c r="BF38" s="323"/>
      <c r="BG38" s="420">
        <f t="shared" si="16"/>
        <v>39</v>
      </c>
      <c r="BH38" s="421">
        <f t="shared" si="17"/>
        <v>46050</v>
      </c>
      <c r="BL38" s="111">
        <f t="shared" si="18"/>
        <v>39</v>
      </c>
      <c r="BM38" s="259">
        <f t="shared" si="19"/>
        <v>43899.593267868426</v>
      </c>
      <c r="BN38" s="251">
        <f t="shared" si="20"/>
        <v>38902</v>
      </c>
      <c r="BO38" s="260">
        <f t="shared" si="10"/>
        <v>59895.05408029828</v>
      </c>
    </row>
    <row r="39" spans="1:67" ht="17.25" customHeight="1" x14ac:dyDescent="0.25">
      <c r="A39" s="300" t="s">
        <v>371</v>
      </c>
      <c r="C39" s="301">
        <v>95</v>
      </c>
      <c r="D39" s="301">
        <v>98.7</v>
      </c>
      <c r="E39" s="301">
        <v>106.4</v>
      </c>
      <c r="F39" s="301">
        <v>95.8</v>
      </c>
      <c r="G39" s="301">
        <v>111.4</v>
      </c>
      <c r="H39" s="301">
        <v>120.9</v>
      </c>
      <c r="I39" s="301">
        <v>126.2</v>
      </c>
      <c r="J39" s="301">
        <v>114.4</v>
      </c>
      <c r="K39" s="301">
        <v>89.1</v>
      </c>
      <c r="L39" s="301">
        <v>97.3</v>
      </c>
      <c r="M39" s="301">
        <v>102.1</v>
      </c>
      <c r="N39" s="301">
        <v>106.8</v>
      </c>
      <c r="O39" s="301">
        <v>102.5</v>
      </c>
      <c r="P39" s="301">
        <v>100.4</v>
      </c>
      <c r="Q39" s="301">
        <v>100.1</v>
      </c>
      <c r="R39" s="301">
        <v>99.5</v>
      </c>
      <c r="S39" s="301">
        <v>101.9</v>
      </c>
      <c r="T39" s="301">
        <v>104.4</v>
      </c>
      <c r="V39" s="435" t="str">
        <f>+'5_Prioritate-1_Pielikums'!F36</f>
        <v>Rimicānu ūdensapgādes sistēma</v>
      </c>
      <c r="W39" s="443">
        <f>+'5_Prioritate-1_Pielikums'!Q36</f>
        <v>107</v>
      </c>
      <c r="X39" s="444">
        <f t="shared" si="14"/>
        <v>2364.5622317596567</v>
      </c>
      <c r="BD39" s="418">
        <f>+'5_Prioritate-1_Pielikums'!T36</f>
        <v>35.1</v>
      </c>
      <c r="BE39" s="419">
        <f t="shared" si="15"/>
        <v>42780</v>
      </c>
      <c r="BF39" s="323"/>
      <c r="BG39" s="420">
        <f t="shared" si="16"/>
        <v>35.1</v>
      </c>
      <c r="BH39" s="421">
        <f t="shared" si="17"/>
        <v>78435</v>
      </c>
      <c r="BL39" s="111">
        <f t="shared" si="18"/>
        <v>35.1</v>
      </c>
      <c r="BM39" s="259">
        <f t="shared" si="19"/>
        <v>42779.597038317122</v>
      </c>
      <c r="BN39" s="251">
        <f t="shared" si="20"/>
        <v>38207</v>
      </c>
      <c r="BO39" s="260">
        <f t="shared" si="10"/>
        <v>58415.595155888674</v>
      </c>
    </row>
    <row r="40" spans="1:67" x14ac:dyDescent="0.25">
      <c r="C40" s="281"/>
      <c r="F40" s="16"/>
      <c r="V40" s="435" t="str">
        <f>+'5_Prioritate-1_Pielikums'!F37</f>
        <v>Rucavas ūdensapgādes sistēma Zundes</v>
      </c>
      <c r="W40" s="443">
        <f>+'5_Prioritate-1_Pielikums'!Q37</f>
        <v>502</v>
      </c>
      <c r="X40" s="444">
        <f t="shared" si="14"/>
        <v>11093.55364806867</v>
      </c>
      <c r="BD40" s="418">
        <f>+'5_Prioritate-1_Pielikums'!T37</f>
        <v>175.5</v>
      </c>
      <c r="BE40" s="419">
        <f t="shared" si="15"/>
        <v>83099</v>
      </c>
      <c r="BF40" s="323"/>
      <c r="BG40" s="420">
        <f t="shared" si="16"/>
        <v>175.5</v>
      </c>
      <c r="BH40" s="421">
        <f t="shared" si="17"/>
        <v>112423</v>
      </c>
      <c r="BL40" s="111">
        <f t="shared" si="18"/>
        <v>175.5</v>
      </c>
      <c r="BM40" s="259">
        <f t="shared" si="19"/>
        <v>83099.461302163982</v>
      </c>
      <c r="BN40" s="251">
        <f t="shared" si="20"/>
        <v>73082</v>
      </c>
      <c r="BO40" s="260">
        <f t="shared" si="10"/>
        <v>81015.117073252419</v>
      </c>
    </row>
    <row r="41" spans="1:67" ht="15.75" x14ac:dyDescent="0.25">
      <c r="C41" s="299" t="s">
        <v>476</v>
      </c>
      <c r="V41" s="435" t="str">
        <f>+'5_Prioritate-1_Pielikums'!F38</f>
        <v>Sarkaņu ūdensapgādes sistēma</v>
      </c>
      <c r="W41" s="443">
        <f>+'5_Prioritate-1_Pielikums'!Q38</f>
        <v>42</v>
      </c>
      <c r="X41" s="444">
        <f t="shared" si="14"/>
        <v>928.14592274678103</v>
      </c>
      <c r="BD41" s="418">
        <f>+'5_Prioritate-1_Pielikums'!T38</f>
        <v>5.2</v>
      </c>
      <c r="BE41" s="419">
        <f t="shared" si="15"/>
        <v>34193</v>
      </c>
      <c r="BF41" s="323"/>
      <c r="BG41" s="420">
        <f t="shared" si="16"/>
        <v>5.2</v>
      </c>
      <c r="BH41" s="421">
        <f t="shared" si="17"/>
        <v>43388</v>
      </c>
      <c r="BL41" s="111">
        <f t="shared" si="18"/>
        <v>5.2</v>
      </c>
      <c r="BM41" s="259">
        <f t="shared" si="19"/>
        <v>34192.959278423812</v>
      </c>
      <c r="BN41" s="251">
        <f t="shared" si="20"/>
        <v>33278</v>
      </c>
      <c r="BO41" s="260">
        <f t="shared" si="10"/>
        <v>31602.042823194693</v>
      </c>
    </row>
    <row r="42" spans="1:67" x14ac:dyDescent="0.25">
      <c r="V42" s="435" t="str">
        <f>+'5_Prioritate-1_Pielikums'!F39</f>
        <v>Tilžas ūdensapgādes sistēma Ceļu daļa</v>
      </c>
      <c r="W42" s="443">
        <f>+'5_Prioritate-1_Pielikums'!Q39</f>
        <v>40</v>
      </c>
      <c r="X42" s="444">
        <f t="shared" si="14"/>
        <v>883.94849785407723</v>
      </c>
      <c r="BD42" s="418">
        <f>+'5_Prioritate-1_Pielikums'!T39</f>
        <v>10.920000000000002</v>
      </c>
      <c r="BE42" s="419">
        <f t="shared" si="15"/>
        <v>35836</v>
      </c>
      <c r="BF42" s="323"/>
      <c r="BG42" s="420">
        <f t="shared" si="16"/>
        <v>10.9</v>
      </c>
      <c r="BH42" s="421">
        <f t="shared" si="17"/>
        <v>46576</v>
      </c>
      <c r="BL42" s="111">
        <f t="shared" si="18"/>
        <v>10.9</v>
      </c>
      <c r="BM42" s="259">
        <f t="shared" si="19"/>
        <v>35829.876844691098</v>
      </c>
      <c r="BN42" s="251">
        <f t="shared" si="20"/>
        <v>34166</v>
      </c>
      <c r="BO42" s="260">
        <f t="shared" si="10"/>
        <v>41994.491104838846</v>
      </c>
    </row>
    <row r="43" spans="1:67" x14ac:dyDescent="0.25">
      <c r="V43" s="435" t="str">
        <f>+'5_Prioritate-1_Pielikums'!F40</f>
        <v>Tilžas ūdensapgādes sistēma Darbnīcas</v>
      </c>
      <c r="W43" s="443">
        <f>+'5_Prioritate-1_Pielikums'!Q40</f>
        <v>20</v>
      </c>
      <c r="X43" s="444">
        <f t="shared" si="14"/>
        <v>441.97424892703862</v>
      </c>
      <c r="BD43" s="418">
        <f>+'5_Prioritate-1_Pielikums'!T40</f>
        <v>9.49</v>
      </c>
      <c r="BE43" s="419">
        <f t="shared" si="15"/>
        <v>35425</v>
      </c>
      <c r="BF43" s="323"/>
      <c r="BG43" s="420">
        <f t="shared" si="16"/>
        <v>9.5</v>
      </c>
      <c r="BH43" s="421">
        <f t="shared" si="17"/>
        <v>29447</v>
      </c>
      <c r="BL43" s="111">
        <f t="shared" si="18"/>
        <v>9.5</v>
      </c>
      <c r="BM43" s="259">
        <f t="shared" si="19"/>
        <v>35427.826916134225</v>
      </c>
      <c r="BN43" s="251">
        <f t="shared" si="20"/>
        <v>33946</v>
      </c>
      <c r="BO43" s="260">
        <f t="shared" si="10"/>
        <v>40064.140985886981</v>
      </c>
    </row>
    <row r="44" spans="1:67" x14ac:dyDescent="0.25">
      <c r="V44" s="435" t="str">
        <f>+'5_Prioritate-1_Pielikums'!F41</f>
        <v>Tilžas ūdensapgādes sistēma Plēsums</v>
      </c>
      <c r="W44" s="443">
        <f>+'5_Prioritate-1_Pielikums'!Q41</f>
        <v>7</v>
      </c>
      <c r="X44" s="444">
        <f t="shared" si="14"/>
        <v>154.6909871244635</v>
      </c>
      <c r="BD44" s="418">
        <f>+'5_Prioritate-1_Pielikums'!T41</f>
        <v>1.6900000000000002</v>
      </c>
      <c r="BE44" s="419">
        <f t="shared" si="15"/>
        <v>33185</v>
      </c>
      <c r="BF44" s="323"/>
      <c r="BG44" s="420">
        <f t="shared" si="16"/>
        <v>1.7</v>
      </c>
      <c r="BH44" s="421">
        <f t="shared" si="17"/>
        <v>18728</v>
      </c>
      <c r="BL44" s="111">
        <f t="shared" si="18"/>
        <v>1.7</v>
      </c>
      <c r="BM44" s="259">
        <f t="shared" si="19"/>
        <v>33187.834457031619</v>
      </c>
      <c r="BN44" s="251">
        <f t="shared" si="20"/>
        <v>32744</v>
      </c>
      <c r="BO44" s="260">
        <f t="shared" si="10"/>
        <v>15902.802884732348</v>
      </c>
    </row>
    <row r="45" spans="1:67" x14ac:dyDescent="0.25">
      <c r="V45" s="435" t="str">
        <f>+'5_Prioritate-1_Pielikums'!F42</f>
        <v>Ūdeņi, Otrie Mežvidi ūdensapgādes sistēma</v>
      </c>
      <c r="W45" s="443">
        <f>+'5_Prioritate-1_Pielikums'!Q42</f>
        <v>25</v>
      </c>
      <c r="X45" s="444">
        <f t="shared" si="14"/>
        <v>552.46781115879821</v>
      </c>
      <c r="BD45" s="418">
        <f>+'5_Prioritate-1_Pielikums'!T42</f>
        <v>16.12</v>
      </c>
      <c r="BE45" s="419">
        <f t="shared" si="15"/>
        <v>37329</v>
      </c>
      <c r="BF45" s="323"/>
      <c r="BG45" s="420">
        <f t="shared" si="16"/>
        <v>16.100000000000001</v>
      </c>
      <c r="BH45" s="421">
        <f t="shared" si="17"/>
        <v>32408</v>
      </c>
      <c r="BL45" s="111">
        <f t="shared" si="18"/>
        <v>16.100000000000001</v>
      </c>
      <c r="BM45" s="259">
        <f t="shared" si="19"/>
        <v>37323.205150759502</v>
      </c>
      <c r="BN45" s="251">
        <f t="shared" si="20"/>
        <v>34997</v>
      </c>
      <c r="BO45" s="260">
        <f t="shared" si="10"/>
        <v>47471.614492411332</v>
      </c>
    </row>
    <row r="46" spans="1:67" x14ac:dyDescent="0.25">
      <c r="V46" s="435" t="str">
        <f>+'5_Prioritate-1_Pielikums'!F43</f>
        <v>Ugāles ūdensapgādes sistēma Kalna skola</v>
      </c>
      <c r="W46" s="443">
        <f>+'5_Prioritate-1_Pielikums'!Q43</f>
        <v>70</v>
      </c>
      <c r="X46" s="444">
        <f t="shared" si="14"/>
        <v>1546.9098712446353</v>
      </c>
      <c r="BD46" s="418">
        <f>+'5_Prioritate-1_Pielikums'!T43</f>
        <v>2.7300000000000004</v>
      </c>
      <c r="BE46" s="419">
        <f t="shared" si="15"/>
        <v>33484</v>
      </c>
      <c r="BF46" s="323"/>
      <c r="BG46" s="420">
        <f t="shared" si="16"/>
        <v>2.7</v>
      </c>
      <c r="BH46" s="421">
        <f t="shared" si="17"/>
        <v>23022</v>
      </c>
      <c r="BL46" s="111">
        <f t="shared" si="18"/>
        <v>2.7</v>
      </c>
      <c r="BM46" s="259">
        <f t="shared" si="19"/>
        <v>33475.012977429389</v>
      </c>
      <c r="BN46" s="251">
        <f t="shared" si="20"/>
        <v>32896</v>
      </c>
      <c r="BO46" s="260">
        <f t="shared" si="10"/>
        <v>22398.903382291908</v>
      </c>
    </row>
    <row r="47" spans="1:67" x14ac:dyDescent="0.25">
      <c r="V47" s="435" t="str">
        <f>+'5_Prioritate-1_Pielikums'!F44</f>
        <v>Ugāles ūdensapgādes sistēma Rīgas adītājs</v>
      </c>
      <c r="W47" s="443">
        <f>+'5_Prioritate-1_Pielikums'!Q44</f>
        <v>429</v>
      </c>
      <c r="X47" s="444">
        <f t="shared" si="14"/>
        <v>9480.3476394849786</v>
      </c>
      <c r="BD47" s="418">
        <f>+'5_Prioritate-1_Pielikums'!T44</f>
        <v>10.4</v>
      </c>
      <c r="BE47" s="419">
        <f t="shared" si="15"/>
        <v>35686</v>
      </c>
      <c r="BF47" s="323"/>
      <c r="BG47" s="420">
        <f t="shared" si="16"/>
        <v>10.4</v>
      </c>
      <c r="BH47" s="421">
        <f t="shared" si="17"/>
        <v>46576</v>
      </c>
      <c r="BL47" s="111">
        <f t="shared" si="18"/>
        <v>10.4</v>
      </c>
      <c r="BM47" s="259">
        <f t="shared" si="19"/>
        <v>35686.287584492216</v>
      </c>
      <c r="BN47" s="251">
        <f t="shared" si="20"/>
        <v>34087</v>
      </c>
      <c r="BO47" s="260">
        <f t="shared" si="10"/>
        <v>41335.127136669114</v>
      </c>
    </row>
    <row r="48" spans="1:67" x14ac:dyDescent="0.25">
      <c r="B48" s="15">
        <v>50</v>
      </c>
      <c r="C48" s="282"/>
      <c r="V48" s="435" t="str">
        <f>+'5_Prioritate-1_Pielikums'!F45</f>
        <v>Ugāles ūdensapgādes sistēma Virpes kalns</v>
      </c>
      <c r="W48" s="443">
        <f>+'5_Prioritate-1_Pielikums'!Q45</f>
        <v>30</v>
      </c>
      <c r="X48" s="444">
        <f t="shared" si="14"/>
        <v>662.96137339055792</v>
      </c>
      <c r="BD48" s="418">
        <f>+'5_Prioritate-1_Pielikums'!T45</f>
        <v>47.45</v>
      </c>
      <c r="BE48" s="419">
        <f t="shared" si="15"/>
        <v>46326</v>
      </c>
      <c r="BF48" s="323"/>
      <c r="BG48" s="420">
        <f t="shared" si="16"/>
        <v>47.5</v>
      </c>
      <c r="BH48" s="421">
        <f t="shared" si="17"/>
        <v>62424</v>
      </c>
      <c r="BL48" s="111">
        <f t="shared" si="18"/>
        <v>47.5</v>
      </c>
      <c r="BM48" s="259">
        <f t="shared" si="19"/>
        <v>46340.610691249472</v>
      </c>
      <c r="BN48" s="251">
        <f t="shared" si="20"/>
        <v>40460</v>
      </c>
      <c r="BO48" s="260">
        <f t="shared" si="10"/>
        <v>62663.662903250704</v>
      </c>
    </row>
    <row r="49" spans="1:67" x14ac:dyDescent="0.25">
      <c r="V49" s="435" t="str">
        <f>+'5_Prioritate-1_Pielikums'!F46</f>
        <v>Vaivodu ūdensapgādes sistēma</v>
      </c>
      <c r="W49" s="443">
        <f>+'5_Prioritate-1_Pielikums'!Q46</f>
        <v>1400</v>
      </c>
      <c r="X49" s="444">
        <f t="shared" si="14"/>
        <v>30938.197424892704</v>
      </c>
      <c r="BD49" s="418">
        <f>+'5_Prioritate-1_Pielikums'!T46</f>
        <v>29.900000000000002</v>
      </c>
      <c r="BE49" s="419">
        <f t="shared" si="15"/>
        <v>41286</v>
      </c>
      <c r="BF49" s="323"/>
      <c r="BG49" s="420">
        <f t="shared" si="16"/>
        <v>29.9</v>
      </c>
      <c r="BH49" s="421">
        <f t="shared" si="17"/>
        <v>78435</v>
      </c>
      <c r="BL49" s="111">
        <f t="shared" si="18"/>
        <v>29.9</v>
      </c>
      <c r="BM49" s="259">
        <f t="shared" si="19"/>
        <v>41286.268732248725</v>
      </c>
      <c r="BN49" s="251">
        <f t="shared" si="20"/>
        <v>37300</v>
      </c>
      <c r="BO49" s="260">
        <f t="shared" si="10"/>
        <v>56164.084111774027</v>
      </c>
    </row>
    <row r="50" spans="1:67" x14ac:dyDescent="0.25">
      <c r="V50" s="435" t="str">
        <f>+'5_Prioritate-1_Pielikums'!F47</f>
        <v>Valdemārpils ūdensapgādes sistēma Parka iela</v>
      </c>
      <c r="W50" s="443">
        <f>+'5_Prioritate-1_Pielikums'!Q47</f>
        <v>25</v>
      </c>
      <c r="X50" s="444">
        <f t="shared" si="14"/>
        <v>552.46781115879821</v>
      </c>
      <c r="BD50" s="418">
        <f>+'5_Prioritate-1_Pielikums'!T47</f>
        <v>188.5</v>
      </c>
      <c r="BE50" s="419">
        <f t="shared" si="15"/>
        <v>86833</v>
      </c>
      <c r="BF50" s="323"/>
      <c r="BG50" s="420">
        <f t="shared" si="16"/>
        <v>188.5</v>
      </c>
      <c r="BH50" s="421">
        <f t="shared" si="17"/>
        <v>112423</v>
      </c>
      <c r="BL50" s="111">
        <f t="shared" si="18"/>
        <v>188.5</v>
      </c>
      <c r="BM50" s="259">
        <f t="shared" si="19"/>
        <v>86832.782067334992</v>
      </c>
      <c r="BN50" s="251">
        <f t="shared" si="20"/>
        <v>77605</v>
      </c>
      <c r="BO50" s="260">
        <f t="shared" si="10"/>
        <v>82018.534732442611</v>
      </c>
    </row>
    <row r="51" spans="1:67" x14ac:dyDescent="0.25">
      <c r="V51" s="435" t="str">
        <f>+'5_Prioritate-1_Pielikums'!F48</f>
        <v>Valmieras pagasta ūdensapgādes sistēma Kalnieši</v>
      </c>
      <c r="W51" s="443">
        <f>+'5_Prioritate-1_Pielikums'!Q48</f>
        <v>30</v>
      </c>
      <c r="X51" s="444">
        <f t="shared" si="14"/>
        <v>662.96137339055792</v>
      </c>
      <c r="BD51" s="418">
        <f>+'5_Prioritate-1_Pielikums'!T48</f>
        <v>3.9000000000000004</v>
      </c>
      <c r="BE51" s="419">
        <f t="shared" si="15"/>
        <v>33820</v>
      </c>
      <c r="BF51" s="323"/>
      <c r="BG51" s="420">
        <f t="shared" si="16"/>
        <v>3.9</v>
      </c>
      <c r="BH51" s="421">
        <f t="shared" si="17"/>
        <v>40016</v>
      </c>
      <c r="BL51" s="111">
        <f t="shared" si="18"/>
        <v>3.9</v>
      </c>
      <c r="BM51" s="259">
        <f t="shared" si="19"/>
        <v>33819.627201906711</v>
      </c>
      <c r="BN51" s="251">
        <f t="shared" si="20"/>
        <v>33079</v>
      </c>
      <c r="BO51" s="260">
        <f t="shared" si="10"/>
        <v>27562.447849460128</v>
      </c>
    </row>
    <row r="52" spans="1:67" x14ac:dyDescent="0.25">
      <c r="V52" s="435" t="str">
        <f>+'5_Prioritate-1_Pielikums'!F49</f>
        <v>Vanagu ūdensapgādes sistēma</v>
      </c>
      <c r="W52" s="443">
        <f>+'5_Prioritate-1_Pielikums'!Q49</f>
        <v>90</v>
      </c>
      <c r="X52" s="444">
        <f t="shared" si="14"/>
        <v>1988.8841201716739</v>
      </c>
      <c r="BD52" s="418">
        <f>+'5_Prioritate-1_Pielikums'!T49</f>
        <v>3.9000000000000004</v>
      </c>
      <c r="BE52" s="419">
        <f t="shared" si="15"/>
        <v>33820</v>
      </c>
      <c r="BF52" s="323"/>
      <c r="BG52" s="420">
        <f t="shared" si="16"/>
        <v>3.9</v>
      </c>
      <c r="BH52" s="421">
        <f t="shared" si="17"/>
        <v>40016</v>
      </c>
      <c r="BL52" s="111">
        <f t="shared" si="18"/>
        <v>3.9</v>
      </c>
      <c r="BM52" s="259">
        <f t="shared" si="19"/>
        <v>33819.627201906711</v>
      </c>
      <c r="BN52" s="251">
        <f t="shared" si="20"/>
        <v>33079</v>
      </c>
      <c r="BO52" s="260">
        <f t="shared" si="10"/>
        <v>27562.447849460128</v>
      </c>
    </row>
    <row r="53" spans="1:67" x14ac:dyDescent="0.25">
      <c r="V53" s="435" t="str">
        <f>+'5_Prioritate-1_Pielikums'!F50</f>
        <v>Vitrupes ūdensapgādes sistēma</v>
      </c>
      <c r="W53" s="443">
        <f>+'5_Prioritate-1_Pielikums'!Q50</f>
        <v>10</v>
      </c>
      <c r="X53" s="444">
        <f t="shared" si="14"/>
        <v>220.98712446351931</v>
      </c>
      <c r="BD53" s="418">
        <f>+'5_Prioritate-1_Pielikums'!T50</f>
        <v>19.5</v>
      </c>
      <c r="BE53" s="419">
        <f t="shared" si="15"/>
        <v>38300</v>
      </c>
      <c r="BF53" s="323"/>
      <c r="BG53" s="420">
        <f t="shared" si="16"/>
        <v>19.5</v>
      </c>
      <c r="BH53" s="421">
        <f t="shared" si="17"/>
        <v>78435</v>
      </c>
      <c r="BL53" s="111">
        <f t="shared" si="18"/>
        <v>19.5</v>
      </c>
      <c r="BM53" s="259">
        <f t="shared" si="19"/>
        <v>38299.612120111917</v>
      </c>
      <c r="BN53" s="251">
        <f t="shared" si="20"/>
        <v>35551</v>
      </c>
      <c r="BO53" s="260">
        <f t="shared" si="10"/>
        <v>50161.969766823859</v>
      </c>
    </row>
    <row r="54" spans="1:67" x14ac:dyDescent="0.25">
      <c r="V54" s="435" t="str">
        <f>+'5_Prioritate-1_Pielikums'!F51</f>
        <v>Zaņas ūdensapgādes sistēma Brīniņi</v>
      </c>
      <c r="W54" s="443">
        <f>+'5_Prioritate-1_Pielikums'!Q51</f>
        <v>120</v>
      </c>
      <c r="X54" s="444">
        <f t="shared" si="14"/>
        <v>2651.8454935622317</v>
      </c>
      <c r="BD54" s="418">
        <f>+'5_Prioritate-1_Pielikums'!T51</f>
        <v>2.6</v>
      </c>
      <c r="BE54" s="419">
        <f t="shared" si="15"/>
        <v>33446</v>
      </c>
      <c r="BF54" s="323"/>
      <c r="BG54" s="420">
        <f t="shared" si="16"/>
        <v>2.6</v>
      </c>
      <c r="BH54" s="421">
        <f t="shared" si="17"/>
        <v>23022</v>
      </c>
      <c r="BL54" s="111">
        <f t="shared" si="18"/>
        <v>2.6</v>
      </c>
      <c r="BM54" s="259">
        <f t="shared" si="19"/>
        <v>33446.29512538961</v>
      </c>
      <c r="BN54" s="251">
        <f t="shared" si="20"/>
        <v>32881</v>
      </c>
      <c r="BO54" s="260">
        <f t="shared" si="10"/>
        <v>21868.958509720273</v>
      </c>
    </row>
    <row r="55" spans="1:67" x14ac:dyDescent="0.25">
      <c r="V55" s="435" t="str">
        <f>+'5_Prioritate-1_Pielikums'!F52</f>
        <v>Zaņas ūdensapgādes sistēma Bumbieri</v>
      </c>
      <c r="W55" s="443">
        <f>+'5_Prioritate-1_Pielikums'!Q52</f>
        <v>13</v>
      </c>
      <c r="X55" s="444">
        <f t="shared" si="14"/>
        <v>287.28326180257511</v>
      </c>
      <c r="BD55" s="418">
        <f>+'5_Prioritate-1_Pielikums'!T52</f>
        <v>41.47</v>
      </c>
      <c r="BE55" s="419">
        <f t="shared" si="15"/>
        <v>44609</v>
      </c>
      <c r="BF55" s="323"/>
      <c r="BG55" s="420">
        <f t="shared" si="16"/>
        <v>41.5</v>
      </c>
      <c r="BH55" s="421">
        <f t="shared" si="17"/>
        <v>46050</v>
      </c>
      <c r="BL55" s="111">
        <f t="shared" si="18"/>
        <v>41.5</v>
      </c>
      <c r="BM55" s="259">
        <f t="shared" si="19"/>
        <v>44617.539568862849</v>
      </c>
      <c r="BN55" s="251">
        <f t="shared" si="20"/>
        <v>39354</v>
      </c>
      <c r="BO55" s="260">
        <f t="shared" si="10"/>
        <v>60767.500627036454</v>
      </c>
    </row>
    <row r="56" spans="1:67" x14ac:dyDescent="0.25">
      <c r="V56" s="435" t="str">
        <f>+'5_Prioritate-1_Pielikums'!F53</f>
        <v>Zaņas ūdensapgādes sistēma Zaņas muiža</v>
      </c>
      <c r="W56" s="443">
        <f>+'5_Prioritate-1_Pielikums'!Q53</f>
        <v>200</v>
      </c>
      <c r="X56" s="444">
        <f t="shared" si="14"/>
        <v>4419.7424892703857</v>
      </c>
      <c r="BD56" s="418">
        <f>+'5_Prioritate-1_Pielikums'!T53</f>
        <v>4.03</v>
      </c>
      <c r="BE56" s="419">
        <f t="shared" si="15"/>
        <v>33857</v>
      </c>
      <c r="BF56" s="323"/>
      <c r="BG56" s="420">
        <f t="shared" si="16"/>
        <v>4</v>
      </c>
      <c r="BH56" s="421">
        <f t="shared" si="17"/>
        <v>40016</v>
      </c>
      <c r="BL56" s="111">
        <f t="shared" si="18"/>
        <v>4</v>
      </c>
      <c r="BM56" s="259">
        <f t="shared" si="19"/>
        <v>33848.34505394649</v>
      </c>
      <c r="BN56" s="251">
        <f t="shared" si="20"/>
        <v>33094</v>
      </c>
      <c r="BO56" s="260">
        <f t="shared" si="10"/>
        <v>27917.957280436076</v>
      </c>
    </row>
    <row r="57" spans="1:67" x14ac:dyDescent="0.25">
      <c r="V57" s="435" t="str">
        <f>+'5_Prioritate-1_Pielikums'!F54</f>
        <v>Zaubes ūdensapgādes sistēma Centrs</v>
      </c>
      <c r="W57" s="443">
        <f>+'5_Prioritate-1_Pielikums'!Q54</f>
        <v>57</v>
      </c>
      <c r="X57" s="444">
        <f t="shared" si="14"/>
        <v>1259.6266094420603</v>
      </c>
      <c r="BD57" s="418">
        <f>+'5_Prioritate-1_Pielikums'!T54</f>
        <v>52</v>
      </c>
      <c r="BE57" s="419">
        <f t="shared" si="15"/>
        <v>47633</v>
      </c>
      <c r="BF57" s="323"/>
      <c r="BG57" s="420">
        <f t="shared" si="16"/>
        <v>52</v>
      </c>
      <c r="BH57" s="421">
        <f t="shared" si="17"/>
        <v>46050</v>
      </c>
      <c r="BL57" s="111">
        <f t="shared" si="18"/>
        <v>52</v>
      </c>
      <c r="BM57" s="259">
        <f t="shared" si="19"/>
        <v>47632.914033039429</v>
      </c>
      <c r="BN57" s="251">
        <f t="shared" si="20"/>
        <v>41309</v>
      </c>
      <c r="BO57" s="260">
        <f t="shared" si="10"/>
        <v>63934.649054032852</v>
      </c>
    </row>
    <row r="58" spans="1:67" ht="15.75" thickBot="1" x14ac:dyDescent="0.3">
      <c r="V58" s="437" t="str">
        <f>+'5_Prioritate-1_Pielikums'!F55</f>
        <v>Zosnas ūdensapgādes sistēma</v>
      </c>
      <c r="W58" s="447">
        <f>+'5_Prioritate-1_Pielikums'!Q55</f>
        <v>57</v>
      </c>
      <c r="X58" s="444">
        <f t="shared" si="14"/>
        <v>1259.6266094420603</v>
      </c>
      <c r="BD58" s="426">
        <f>+'5_Prioritate-1_Pielikums'!T55</f>
        <v>11.700000000000001</v>
      </c>
      <c r="BE58" s="427">
        <f t="shared" si="15"/>
        <v>36060</v>
      </c>
      <c r="BF58" s="428"/>
      <c r="BG58" s="429">
        <f t="shared" si="16"/>
        <v>11.7</v>
      </c>
      <c r="BH58" s="430">
        <f t="shared" si="17"/>
        <v>46576</v>
      </c>
      <c r="BL58" s="111">
        <f t="shared" si="18"/>
        <v>11.7</v>
      </c>
      <c r="BM58" s="259">
        <f t="shared" si="19"/>
        <v>36059.619661009317</v>
      </c>
      <c r="BN58" s="251">
        <f t="shared" si="20"/>
        <v>34293</v>
      </c>
      <c r="BO58" s="260">
        <f t="shared" si="10"/>
        <v>42989.021502674404</v>
      </c>
    </row>
    <row r="59" spans="1:67" ht="15.75" thickBot="1" x14ac:dyDescent="0.3">
      <c r="V59" s="438"/>
      <c r="W59" s="442" t="s">
        <v>498</v>
      </c>
      <c r="X59" s="425">
        <f>SUM(X8:X58)</f>
        <v>128614.50643776818</v>
      </c>
      <c r="BD59" s="439"/>
      <c r="BE59" s="440">
        <f>SUM(BE8:BE58)</f>
        <v>1977152</v>
      </c>
      <c r="BF59" s="441"/>
      <c r="BG59" s="439"/>
      <c r="BH59" s="440">
        <f>SUM(BH8:BH58)</f>
        <v>2323930</v>
      </c>
      <c r="BL59" s="109" t="s">
        <v>405</v>
      </c>
      <c r="BM59" s="108">
        <f>+STDEVP(BM8:BM12)</f>
        <v>8477.1869374367125</v>
      </c>
      <c r="BN59" s="253">
        <f>+STDEVP(BN8:BN12)</f>
        <v>5482.5563964267621</v>
      </c>
      <c r="BO59" s="108">
        <f>+STDEVP(BO8:BO12)</f>
        <v>14954.957731737812</v>
      </c>
    </row>
    <row r="60" spans="1:67" x14ac:dyDescent="0.25">
      <c r="W60" s="16"/>
      <c r="BL60" s="109" t="s">
        <v>406</v>
      </c>
      <c r="BM60" s="110" t="e">
        <f>+BM59/#REF!</f>
        <v>#REF!</v>
      </c>
      <c r="BN60" s="254" t="e">
        <f>+BN59/#REF!</f>
        <v>#REF!</v>
      </c>
      <c r="BO60" s="110" t="e">
        <f>+BO59/#REF!</f>
        <v>#REF!</v>
      </c>
    </row>
    <row r="62" spans="1:67" s="255" customFormat="1" x14ac:dyDescent="0.25">
      <c r="A62" s="12"/>
      <c r="B62" s="12"/>
      <c r="C62" s="279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27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03">
        <v>1378143</v>
      </c>
      <c r="BI62" s="12"/>
      <c r="BJ62" s="12"/>
      <c r="BK62" s="12"/>
      <c r="BL62" s="105"/>
      <c r="BM62" s="105"/>
      <c r="BO62" s="105"/>
    </row>
    <row r="63" spans="1:67" s="255" customFormat="1" x14ac:dyDescent="0.25">
      <c r="A63" s="12"/>
      <c r="B63" s="12"/>
      <c r="C63" s="279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27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04">
        <f>+BH59/BH62</f>
        <v>1.6862763878639591</v>
      </c>
      <c r="BI63" s="12"/>
      <c r="BJ63" s="12"/>
      <c r="BK63" s="12"/>
      <c r="BL63" s="105"/>
      <c r="BM63" s="105"/>
      <c r="BO63" s="105"/>
    </row>
    <row r="64" spans="1:67" s="255" customFormat="1" x14ac:dyDescent="0.25">
      <c r="A64" s="12"/>
      <c r="B64" s="12"/>
      <c r="C64" s="279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27"/>
      <c r="BL64" s="247"/>
      <c r="BM64" s="248"/>
      <c r="BO64" s="105"/>
    </row>
    <row r="65" spans="1:67" s="255" customFormat="1" x14ac:dyDescent="0.25">
      <c r="A65" s="12"/>
      <c r="B65" s="12"/>
      <c r="C65" s="279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27"/>
      <c r="BL65" s="247"/>
      <c r="BM65" s="248"/>
      <c r="BO65" s="105"/>
    </row>
    <row r="66" spans="1:67" s="255" customFormat="1" x14ac:dyDescent="0.25">
      <c r="A66" s="12"/>
      <c r="B66" s="12"/>
      <c r="C66" s="279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27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27"/>
      <c r="BL66" s="247"/>
      <c r="BM66" s="248"/>
      <c r="BO66" s="105"/>
    </row>
    <row r="67" spans="1:67" s="255" customFormat="1" x14ac:dyDescent="0.25">
      <c r="A67" s="12"/>
      <c r="B67" s="12"/>
      <c r="C67" s="279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27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27"/>
      <c r="BL67" s="247"/>
      <c r="BM67" s="248"/>
      <c r="BO67" s="105"/>
    </row>
    <row r="68" spans="1:67" s="255" customFormat="1" x14ac:dyDescent="0.25">
      <c r="A68" s="12"/>
      <c r="B68" s="12"/>
      <c r="C68" s="279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27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27"/>
      <c r="BL68" s="247"/>
      <c r="BM68" s="248"/>
      <c r="BO68" s="105"/>
    </row>
    <row r="69" spans="1:67" s="255" customFormat="1" x14ac:dyDescent="0.25">
      <c r="A69" s="12"/>
      <c r="B69" s="12"/>
      <c r="C69" s="279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27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27"/>
      <c r="BL69" s="247"/>
      <c r="BM69" s="248"/>
      <c r="BO69" s="105"/>
    </row>
    <row r="70" spans="1:67" s="255" customFormat="1" x14ac:dyDescent="0.25">
      <c r="A70" s="12"/>
      <c r="B70" s="12"/>
      <c r="C70" s="279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27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27"/>
      <c r="BL70" s="247"/>
      <c r="BM70" s="248"/>
      <c r="BO70" s="105"/>
    </row>
    <row r="71" spans="1:67" s="255" customFormat="1" x14ac:dyDescent="0.25">
      <c r="A71" s="12"/>
      <c r="B71" s="12"/>
      <c r="C71" s="279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27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27"/>
      <c r="BL71" s="247"/>
      <c r="BM71" s="248"/>
      <c r="BO71" s="105"/>
    </row>
    <row r="72" spans="1:67" s="255" customFormat="1" x14ac:dyDescent="0.25">
      <c r="A72" s="12"/>
      <c r="B72" s="12"/>
      <c r="C72" s="279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27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27"/>
      <c r="BL72" s="247"/>
      <c r="BM72" s="248"/>
      <c r="BO72" s="105"/>
    </row>
    <row r="73" spans="1:67" s="255" customFormat="1" x14ac:dyDescent="0.25">
      <c r="A73" s="12"/>
      <c r="B73" s="12"/>
      <c r="C73" s="279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27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27"/>
      <c r="BL73" s="247"/>
      <c r="BM73" s="248"/>
      <c r="BO73" s="105"/>
    </row>
    <row r="74" spans="1:67" s="255" customFormat="1" x14ac:dyDescent="0.25">
      <c r="A74" s="12"/>
      <c r="B74" s="12"/>
      <c r="C74" s="279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27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27"/>
      <c r="BL74" s="247"/>
      <c r="BM74" s="248"/>
      <c r="BO74" s="105"/>
    </row>
    <row r="75" spans="1:67" s="255" customFormat="1" x14ac:dyDescent="0.25">
      <c r="A75" s="12"/>
      <c r="B75" s="12"/>
      <c r="C75" s="279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27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27"/>
      <c r="BL75" s="247"/>
      <c r="BM75" s="248"/>
      <c r="BO75" s="105"/>
    </row>
    <row r="76" spans="1:67" s="255" customFormat="1" x14ac:dyDescent="0.25">
      <c r="A76" s="12"/>
      <c r="B76" s="12"/>
      <c r="C76" s="279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27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27"/>
      <c r="BL76" s="247"/>
      <c r="BM76" s="248"/>
      <c r="BO76" s="105"/>
    </row>
    <row r="77" spans="1:67" s="255" customFormat="1" x14ac:dyDescent="0.25">
      <c r="A77" s="12"/>
      <c r="B77" s="12"/>
      <c r="C77" s="279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27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27"/>
      <c r="BL77" s="247"/>
      <c r="BM77" s="248"/>
      <c r="BO77" s="105"/>
    </row>
    <row r="78" spans="1:67" s="255" customFormat="1" x14ac:dyDescent="0.25">
      <c r="A78" s="12"/>
      <c r="B78" s="12"/>
      <c r="C78" s="279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27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27"/>
      <c r="BL78" s="247"/>
      <c r="BM78" s="248"/>
      <c r="BO78" s="105"/>
    </row>
    <row r="79" spans="1:67" s="255" customFormat="1" x14ac:dyDescent="0.25">
      <c r="A79" s="12"/>
      <c r="B79" s="12"/>
      <c r="C79" s="279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27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27"/>
      <c r="BL79" s="247"/>
      <c r="BM79" s="248"/>
      <c r="BO79" s="105"/>
    </row>
    <row r="80" spans="1:67" s="255" customFormat="1" x14ac:dyDescent="0.25">
      <c r="A80" s="12"/>
      <c r="B80" s="12"/>
      <c r="C80" s="279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27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27"/>
      <c r="BL80" s="247"/>
      <c r="BM80" s="248"/>
      <c r="BO80" s="105"/>
    </row>
    <row r="81" spans="1:67" s="255" customFormat="1" x14ac:dyDescent="0.25">
      <c r="A81" s="12"/>
      <c r="B81" s="12"/>
      <c r="C81" s="279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27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27"/>
      <c r="BL81" s="247"/>
      <c r="BM81" s="248"/>
      <c r="BO81" s="105"/>
    </row>
    <row r="82" spans="1:67" s="255" customFormat="1" x14ac:dyDescent="0.25">
      <c r="A82" s="12"/>
      <c r="B82" s="12"/>
      <c r="C82" s="279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27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27"/>
      <c r="BL82" s="247"/>
      <c r="BM82" s="248"/>
      <c r="BO82" s="105"/>
    </row>
    <row r="83" spans="1:67" s="255" customFormat="1" x14ac:dyDescent="0.25">
      <c r="A83" s="12"/>
      <c r="B83" s="12"/>
      <c r="C83" s="279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27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27"/>
      <c r="BL83" s="247"/>
      <c r="BM83" s="248"/>
      <c r="BO83" s="105"/>
    </row>
    <row r="84" spans="1:67" s="255" customFormat="1" x14ac:dyDescent="0.25">
      <c r="A84" s="12"/>
      <c r="B84" s="12"/>
      <c r="C84" s="279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27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27"/>
      <c r="BL84" s="247"/>
      <c r="BM84" s="248"/>
      <c r="BO84" s="105"/>
    </row>
    <row r="85" spans="1:67" s="255" customFormat="1" x14ac:dyDescent="0.25">
      <c r="A85" s="12"/>
      <c r="B85" s="12"/>
      <c r="C85" s="279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27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27"/>
      <c r="BL85" s="247"/>
      <c r="BM85" s="248"/>
      <c r="BO85" s="105"/>
    </row>
    <row r="86" spans="1:67" s="255" customFormat="1" x14ac:dyDescent="0.25">
      <c r="A86" s="12"/>
      <c r="B86" s="12"/>
      <c r="C86" s="279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27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27"/>
      <c r="BL86" s="247"/>
      <c r="BM86" s="248"/>
      <c r="BO86" s="105"/>
    </row>
    <row r="87" spans="1:67" s="255" customFormat="1" x14ac:dyDescent="0.25">
      <c r="A87" s="12"/>
      <c r="B87" s="12"/>
      <c r="C87" s="279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27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27"/>
      <c r="BL87" s="247"/>
      <c r="BM87" s="248"/>
      <c r="BO87" s="105"/>
    </row>
    <row r="88" spans="1:67" s="255" customFormat="1" x14ac:dyDescent="0.25">
      <c r="A88" s="12"/>
      <c r="B88" s="12"/>
      <c r="C88" s="279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27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27"/>
      <c r="BL88" s="247"/>
      <c r="BM88" s="248"/>
      <c r="BO88" s="105"/>
    </row>
    <row r="89" spans="1:67" s="255" customFormat="1" x14ac:dyDescent="0.25">
      <c r="A89" s="12"/>
      <c r="B89" s="12"/>
      <c r="C89" s="279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27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27"/>
      <c r="BL89" s="247"/>
      <c r="BM89" s="248"/>
      <c r="BO89" s="105"/>
    </row>
    <row r="90" spans="1:67" s="255" customFormat="1" x14ac:dyDescent="0.25">
      <c r="A90" s="12"/>
      <c r="B90" s="12"/>
      <c r="C90" s="279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27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27"/>
      <c r="BL90" s="247"/>
      <c r="BM90" s="248"/>
      <c r="BO90" s="105"/>
    </row>
    <row r="91" spans="1:67" s="255" customFormat="1" x14ac:dyDescent="0.25">
      <c r="A91" s="12"/>
      <c r="B91" s="12"/>
      <c r="C91" s="279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27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27"/>
      <c r="BL91" s="247"/>
      <c r="BM91" s="248"/>
      <c r="BO91" s="105"/>
    </row>
    <row r="92" spans="1:67" s="255" customFormat="1" x14ac:dyDescent="0.25">
      <c r="A92" s="12"/>
      <c r="B92" s="12"/>
      <c r="C92" s="279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27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27"/>
      <c r="BL92" s="247"/>
      <c r="BM92" s="248"/>
      <c r="BO92" s="105"/>
    </row>
    <row r="93" spans="1:67" s="255" customFormat="1" x14ac:dyDescent="0.25">
      <c r="A93" s="12"/>
      <c r="B93" s="12"/>
      <c r="C93" s="279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27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27"/>
      <c r="BL93" s="247"/>
      <c r="BM93" s="248"/>
      <c r="BO93" s="105"/>
    </row>
    <row r="94" spans="1:67" s="255" customFormat="1" x14ac:dyDescent="0.25">
      <c r="A94" s="12"/>
      <c r="B94" s="12"/>
      <c r="C94" s="279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27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27"/>
      <c r="BL94" s="247"/>
      <c r="BM94" s="248"/>
      <c r="BO94" s="105"/>
    </row>
    <row r="95" spans="1:67" s="255" customFormat="1" x14ac:dyDescent="0.25">
      <c r="A95" s="12"/>
      <c r="B95" s="12"/>
      <c r="C95" s="279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27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27"/>
      <c r="BL95" s="247"/>
      <c r="BM95" s="248"/>
      <c r="BO95" s="105"/>
    </row>
    <row r="96" spans="1:67" s="255" customFormat="1" x14ac:dyDescent="0.25">
      <c r="A96" s="12"/>
      <c r="B96" s="12"/>
      <c r="C96" s="279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27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27"/>
      <c r="BL96" s="247"/>
      <c r="BM96" s="248"/>
      <c r="BO96" s="105"/>
    </row>
    <row r="97" spans="1:67" s="255" customFormat="1" x14ac:dyDescent="0.25">
      <c r="A97" s="12"/>
      <c r="B97" s="12"/>
      <c r="C97" s="279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27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27"/>
      <c r="BL97" s="247"/>
      <c r="BM97" s="248"/>
      <c r="BO97" s="105"/>
    </row>
    <row r="98" spans="1:67" s="255" customFormat="1" x14ac:dyDescent="0.25">
      <c r="A98" s="12"/>
      <c r="B98" s="12"/>
      <c r="C98" s="279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27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27"/>
      <c r="BL98" s="247"/>
      <c r="BM98" s="248"/>
      <c r="BO98" s="105"/>
    </row>
    <row r="99" spans="1:67" s="255" customFormat="1" x14ac:dyDescent="0.25">
      <c r="A99" s="12"/>
      <c r="B99" s="12"/>
      <c r="C99" s="279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27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27"/>
      <c r="BL99" s="247"/>
      <c r="BM99" s="248"/>
      <c r="BO99" s="105"/>
    </row>
    <row r="100" spans="1:67" s="255" customFormat="1" x14ac:dyDescent="0.25">
      <c r="A100" s="12"/>
      <c r="B100" s="12"/>
      <c r="C100" s="279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27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27"/>
      <c r="BL100" s="247"/>
      <c r="BM100" s="248"/>
      <c r="BO100" s="105"/>
    </row>
    <row r="101" spans="1:67" s="255" customFormat="1" x14ac:dyDescent="0.25">
      <c r="A101" s="12"/>
      <c r="B101" s="12"/>
      <c r="C101" s="279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27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27"/>
      <c r="BL101" s="247"/>
      <c r="BM101" s="248"/>
      <c r="BO101" s="105"/>
    </row>
    <row r="102" spans="1:67" s="255" customFormat="1" x14ac:dyDescent="0.25">
      <c r="A102" s="12"/>
      <c r="B102" s="12"/>
      <c r="C102" s="279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27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27"/>
      <c r="BL102" s="247"/>
      <c r="BM102" s="248"/>
      <c r="BO102" s="105"/>
    </row>
    <row r="103" spans="1:67" s="255" customFormat="1" x14ac:dyDescent="0.25">
      <c r="A103" s="12"/>
      <c r="B103" s="12"/>
      <c r="C103" s="279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27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27"/>
      <c r="BL103" s="247"/>
      <c r="BM103" s="248"/>
      <c r="BO103" s="105"/>
    </row>
    <row r="104" spans="1:67" s="255" customFormat="1" x14ac:dyDescent="0.25">
      <c r="A104" s="12"/>
      <c r="B104" s="12"/>
      <c r="C104" s="279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27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27"/>
      <c r="BL104" s="247"/>
      <c r="BM104" s="248"/>
      <c r="BO104" s="105"/>
    </row>
    <row r="105" spans="1:67" s="255" customFormat="1" x14ac:dyDescent="0.25">
      <c r="A105" s="12"/>
      <c r="B105" s="12"/>
      <c r="C105" s="279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27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27"/>
      <c r="BL105" s="247"/>
      <c r="BM105" s="248"/>
      <c r="BO105" s="105"/>
    </row>
    <row r="106" spans="1:67" s="255" customFormat="1" x14ac:dyDescent="0.25">
      <c r="A106" s="12"/>
      <c r="B106" s="12"/>
      <c r="C106" s="279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27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27"/>
      <c r="BL106" s="247"/>
      <c r="BM106" s="248"/>
      <c r="BO106" s="105"/>
    </row>
    <row r="107" spans="1:67" s="255" customFormat="1" x14ac:dyDescent="0.25">
      <c r="A107" s="12"/>
      <c r="B107" s="12"/>
      <c r="C107" s="279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27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27"/>
      <c r="BL107" s="247"/>
      <c r="BM107" s="248"/>
      <c r="BO107" s="105"/>
    </row>
    <row r="108" spans="1:67" s="255" customFormat="1" x14ac:dyDescent="0.25">
      <c r="A108" s="12"/>
      <c r="B108" s="12"/>
      <c r="C108" s="279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27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27"/>
      <c r="BL108" s="247"/>
      <c r="BM108" s="248"/>
      <c r="BO108" s="105"/>
    </row>
    <row r="109" spans="1:67" s="255" customFormat="1" x14ac:dyDescent="0.25">
      <c r="A109" s="12"/>
      <c r="B109" s="12"/>
      <c r="C109" s="279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27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27"/>
      <c r="BL109" s="247"/>
      <c r="BM109" s="248"/>
      <c r="BO109" s="105"/>
    </row>
    <row r="110" spans="1:67" s="255" customFormat="1" x14ac:dyDescent="0.25">
      <c r="A110" s="12"/>
      <c r="B110" s="12"/>
      <c r="C110" s="279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27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27"/>
      <c r="BL110" s="247"/>
      <c r="BM110" s="248"/>
      <c r="BO110" s="105"/>
    </row>
    <row r="111" spans="1:67" s="255" customFormat="1" x14ac:dyDescent="0.25">
      <c r="A111" s="12"/>
      <c r="B111" s="12"/>
      <c r="C111" s="279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27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27"/>
      <c r="BL111" s="247"/>
      <c r="BM111" s="248"/>
      <c r="BO111" s="105"/>
    </row>
    <row r="112" spans="1:67" s="255" customFormat="1" x14ac:dyDescent="0.25">
      <c r="A112" s="12"/>
      <c r="B112" s="12"/>
      <c r="C112" s="279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27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27"/>
      <c r="BL112" s="247"/>
      <c r="BM112" s="248"/>
      <c r="BO112" s="105"/>
    </row>
    <row r="113" spans="1:67" s="255" customFormat="1" x14ac:dyDescent="0.25">
      <c r="A113" s="12"/>
      <c r="B113" s="12"/>
      <c r="C113" s="279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27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27"/>
      <c r="BL113" s="247"/>
      <c r="BM113" s="248"/>
      <c r="BO113" s="105"/>
    </row>
    <row r="114" spans="1:67" s="255" customFormat="1" x14ac:dyDescent="0.25">
      <c r="A114" s="12"/>
      <c r="B114" s="12"/>
      <c r="C114" s="279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27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27"/>
      <c r="BL114" s="247"/>
      <c r="BM114" s="248"/>
      <c r="BO114" s="105"/>
    </row>
    <row r="115" spans="1:67" s="255" customFormat="1" x14ac:dyDescent="0.25">
      <c r="A115" s="12"/>
      <c r="B115" s="12"/>
      <c r="C115" s="279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27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27"/>
      <c r="BL115" s="247"/>
      <c r="BM115" s="248"/>
      <c r="BO115" s="105"/>
    </row>
  </sheetData>
  <pageMargins left="0.96" right="0.17" top="0.75" bottom="0.59" header="0.3" footer="0.16"/>
  <pageSetup paperSize="9" scale="85" orientation="portrait" r:id="rId1"/>
  <headerFooter>
    <oddFooter>&amp;C&amp;A&amp;RLapa &amp;P no &amp;N</oddFooter>
  </headerFooter>
  <rowBreaks count="1" manualBreakCount="1">
    <brk id="42" min="21" max="24" man="1"/>
  </rowBreaks>
  <colBreaks count="1" manualBreakCount="1">
    <brk id="20" min="2" max="5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2"/>
  <sheetViews>
    <sheetView view="pageBreakPreview" zoomScale="70" zoomScaleNormal="70" zoomScaleSheetLayoutView="70" workbookViewId="0">
      <selection activeCell="H3" sqref="H3"/>
    </sheetView>
  </sheetViews>
  <sheetFormatPr defaultColWidth="9.7109375" defaultRowHeight="12.75" outlineLevelCol="1" x14ac:dyDescent="0.25"/>
  <cols>
    <col min="1" max="1" width="60.5703125" style="38" customWidth="1"/>
    <col min="2" max="2" width="11.85546875" style="38" customWidth="1"/>
    <col min="3" max="3" width="12.140625" style="38" customWidth="1"/>
    <col min="4" max="4" width="12" style="38" customWidth="1"/>
    <col min="5" max="13" width="9.7109375" style="38" customWidth="1"/>
    <col min="14" max="15" width="9.7109375" style="38" hidden="1" customWidth="1" outlineLevel="1"/>
    <col min="16" max="17" width="8.7109375" style="38" hidden="1" customWidth="1" outlineLevel="1"/>
    <col min="18" max="18" width="8.7109375" style="38" customWidth="1" collapsed="1"/>
    <col min="19" max="22" width="8.7109375" style="38" hidden="1" customWidth="1" outlineLevel="1"/>
    <col min="23" max="23" width="8.7109375" style="38" customWidth="1" collapsed="1"/>
    <col min="24" max="26" width="9" style="38" hidden="1" customWidth="1" outlineLevel="1"/>
    <col min="27" max="27" width="9.5703125" style="38" hidden="1" customWidth="1" outlineLevel="1"/>
    <col min="28" max="28" width="9.5703125" style="38" customWidth="1" collapsed="1"/>
    <col min="29" max="33" width="9.5703125" style="38" customWidth="1"/>
    <col min="34" max="256" width="9.7109375" style="38"/>
    <col min="257" max="257" width="60.5703125" style="38" customWidth="1"/>
    <col min="258" max="258" width="11.85546875" style="38" customWidth="1"/>
    <col min="259" max="259" width="12.140625" style="38" customWidth="1"/>
    <col min="260" max="260" width="12" style="38" customWidth="1"/>
    <col min="261" max="271" width="9.7109375" style="38" customWidth="1"/>
    <col min="272" max="279" width="8.7109375" style="38" customWidth="1"/>
    <col min="280" max="282" width="9" style="38" customWidth="1"/>
    <col min="283" max="289" width="9.5703125" style="38" customWidth="1"/>
    <col min="290" max="512" width="9.7109375" style="38"/>
    <col min="513" max="513" width="60.5703125" style="38" customWidth="1"/>
    <col min="514" max="514" width="11.85546875" style="38" customWidth="1"/>
    <col min="515" max="515" width="12.140625" style="38" customWidth="1"/>
    <col min="516" max="516" width="12" style="38" customWidth="1"/>
    <col min="517" max="527" width="9.7109375" style="38" customWidth="1"/>
    <col min="528" max="535" width="8.7109375" style="38" customWidth="1"/>
    <col min="536" max="538" width="9" style="38" customWidth="1"/>
    <col min="539" max="545" width="9.5703125" style="38" customWidth="1"/>
    <col min="546" max="768" width="9.7109375" style="38"/>
    <col min="769" max="769" width="60.5703125" style="38" customWidth="1"/>
    <col min="770" max="770" width="11.85546875" style="38" customWidth="1"/>
    <col min="771" max="771" width="12.140625" style="38" customWidth="1"/>
    <col min="772" max="772" width="12" style="38" customWidth="1"/>
    <col min="773" max="783" width="9.7109375" style="38" customWidth="1"/>
    <col min="784" max="791" width="8.7109375" style="38" customWidth="1"/>
    <col min="792" max="794" width="9" style="38" customWidth="1"/>
    <col min="795" max="801" width="9.5703125" style="38" customWidth="1"/>
    <col min="802" max="1024" width="9.7109375" style="38"/>
    <col min="1025" max="1025" width="60.5703125" style="38" customWidth="1"/>
    <col min="1026" max="1026" width="11.85546875" style="38" customWidth="1"/>
    <col min="1027" max="1027" width="12.140625" style="38" customWidth="1"/>
    <col min="1028" max="1028" width="12" style="38" customWidth="1"/>
    <col min="1029" max="1039" width="9.7109375" style="38" customWidth="1"/>
    <col min="1040" max="1047" width="8.7109375" style="38" customWidth="1"/>
    <col min="1048" max="1050" width="9" style="38" customWidth="1"/>
    <col min="1051" max="1057" width="9.5703125" style="38" customWidth="1"/>
    <col min="1058" max="1280" width="9.7109375" style="38"/>
    <col min="1281" max="1281" width="60.5703125" style="38" customWidth="1"/>
    <col min="1282" max="1282" width="11.85546875" style="38" customWidth="1"/>
    <col min="1283" max="1283" width="12.140625" style="38" customWidth="1"/>
    <col min="1284" max="1284" width="12" style="38" customWidth="1"/>
    <col min="1285" max="1295" width="9.7109375" style="38" customWidth="1"/>
    <col min="1296" max="1303" width="8.7109375" style="38" customWidth="1"/>
    <col min="1304" max="1306" width="9" style="38" customWidth="1"/>
    <col min="1307" max="1313" width="9.5703125" style="38" customWidth="1"/>
    <col min="1314" max="1536" width="9.7109375" style="38"/>
    <col min="1537" max="1537" width="60.5703125" style="38" customWidth="1"/>
    <col min="1538" max="1538" width="11.85546875" style="38" customWidth="1"/>
    <col min="1539" max="1539" width="12.140625" style="38" customWidth="1"/>
    <col min="1540" max="1540" width="12" style="38" customWidth="1"/>
    <col min="1541" max="1551" width="9.7109375" style="38" customWidth="1"/>
    <col min="1552" max="1559" width="8.7109375" style="38" customWidth="1"/>
    <col min="1560" max="1562" width="9" style="38" customWidth="1"/>
    <col min="1563" max="1569" width="9.5703125" style="38" customWidth="1"/>
    <col min="1570" max="1792" width="9.7109375" style="38"/>
    <col min="1793" max="1793" width="60.5703125" style="38" customWidth="1"/>
    <col min="1794" max="1794" width="11.85546875" style="38" customWidth="1"/>
    <col min="1795" max="1795" width="12.140625" style="38" customWidth="1"/>
    <col min="1796" max="1796" width="12" style="38" customWidth="1"/>
    <col min="1797" max="1807" width="9.7109375" style="38" customWidth="1"/>
    <col min="1808" max="1815" width="8.7109375" style="38" customWidth="1"/>
    <col min="1816" max="1818" width="9" style="38" customWidth="1"/>
    <col min="1819" max="1825" width="9.5703125" style="38" customWidth="1"/>
    <col min="1826" max="2048" width="9.7109375" style="38"/>
    <col min="2049" max="2049" width="60.5703125" style="38" customWidth="1"/>
    <col min="2050" max="2050" width="11.85546875" style="38" customWidth="1"/>
    <col min="2051" max="2051" width="12.140625" style="38" customWidth="1"/>
    <col min="2052" max="2052" width="12" style="38" customWidth="1"/>
    <col min="2053" max="2063" width="9.7109375" style="38" customWidth="1"/>
    <col min="2064" max="2071" width="8.7109375" style="38" customWidth="1"/>
    <col min="2072" max="2074" width="9" style="38" customWidth="1"/>
    <col min="2075" max="2081" width="9.5703125" style="38" customWidth="1"/>
    <col min="2082" max="2304" width="9.7109375" style="38"/>
    <col min="2305" max="2305" width="60.5703125" style="38" customWidth="1"/>
    <col min="2306" max="2306" width="11.85546875" style="38" customWidth="1"/>
    <col min="2307" max="2307" width="12.140625" style="38" customWidth="1"/>
    <col min="2308" max="2308" width="12" style="38" customWidth="1"/>
    <col min="2309" max="2319" width="9.7109375" style="38" customWidth="1"/>
    <col min="2320" max="2327" width="8.7109375" style="38" customWidth="1"/>
    <col min="2328" max="2330" width="9" style="38" customWidth="1"/>
    <col min="2331" max="2337" width="9.5703125" style="38" customWidth="1"/>
    <col min="2338" max="2560" width="9.7109375" style="38"/>
    <col min="2561" max="2561" width="60.5703125" style="38" customWidth="1"/>
    <col min="2562" max="2562" width="11.85546875" style="38" customWidth="1"/>
    <col min="2563" max="2563" width="12.140625" style="38" customWidth="1"/>
    <col min="2564" max="2564" width="12" style="38" customWidth="1"/>
    <col min="2565" max="2575" width="9.7109375" style="38" customWidth="1"/>
    <col min="2576" max="2583" width="8.7109375" style="38" customWidth="1"/>
    <col min="2584" max="2586" width="9" style="38" customWidth="1"/>
    <col min="2587" max="2593" width="9.5703125" style="38" customWidth="1"/>
    <col min="2594" max="2816" width="9.7109375" style="38"/>
    <col min="2817" max="2817" width="60.5703125" style="38" customWidth="1"/>
    <col min="2818" max="2818" width="11.85546875" style="38" customWidth="1"/>
    <col min="2819" max="2819" width="12.140625" style="38" customWidth="1"/>
    <col min="2820" max="2820" width="12" style="38" customWidth="1"/>
    <col min="2821" max="2831" width="9.7109375" style="38" customWidth="1"/>
    <col min="2832" max="2839" width="8.7109375" style="38" customWidth="1"/>
    <col min="2840" max="2842" width="9" style="38" customWidth="1"/>
    <col min="2843" max="2849" width="9.5703125" style="38" customWidth="1"/>
    <col min="2850" max="3072" width="9.7109375" style="38"/>
    <col min="3073" max="3073" width="60.5703125" style="38" customWidth="1"/>
    <col min="3074" max="3074" width="11.85546875" style="38" customWidth="1"/>
    <col min="3075" max="3075" width="12.140625" style="38" customWidth="1"/>
    <col min="3076" max="3076" width="12" style="38" customWidth="1"/>
    <col min="3077" max="3087" width="9.7109375" style="38" customWidth="1"/>
    <col min="3088" max="3095" width="8.7109375" style="38" customWidth="1"/>
    <col min="3096" max="3098" width="9" style="38" customWidth="1"/>
    <col min="3099" max="3105" width="9.5703125" style="38" customWidth="1"/>
    <col min="3106" max="3328" width="9.7109375" style="38"/>
    <col min="3329" max="3329" width="60.5703125" style="38" customWidth="1"/>
    <col min="3330" max="3330" width="11.85546875" style="38" customWidth="1"/>
    <col min="3331" max="3331" width="12.140625" style="38" customWidth="1"/>
    <col min="3332" max="3332" width="12" style="38" customWidth="1"/>
    <col min="3333" max="3343" width="9.7109375" style="38" customWidth="1"/>
    <col min="3344" max="3351" width="8.7109375" style="38" customWidth="1"/>
    <col min="3352" max="3354" width="9" style="38" customWidth="1"/>
    <col min="3355" max="3361" width="9.5703125" style="38" customWidth="1"/>
    <col min="3362" max="3584" width="9.7109375" style="38"/>
    <col min="3585" max="3585" width="60.5703125" style="38" customWidth="1"/>
    <col min="3586" max="3586" width="11.85546875" style="38" customWidth="1"/>
    <col min="3587" max="3587" width="12.140625" style="38" customWidth="1"/>
    <col min="3588" max="3588" width="12" style="38" customWidth="1"/>
    <col min="3589" max="3599" width="9.7109375" style="38" customWidth="1"/>
    <col min="3600" max="3607" width="8.7109375" style="38" customWidth="1"/>
    <col min="3608" max="3610" width="9" style="38" customWidth="1"/>
    <col min="3611" max="3617" width="9.5703125" style="38" customWidth="1"/>
    <col min="3618" max="3840" width="9.7109375" style="38"/>
    <col min="3841" max="3841" width="60.5703125" style="38" customWidth="1"/>
    <col min="3842" max="3842" width="11.85546875" style="38" customWidth="1"/>
    <col min="3843" max="3843" width="12.140625" style="38" customWidth="1"/>
    <col min="3844" max="3844" width="12" style="38" customWidth="1"/>
    <col min="3845" max="3855" width="9.7109375" style="38" customWidth="1"/>
    <col min="3856" max="3863" width="8.7109375" style="38" customWidth="1"/>
    <col min="3864" max="3866" width="9" style="38" customWidth="1"/>
    <col min="3867" max="3873" width="9.5703125" style="38" customWidth="1"/>
    <col min="3874" max="4096" width="9.7109375" style="38"/>
    <col min="4097" max="4097" width="60.5703125" style="38" customWidth="1"/>
    <col min="4098" max="4098" width="11.85546875" style="38" customWidth="1"/>
    <col min="4099" max="4099" width="12.140625" style="38" customWidth="1"/>
    <col min="4100" max="4100" width="12" style="38" customWidth="1"/>
    <col min="4101" max="4111" width="9.7109375" style="38" customWidth="1"/>
    <col min="4112" max="4119" width="8.7109375" style="38" customWidth="1"/>
    <col min="4120" max="4122" width="9" style="38" customWidth="1"/>
    <col min="4123" max="4129" width="9.5703125" style="38" customWidth="1"/>
    <col min="4130" max="4352" width="9.7109375" style="38"/>
    <col min="4353" max="4353" width="60.5703125" style="38" customWidth="1"/>
    <col min="4354" max="4354" width="11.85546875" style="38" customWidth="1"/>
    <col min="4355" max="4355" width="12.140625" style="38" customWidth="1"/>
    <col min="4356" max="4356" width="12" style="38" customWidth="1"/>
    <col min="4357" max="4367" width="9.7109375" style="38" customWidth="1"/>
    <col min="4368" max="4375" width="8.7109375" style="38" customWidth="1"/>
    <col min="4376" max="4378" width="9" style="38" customWidth="1"/>
    <col min="4379" max="4385" width="9.5703125" style="38" customWidth="1"/>
    <col min="4386" max="4608" width="9.7109375" style="38"/>
    <col min="4609" max="4609" width="60.5703125" style="38" customWidth="1"/>
    <col min="4610" max="4610" width="11.85546875" style="38" customWidth="1"/>
    <col min="4611" max="4611" width="12.140625" style="38" customWidth="1"/>
    <col min="4612" max="4612" width="12" style="38" customWidth="1"/>
    <col min="4613" max="4623" width="9.7109375" style="38" customWidth="1"/>
    <col min="4624" max="4631" width="8.7109375" style="38" customWidth="1"/>
    <col min="4632" max="4634" width="9" style="38" customWidth="1"/>
    <col min="4635" max="4641" width="9.5703125" style="38" customWidth="1"/>
    <col min="4642" max="4864" width="9.7109375" style="38"/>
    <col min="4865" max="4865" width="60.5703125" style="38" customWidth="1"/>
    <col min="4866" max="4866" width="11.85546875" style="38" customWidth="1"/>
    <col min="4867" max="4867" width="12.140625" style="38" customWidth="1"/>
    <col min="4868" max="4868" width="12" style="38" customWidth="1"/>
    <col min="4869" max="4879" width="9.7109375" style="38" customWidth="1"/>
    <col min="4880" max="4887" width="8.7109375" style="38" customWidth="1"/>
    <col min="4888" max="4890" width="9" style="38" customWidth="1"/>
    <col min="4891" max="4897" width="9.5703125" style="38" customWidth="1"/>
    <col min="4898" max="5120" width="9.7109375" style="38"/>
    <col min="5121" max="5121" width="60.5703125" style="38" customWidth="1"/>
    <col min="5122" max="5122" width="11.85546875" style="38" customWidth="1"/>
    <col min="5123" max="5123" width="12.140625" style="38" customWidth="1"/>
    <col min="5124" max="5124" width="12" style="38" customWidth="1"/>
    <col min="5125" max="5135" width="9.7109375" style="38" customWidth="1"/>
    <col min="5136" max="5143" width="8.7109375" style="38" customWidth="1"/>
    <col min="5144" max="5146" width="9" style="38" customWidth="1"/>
    <col min="5147" max="5153" width="9.5703125" style="38" customWidth="1"/>
    <col min="5154" max="5376" width="9.7109375" style="38"/>
    <col min="5377" max="5377" width="60.5703125" style="38" customWidth="1"/>
    <col min="5378" max="5378" width="11.85546875" style="38" customWidth="1"/>
    <col min="5379" max="5379" width="12.140625" style="38" customWidth="1"/>
    <col min="5380" max="5380" width="12" style="38" customWidth="1"/>
    <col min="5381" max="5391" width="9.7109375" style="38" customWidth="1"/>
    <col min="5392" max="5399" width="8.7109375" style="38" customWidth="1"/>
    <col min="5400" max="5402" width="9" style="38" customWidth="1"/>
    <col min="5403" max="5409" width="9.5703125" style="38" customWidth="1"/>
    <col min="5410" max="5632" width="9.7109375" style="38"/>
    <col min="5633" max="5633" width="60.5703125" style="38" customWidth="1"/>
    <col min="5634" max="5634" width="11.85546875" style="38" customWidth="1"/>
    <col min="5635" max="5635" width="12.140625" style="38" customWidth="1"/>
    <col min="5636" max="5636" width="12" style="38" customWidth="1"/>
    <col min="5637" max="5647" width="9.7109375" style="38" customWidth="1"/>
    <col min="5648" max="5655" width="8.7109375" style="38" customWidth="1"/>
    <col min="5656" max="5658" width="9" style="38" customWidth="1"/>
    <col min="5659" max="5665" width="9.5703125" style="38" customWidth="1"/>
    <col min="5666" max="5888" width="9.7109375" style="38"/>
    <col min="5889" max="5889" width="60.5703125" style="38" customWidth="1"/>
    <col min="5890" max="5890" width="11.85546875" style="38" customWidth="1"/>
    <col min="5891" max="5891" width="12.140625" style="38" customWidth="1"/>
    <col min="5892" max="5892" width="12" style="38" customWidth="1"/>
    <col min="5893" max="5903" width="9.7109375" style="38" customWidth="1"/>
    <col min="5904" max="5911" width="8.7109375" style="38" customWidth="1"/>
    <col min="5912" max="5914" width="9" style="38" customWidth="1"/>
    <col min="5915" max="5921" width="9.5703125" style="38" customWidth="1"/>
    <col min="5922" max="6144" width="9.7109375" style="38"/>
    <col min="6145" max="6145" width="60.5703125" style="38" customWidth="1"/>
    <col min="6146" max="6146" width="11.85546875" style="38" customWidth="1"/>
    <col min="6147" max="6147" width="12.140625" style="38" customWidth="1"/>
    <col min="6148" max="6148" width="12" style="38" customWidth="1"/>
    <col min="6149" max="6159" width="9.7109375" style="38" customWidth="1"/>
    <col min="6160" max="6167" width="8.7109375" style="38" customWidth="1"/>
    <col min="6168" max="6170" width="9" style="38" customWidth="1"/>
    <col min="6171" max="6177" width="9.5703125" style="38" customWidth="1"/>
    <col min="6178" max="6400" width="9.7109375" style="38"/>
    <col min="6401" max="6401" width="60.5703125" style="38" customWidth="1"/>
    <col min="6402" max="6402" width="11.85546875" style="38" customWidth="1"/>
    <col min="6403" max="6403" width="12.140625" style="38" customWidth="1"/>
    <col min="6404" max="6404" width="12" style="38" customWidth="1"/>
    <col min="6405" max="6415" width="9.7109375" style="38" customWidth="1"/>
    <col min="6416" max="6423" width="8.7109375" style="38" customWidth="1"/>
    <col min="6424" max="6426" width="9" style="38" customWidth="1"/>
    <col min="6427" max="6433" width="9.5703125" style="38" customWidth="1"/>
    <col min="6434" max="6656" width="9.7109375" style="38"/>
    <col min="6657" max="6657" width="60.5703125" style="38" customWidth="1"/>
    <col min="6658" max="6658" width="11.85546875" style="38" customWidth="1"/>
    <col min="6659" max="6659" width="12.140625" style="38" customWidth="1"/>
    <col min="6660" max="6660" width="12" style="38" customWidth="1"/>
    <col min="6661" max="6671" width="9.7109375" style="38" customWidth="1"/>
    <col min="6672" max="6679" width="8.7109375" style="38" customWidth="1"/>
    <col min="6680" max="6682" width="9" style="38" customWidth="1"/>
    <col min="6683" max="6689" width="9.5703125" style="38" customWidth="1"/>
    <col min="6690" max="6912" width="9.7109375" style="38"/>
    <col min="6913" max="6913" width="60.5703125" style="38" customWidth="1"/>
    <col min="6914" max="6914" width="11.85546875" style="38" customWidth="1"/>
    <col min="6915" max="6915" width="12.140625" style="38" customWidth="1"/>
    <col min="6916" max="6916" width="12" style="38" customWidth="1"/>
    <col min="6917" max="6927" width="9.7109375" style="38" customWidth="1"/>
    <col min="6928" max="6935" width="8.7109375" style="38" customWidth="1"/>
    <col min="6936" max="6938" width="9" style="38" customWidth="1"/>
    <col min="6939" max="6945" width="9.5703125" style="38" customWidth="1"/>
    <col min="6946" max="7168" width="9.7109375" style="38"/>
    <col min="7169" max="7169" width="60.5703125" style="38" customWidth="1"/>
    <col min="7170" max="7170" width="11.85546875" style="38" customWidth="1"/>
    <col min="7171" max="7171" width="12.140625" style="38" customWidth="1"/>
    <col min="7172" max="7172" width="12" style="38" customWidth="1"/>
    <col min="7173" max="7183" width="9.7109375" style="38" customWidth="1"/>
    <col min="7184" max="7191" width="8.7109375" style="38" customWidth="1"/>
    <col min="7192" max="7194" width="9" style="38" customWidth="1"/>
    <col min="7195" max="7201" width="9.5703125" style="38" customWidth="1"/>
    <col min="7202" max="7424" width="9.7109375" style="38"/>
    <col min="7425" max="7425" width="60.5703125" style="38" customWidth="1"/>
    <col min="7426" max="7426" width="11.85546875" style="38" customWidth="1"/>
    <col min="7427" max="7427" width="12.140625" style="38" customWidth="1"/>
    <col min="7428" max="7428" width="12" style="38" customWidth="1"/>
    <col min="7429" max="7439" width="9.7109375" style="38" customWidth="1"/>
    <col min="7440" max="7447" width="8.7109375" style="38" customWidth="1"/>
    <col min="7448" max="7450" width="9" style="38" customWidth="1"/>
    <col min="7451" max="7457" width="9.5703125" style="38" customWidth="1"/>
    <col min="7458" max="7680" width="9.7109375" style="38"/>
    <col min="7681" max="7681" width="60.5703125" style="38" customWidth="1"/>
    <col min="7682" max="7682" width="11.85546875" style="38" customWidth="1"/>
    <col min="7683" max="7683" width="12.140625" style="38" customWidth="1"/>
    <col min="7684" max="7684" width="12" style="38" customWidth="1"/>
    <col min="7685" max="7695" width="9.7109375" style="38" customWidth="1"/>
    <col min="7696" max="7703" width="8.7109375" style="38" customWidth="1"/>
    <col min="7704" max="7706" width="9" style="38" customWidth="1"/>
    <col min="7707" max="7713" width="9.5703125" style="38" customWidth="1"/>
    <col min="7714" max="7936" width="9.7109375" style="38"/>
    <col min="7937" max="7937" width="60.5703125" style="38" customWidth="1"/>
    <col min="7938" max="7938" width="11.85546875" style="38" customWidth="1"/>
    <col min="7939" max="7939" width="12.140625" style="38" customWidth="1"/>
    <col min="7940" max="7940" width="12" style="38" customWidth="1"/>
    <col min="7941" max="7951" width="9.7109375" style="38" customWidth="1"/>
    <col min="7952" max="7959" width="8.7109375" style="38" customWidth="1"/>
    <col min="7960" max="7962" width="9" style="38" customWidth="1"/>
    <col min="7963" max="7969" width="9.5703125" style="38" customWidth="1"/>
    <col min="7970" max="8192" width="9.7109375" style="38"/>
    <col min="8193" max="8193" width="60.5703125" style="38" customWidth="1"/>
    <col min="8194" max="8194" width="11.85546875" style="38" customWidth="1"/>
    <col min="8195" max="8195" width="12.140625" style="38" customWidth="1"/>
    <col min="8196" max="8196" width="12" style="38" customWidth="1"/>
    <col min="8197" max="8207" width="9.7109375" style="38" customWidth="1"/>
    <col min="8208" max="8215" width="8.7109375" style="38" customWidth="1"/>
    <col min="8216" max="8218" width="9" style="38" customWidth="1"/>
    <col min="8219" max="8225" width="9.5703125" style="38" customWidth="1"/>
    <col min="8226" max="8448" width="9.7109375" style="38"/>
    <col min="8449" max="8449" width="60.5703125" style="38" customWidth="1"/>
    <col min="8450" max="8450" width="11.85546875" style="38" customWidth="1"/>
    <col min="8451" max="8451" width="12.140625" style="38" customWidth="1"/>
    <col min="8452" max="8452" width="12" style="38" customWidth="1"/>
    <col min="8453" max="8463" width="9.7109375" style="38" customWidth="1"/>
    <col min="8464" max="8471" width="8.7109375" style="38" customWidth="1"/>
    <col min="8472" max="8474" width="9" style="38" customWidth="1"/>
    <col min="8475" max="8481" width="9.5703125" style="38" customWidth="1"/>
    <col min="8482" max="8704" width="9.7109375" style="38"/>
    <col min="8705" max="8705" width="60.5703125" style="38" customWidth="1"/>
    <col min="8706" max="8706" width="11.85546875" style="38" customWidth="1"/>
    <col min="8707" max="8707" width="12.140625" style="38" customWidth="1"/>
    <col min="8708" max="8708" width="12" style="38" customWidth="1"/>
    <col min="8709" max="8719" width="9.7109375" style="38" customWidth="1"/>
    <col min="8720" max="8727" width="8.7109375" style="38" customWidth="1"/>
    <col min="8728" max="8730" width="9" style="38" customWidth="1"/>
    <col min="8731" max="8737" width="9.5703125" style="38" customWidth="1"/>
    <col min="8738" max="8960" width="9.7109375" style="38"/>
    <col min="8961" max="8961" width="60.5703125" style="38" customWidth="1"/>
    <col min="8962" max="8962" width="11.85546875" style="38" customWidth="1"/>
    <col min="8963" max="8963" width="12.140625" style="38" customWidth="1"/>
    <col min="8964" max="8964" width="12" style="38" customWidth="1"/>
    <col min="8965" max="8975" width="9.7109375" style="38" customWidth="1"/>
    <col min="8976" max="8983" width="8.7109375" style="38" customWidth="1"/>
    <col min="8984" max="8986" width="9" style="38" customWidth="1"/>
    <col min="8987" max="8993" width="9.5703125" style="38" customWidth="1"/>
    <col min="8994" max="9216" width="9.7109375" style="38"/>
    <col min="9217" max="9217" width="60.5703125" style="38" customWidth="1"/>
    <col min="9218" max="9218" width="11.85546875" style="38" customWidth="1"/>
    <col min="9219" max="9219" width="12.140625" style="38" customWidth="1"/>
    <col min="9220" max="9220" width="12" style="38" customWidth="1"/>
    <col min="9221" max="9231" width="9.7109375" style="38" customWidth="1"/>
    <col min="9232" max="9239" width="8.7109375" style="38" customWidth="1"/>
    <col min="9240" max="9242" width="9" style="38" customWidth="1"/>
    <col min="9243" max="9249" width="9.5703125" style="38" customWidth="1"/>
    <col min="9250" max="9472" width="9.7109375" style="38"/>
    <col min="9473" max="9473" width="60.5703125" style="38" customWidth="1"/>
    <col min="9474" max="9474" width="11.85546875" style="38" customWidth="1"/>
    <col min="9475" max="9475" width="12.140625" style="38" customWidth="1"/>
    <col min="9476" max="9476" width="12" style="38" customWidth="1"/>
    <col min="9477" max="9487" width="9.7109375" style="38" customWidth="1"/>
    <col min="9488" max="9495" width="8.7109375" style="38" customWidth="1"/>
    <col min="9496" max="9498" width="9" style="38" customWidth="1"/>
    <col min="9499" max="9505" width="9.5703125" style="38" customWidth="1"/>
    <col min="9506" max="9728" width="9.7109375" style="38"/>
    <col min="9729" max="9729" width="60.5703125" style="38" customWidth="1"/>
    <col min="9730" max="9730" width="11.85546875" style="38" customWidth="1"/>
    <col min="9731" max="9731" width="12.140625" style="38" customWidth="1"/>
    <col min="9732" max="9732" width="12" style="38" customWidth="1"/>
    <col min="9733" max="9743" width="9.7109375" style="38" customWidth="1"/>
    <col min="9744" max="9751" width="8.7109375" style="38" customWidth="1"/>
    <col min="9752" max="9754" width="9" style="38" customWidth="1"/>
    <col min="9755" max="9761" width="9.5703125" style="38" customWidth="1"/>
    <col min="9762" max="9984" width="9.7109375" style="38"/>
    <col min="9985" max="9985" width="60.5703125" style="38" customWidth="1"/>
    <col min="9986" max="9986" width="11.85546875" style="38" customWidth="1"/>
    <col min="9987" max="9987" width="12.140625" style="38" customWidth="1"/>
    <col min="9988" max="9988" width="12" style="38" customWidth="1"/>
    <col min="9989" max="9999" width="9.7109375" style="38" customWidth="1"/>
    <col min="10000" max="10007" width="8.7109375" style="38" customWidth="1"/>
    <col min="10008" max="10010" width="9" style="38" customWidth="1"/>
    <col min="10011" max="10017" width="9.5703125" style="38" customWidth="1"/>
    <col min="10018" max="10240" width="9.7109375" style="38"/>
    <col min="10241" max="10241" width="60.5703125" style="38" customWidth="1"/>
    <col min="10242" max="10242" width="11.85546875" style="38" customWidth="1"/>
    <col min="10243" max="10243" width="12.140625" style="38" customWidth="1"/>
    <col min="10244" max="10244" width="12" style="38" customWidth="1"/>
    <col min="10245" max="10255" width="9.7109375" style="38" customWidth="1"/>
    <col min="10256" max="10263" width="8.7109375" style="38" customWidth="1"/>
    <col min="10264" max="10266" width="9" style="38" customWidth="1"/>
    <col min="10267" max="10273" width="9.5703125" style="38" customWidth="1"/>
    <col min="10274" max="10496" width="9.7109375" style="38"/>
    <col min="10497" max="10497" width="60.5703125" style="38" customWidth="1"/>
    <col min="10498" max="10498" width="11.85546875" style="38" customWidth="1"/>
    <col min="10499" max="10499" width="12.140625" style="38" customWidth="1"/>
    <col min="10500" max="10500" width="12" style="38" customWidth="1"/>
    <col min="10501" max="10511" width="9.7109375" style="38" customWidth="1"/>
    <col min="10512" max="10519" width="8.7109375" style="38" customWidth="1"/>
    <col min="10520" max="10522" width="9" style="38" customWidth="1"/>
    <col min="10523" max="10529" width="9.5703125" style="38" customWidth="1"/>
    <col min="10530" max="10752" width="9.7109375" style="38"/>
    <col min="10753" max="10753" width="60.5703125" style="38" customWidth="1"/>
    <col min="10754" max="10754" width="11.85546875" style="38" customWidth="1"/>
    <col min="10755" max="10755" width="12.140625" style="38" customWidth="1"/>
    <col min="10756" max="10756" width="12" style="38" customWidth="1"/>
    <col min="10757" max="10767" width="9.7109375" style="38" customWidth="1"/>
    <col min="10768" max="10775" width="8.7109375" style="38" customWidth="1"/>
    <col min="10776" max="10778" width="9" style="38" customWidth="1"/>
    <col min="10779" max="10785" width="9.5703125" style="38" customWidth="1"/>
    <col min="10786" max="11008" width="9.7109375" style="38"/>
    <col min="11009" max="11009" width="60.5703125" style="38" customWidth="1"/>
    <col min="11010" max="11010" width="11.85546875" style="38" customWidth="1"/>
    <col min="11011" max="11011" width="12.140625" style="38" customWidth="1"/>
    <col min="11012" max="11012" width="12" style="38" customWidth="1"/>
    <col min="11013" max="11023" width="9.7109375" style="38" customWidth="1"/>
    <col min="11024" max="11031" width="8.7109375" style="38" customWidth="1"/>
    <col min="11032" max="11034" width="9" style="38" customWidth="1"/>
    <col min="11035" max="11041" width="9.5703125" style="38" customWidth="1"/>
    <col min="11042" max="11264" width="9.7109375" style="38"/>
    <col min="11265" max="11265" width="60.5703125" style="38" customWidth="1"/>
    <col min="11266" max="11266" width="11.85546875" style="38" customWidth="1"/>
    <col min="11267" max="11267" width="12.140625" style="38" customWidth="1"/>
    <col min="11268" max="11268" width="12" style="38" customWidth="1"/>
    <col min="11269" max="11279" width="9.7109375" style="38" customWidth="1"/>
    <col min="11280" max="11287" width="8.7109375" style="38" customWidth="1"/>
    <col min="11288" max="11290" width="9" style="38" customWidth="1"/>
    <col min="11291" max="11297" width="9.5703125" style="38" customWidth="1"/>
    <col min="11298" max="11520" width="9.7109375" style="38"/>
    <col min="11521" max="11521" width="60.5703125" style="38" customWidth="1"/>
    <col min="11522" max="11522" width="11.85546875" style="38" customWidth="1"/>
    <col min="11523" max="11523" width="12.140625" style="38" customWidth="1"/>
    <col min="11524" max="11524" width="12" style="38" customWidth="1"/>
    <col min="11525" max="11535" width="9.7109375" style="38" customWidth="1"/>
    <col min="11536" max="11543" width="8.7109375" style="38" customWidth="1"/>
    <col min="11544" max="11546" width="9" style="38" customWidth="1"/>
    <col min="11547" max="11553" width="9.5703125" style="38" customWidth="1"/>
    <col min="11554" max="11776" width="9.7109375" style="38"/>
    <col min="11777" max="11777" width="60.5703125" style="38" customWidth="1"/>
    <col min="11778" max="11778" width="11.85546875" style="38" customWidth="1"/>
    <col min="11779" max="11779" width="12.140625" style="38" customWidth="1"/>
    <col min="11780" max="11780" width="12" style="38" customWidth="1"/>
    <col min="11781" max="11791" width="9.7109375" style="38" customWidth="1"/>
    <col min="11792" max="11799" width="8.7109375" style="38" customWidth="1"/>
    <col min="11800" max="11802" width="9" style="38" customWidth="1"/>
    <col min="11803" max="11809" width="9.5703125" style="38" customWidth="1"/>
    <col min="11810" max="12032" width="9.7109375" style="38"/>
    <col min="12033" max="12033" width="60.5703125" style="38" customWidth="1"/>
    <col min="12034" max="12034" width="11.85546875" style="38" customWidth="1"/>
    <col min="12035" max="12035" width="12.140625" style="38" customWidth="1"/>
    <col min="12036" max="12036" width="12" style="38" customWidth="1"/>
    <col min="12037" max="12047" width="9.7109375" style="38" customWidth="1"/>
    <col min="12048" max="12055" width="8.7109375" style="38" customWidth="1"/>
    <col min="12056" max="12058" width="9" style="38" customWidth="1"/>
    <col min="12059" max="12065" width="9.5703125" style="38" customWidth="1"/>
    <col min="12066" max="12288" width="9.7109375" style="38"/>
    <col min="12289" max="12289" width="60.5703125" style="38" customWidth="1"/>
    <col min="12290" max="12290" width="11.85546875" style="38" customWidth="1"/>
    <col min="12291" max="12291" width="12.140625" style="38" customWidth="1"/>
    <col min="12292" max="12292" width="12" style="38" customWidth="1"/>
    <col min="12293" max="12303" width="9.7109375" style="38" customWidth="1"/>
    <col min="12304" max="12311" width="8.7109375" style="38" customWidth="1"/>
    <col min="12312" max="12314" width="9" style="38" customWidth="1"/>
    <col min="12315" max="12321" width="9.5703125" style="38" customWidth="1"/>
    <col min="12322" max="12544" width="9.7109375" style="38"/>
    <col min="12545" max="12545" width="60.5703125" style="38" customWidth="1"/>
    <col min="12546" max="12546" width="11.85546875" style="38" customWidth="1"/>
    <col min="12547" max="12547" width="12.140625" style="38" customWidth="1"/>
    <col min="12548" max="12548" width="12" style="38" customWidth="1"/>
    <col min="12549" max="12559" width="9.7109375" style="38" customWidth="1"/>
    <col min="12560" max="12567" width="8.7109375" style="38" customWidth="1"/>
    <col min="12568" max="12570" width="9" style="38" customWidth="1"/>
    <col min="12571" max="12577" width="9.5703125" style="38" customWidth="1"/>
    <col min="12578" max="12800" width="9.7109375" style="38"/>
    <col min="12801" max="12801" width="60.5703125" style="38" customWidth="1"/>
    <col min="12802" max="12802" width="11.85546875" style="38" customWidth="1"/>
    <col min="12803" max="12803" width="12.140625" style="38" customWidth="1"/>
    <col min="12804" max="12804" width="12" style="38" customWidth="1"/>
    <col min="12805" max="12815" width="9.7109375" style="38" customWidth="1"/>
    <col min="12816" max="12823" width="8.7109375" style="38" customWidth="1"/>
    <col min="12824" max="12826" width="9" style="38" customWidth="1"/>
    <col min="12827" max="12833" width="9.5703125" style="38" customWidth="1"/>
    <col min="12834" max="13056" width="9.7109375" style="38"/>
    <col min="13057" max="13057" width="60.5703125" style="38" customWidth="1"/>
    <col min="13058" max="13058" width="11.85546875" style="38" customWidth="1"/>
    <col min="13059" max="13059" width="12.140625" style="38" customWidth="1"/>
    <col min="13060" max="13060" width="12" style="38" customWidth="1"/>
    <col min="13061" max="13071" width="9.7109375" style="38" customWidth="1"/>
    <col min="13072" max="13079" width="8.7109375" style="38" customWidth="1"/>
    <col min="13080" max="13082" width="9" style="38" customWidth="1"/>
    <col min="13083" max="13089" width="9.5703125" style="38" customWidth="1"/>
    <col min="13090" max="13312" width="9.7109375" style="38"/>
    <col min="13313" max="13313" width="60.5703125" style="38" customWidth="1"/>
    <col min="13314" max="13314" width="11.85546875" style="38" customWidth="1"/>
    <col min="13315" max="13315" width="12.140625" style="38" customWidth="1"/>
    <col min="13316" max="13316" width="12" style="38" customWidth="1"/>
    <col min="13317" max="13327" width="9.7109375" style="38" customWidth="1"/>
    <col min="13328" max="13335" width="8.7109375" style="38" customWidth="1"/>
    <col min="13336" max="13338" width="9" style="38" customWidth="1"/>
    <col min="13339" max="13345" width="9.5703125" style="38" customWidth="1"/>
    <col min="13346" max="13568" width="9.7109375" style="38"/>
    <col min="13569" max="13569" width="60.5703125" style="38" customWidth="1"/>
    <col min="13570" max="13570" width="11.85546875" style="38" customWidth="1"/>
    <col min="13571" max="13571" width="12.140625" style="38" customWidth="1"/>
    <col min="13572" max="13572" width="12" style="38" customWidth="1"/>
    <col min="13573" max="13583" width="9.7109375" style="38" customWidth="1"/>
    <col min="13584" max="13591" width="8.7109375" style="38" customWidth="1"/>
    <col min="13592" max="13594" width="9" style="38" customWidth="1"/>
    <col min="13595" max="13601" width="9.5703125" style="38" customWidth="1"/>
    <col min="13602" max="13824" width="9.7109375" style="38"/>
    <col min="13825" max="13825" width="60.5703125" style="38" customWidth="1"/>
    <col min="13826" max="13826" width="11.85546875" style="38" customWidth="1"/>
    <col min="13827" max="13827" width="12.140625" style="38" customWidth="1"/>
    <col min="13828" max="13828" width="12" style="38" customWidth="1"/>
    <col min="13829" max="13839" width="9.7109375" style="38" customWidth="1"/>
    <col min="13840" max="13847" width="8.7109375" style="38" customWidth="1"/>
    <col min="13848" max="13850" width="9" style="38" customWidth="1"/>
    <col min="13851" max="13857" width="9.5703125" style="38" customWidth="1"/>
    <col min="13858" max="14080" width="9.7109375" style="38"/>
    <col min="14081" max="14081" width="60.5703125" style="38" customWidth="1"/>
    <col min="14082" max="14082" width="11.85546875" style="38" customWidth="1"/>
    <col min="14083" max="14083" width="12.140625" style="38" customWidth="1"/>
    <col min="14084" max="14084" width="12" style="38" customWidth="1"/>
    <col min="14085" max="14095" width="9.7109375" style="38" customWidth="1"/>
    <col min="14096" max="14103" width="8.7109375" style="38" customWidth="1"/>
    <col min="14104" max="14106" width="9" style="38" customWidth="1"/>
    <col min="14107" max="14113" width="9.5703125" style="38" customWidth="1"/>
    <col min="14114" max="14336" width="9.7109375" style="38"/>
    <col min="14337" max="14337" width="60.5703125" style="38" customWidth="1"/>
    <col min="14338" max="14338" width="11.85546875" style="38" customWidth="1"/>
    <col min="14339" max="14339" width="12.140625" style="38" customWidth="1"/>
    <col min="14340" max="14340" width="12" style="38" customWidth="1"/>
    <col min="14341" max="14351" width="9.7109375" style="38" customWidth="1"/>
    <col min="14352" max="14359" width="8.7109375" style="38" customWidth="1"/>
    <col min="14360" max="14362" width="9" style="38" customWidth="1"/>
    <col min="14363" max="14369" width="9.5703125" style="38" customWidth="1"/>
    <col min="14370" max="14592" width="9.7109375" style="38"/>
    <col min="14593" max="14593" width="60.5703125" style="38" customWidth="1"/>
    <col min="14594" max="14594" width="11.85546875" style="38" customWidth="1"/>
    <col min="14595" max="14595" width="12.140625" style="38" customWidth="1"/>
    <col min="14596" max="14596" width="12" style="38" customWidth="1"/>
    <col min="14597" max="14607" width="9.7109375" style="38" customWidth="1"/>
    <col min="14608" max="14615" width="8.7109375" style="38" customWidth="1"/>
    <col min="14616" max="14618" width="9" style="38" customWidth="1"/>
    <col min="14619" max="14625" width="9.5703125" style="38" customWidth="1"/>
    <col min="14626" max="14848" width="9.7109375" style="38"/>
    <col min="14849" max="14849" width="60.5703125" style="38" customWidth="1"/>
    <col min="14850" max="14850" width="11.85546875" style="38" customWidth="1"/>
    <col min="14851" max="14851" width="12.140625" style="38" customWidth="1"/>
    <col min="14852" max="14852" width="12" style="38" customWidth="1"/>
    <col min="14853" max="14863" width="9.7109375" style="38" customWidth="1"/>
    <col min="14864" max="14871" width="8.7109375" style="38" customWidth="1"/>
    <col min="14872" max="14874" width="9" style="38" customWidth="1"/>
    <col min="14875" max="14881" width="9.5703125" style="38" customWidth="1"/>
    <col min="14882" max="15104" width="9.7109375" style="38"/>
    <col min="15105" max="15105" width="60.5703125" style="38" customWidth="1"/>
    <col min="15106" max="15106" width="11.85546875" style="38" customWidth="1"/>
    <col min="15107" max="15107" width="12.140625" style="38" customWidth="1"/>
    <col min="15108" max="15108" width="12" style="38" customWidth="1"/>
    <col min="15109" max="15119" width="9.7109375" style="38" customWidth="1"/>
    <col min="15120" max="15127" width="8.7109375" style="38" customWidth="1"/>
    <col min="15128" max="15130" width="9" style="38" customWidth="1"/>
    <col min="15131" max="15137" width="9.5703125" style="38" customWidth="1"/>
    <col min="15138" max="15360" width="9.7109375" style="38"/>
    <col min="15361" max="15361" width="60.5703125" style="38" customWidth="1"/>
    <col min="15362" max="15362" width="11.85546875" style="38" customWidth="1"/>
    <col min="15363" max="15363" width="12.140625" style="38" customWidth="1"/>
    <col min="15364" max="15364" width="12" style="38" customWidth="1"/>
    <col min="15365" max="15375" width="9.7109375" style="38" customWidth="1"/>
    <col min="15376" max="15383" width="8.7109375" style="38" customWidth="1"/>
    <col min="15384" max="15386" width="9" style="38" customWidth="1"/>
    <col min="15387" max="15393" width="9.5703125" style="38" customWidth="1"/>
    <col min="15394" max="15616" width="9.7109375" style="38"/>
    <col min="15617" max="15617" width="60.5703125" style="38" customWidth="1"/>
    <col min="15618" max="15618" width="11.85546875" style="38" customWidth="1"/>
    <col min="15619" max="15619" width="12.140625" style="38" customWidth="1"/>
    <col min="15620" max="15620" width="12" style="38" customWidth="1"/>
    <col min="15621" max="15631" width="9.7109375" style="38" customWidth="1"/>
    <col min="15632" max="15639" width="8.7109375" style="38" customWidth="1"/>
    <col min="15640" max="15642" width="9" style="38" customWidth="1"/>
    <col min="15643" max="15649" width="9.5703125" style="38" customWidth="1"/>
    <col min="15650" max="15872" width="9.7109375" style="38"/>
    <col min="15873" max="15873" width="60.5703125" style="38" customWidth="1"/>
    <col min="15874" max="15874" width="11.85546875" style="38" customWidth="1"/>
    <col min="15875" max="15875" width="12.140625" style="38" customWidth="1"/>
    <col min="15876" max="15876" width="12" style="38" customWidth="1"/>
    <col min="15877" max="15887" width="9.7109375" style="38" customWidth="1"/>
    <col min="15888" max="15895" width="8.7109375" style="38" customWidth="1"/>
    <col min="15896" max="15898" width="9" style="38" customWidth="1"/>
    <col min="15899" max="15905" width="9.5703125" style="38" customWidth="1"/>
    <col min="15906" max="16128" width="9.7109375" style="38"/>
    <col min="16129" max="16129" width="60.5703125" style="38" customWidth="1"/>
    <col min="16130" max="16130" width="11.85546875" style="38" customWidth="1"/>
    <col min="16131" max="16131" width="12.140625" style="38" customWidth="1"/>
    <col min="16132" max="16132" width="12" style="38" customWidth="1"/>
    <col min="16133" max="16143" width="9.7109375" style="38" customWidth="1"/>
    <col min="16144" max="16151" width="8.7109375" style="38" customWidth="1"/>
    <col min="16152" max="16154" width="9" style="38" customWidth="1"/>
    <col min="16155" max="16161" width="9.5703125" style="38" customWidth="1"/>
    <col min="16162" max="16384" width="9.7109375" style="38"/>
  </cols>
  <sheetData>
    <row r="1" spans="1:33" x14ac:dyDescent="0.25">
      <c r="A1" s="37"/>
    </row>
    <row r="2" spans="1:33" x14ac:dyDescent="0.25">
      <c r="A2" s="37"/>
      <c r="J2" s="39"/>
    </row>
    <row r="3" spans="1:33" ht="20.45" customHeight="1" x14ac:dyDescent="0.25">
      <c r="A3" s="379" t="s">
        <v>503</v>
      </c>
    </row>
    <row r="5" spans="1:33" s="43" customFormat="1" ht="15.75" x14ac:dyDescent="0.25">
      <c r="A5" s="40" t="s">
        <v>373</v>
      </c>
      <c r="B5" s="41"/>
      <c r="C5" s="41"/>
      <c r="D5" s="41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s="43" customFormat="1" ht="15.75" x14ac:dyDescent="0.25">
      <c r="A6" s="44"/>
      <c r="B6" s="45"/>
      <c r="C6" s="45">
        <v>0</v>
      </c>
      <c r="D6" s="45">
        <f t="shared" ref="D6:AG6" si="0">C6+1</f>
        <v>1</v>
      </c>
      <c r="E6" s="45">
        <f t="shared" si="0"/>
        <v>2</v>
      </c>
      <c r="F6" s="45">
        <f t="shared" si="0"/>
        <v>3</v>
      </c>
      <c r="G6" s="45">
        <f t="shared" si="0"/>
        <v>4</v>
      </c>
      <c r="H6" s="45">
        <f t="shared" si="0"/>
        <v>5</v>
      </c>
      <c r="I6" s="45">
        <f t="shared" si="0"/>
        <v>6</v>
      </c>
      <c r="J6" s="45">
        <f t="shared" si="0"/>
        <v>7</v>
      </c>
      <c r="K6" s="45">
        <f t="shared" si="0"/>
        <v>8</v>
      </c>
      <c r="L6" s="45">
        <f t="shared" si="0"/>
        <v>9</v>
      </c>
      <c r="M6" s="45">
        <f t="shared" si="0"/>
        <v>10</v>
      </c>
      <c r="N6" s="45">
        <f t="shared" si="0"/>
        <v>11</v>
      </c>
      <c r="O6" s="45">
        <f t="shared" si="0"/>
        <v>12</v>
      </c>
      <c r="P6" s="45">
        <f t="shared" si="0"/>
        <v>13</v>
      </c>
      <c r="Q6" s="45">
        <f t="shared" si="0"/>
        <v>14</v>
      </c>
      <c r="R6" s="45">
        <f t="shared" si="0"/>
        <v>15</v>
      </c>
      <c r="S6" s="45">
        <f t="shared" si="0"/>
        <v>16</v>
      </c>
      <c r="T6" s="45">
        <f t="shared" si="0"/>
        <v>17</v>
      </c>
      <c r="U6" s="45">
        <f t="shared" si="0"/>
        <v>18</v>
      </c>
      <c r="V6" s="45">
        <f t="shared" si="0"/>
        <v>19</v>
      </c>
      <c r="W6" s="45">
        <f t="shared" si="0"/>
        <v>20</v>
      </c>
      <c r="X6" s="45">
        <f t="shared" si="0"/>
        <v>21</v>
      </c>
      <c r="Y6" s="45">
        <f t="shared" si="0"/>
        <v>22</v>
      </c>
      <c r="Z6" s="45">
        <f t="shared" si="0"/>
        <v>23</v>
      </c>
      <c r="AA6" s="45">
        <f t="shared" si="0"/>
        <v>24</v>
      </c>
      <c r="AB6" s="45">
        <f t="shared" si="0"/>
        <v>25</v>
      </c>
      <c r="AC6" s="45">
        <f t="shared" si="0"/>
        <v>26</v>
      </c>
      <c r="AD6" s="45">
        <f t="shared" si="0"/>
        <v>27</v>
      </c>
      <c r="AE6" s="45">
        <f t="shared" si="0"/>
        <v>28</v>
      </c>
      <c r="AF6" s="45">
        <f t="shared" si="0"/>
        <v>29</v>
      </c>
      <c r="AG6" s="45">
        <f t="shared" si="0"/>
        <v>30</v>
      </c>
    </row>
    <row r="7" spans="1:33" s="47" customFormat="1" ht="17.45" customHeight="1" x14ac:dyDescent="0.25">
      <c r="A7" s="46"/>
      <c r="B7" s="409" t="s">
        <v>374</v>
      </c>
      <c r="C7" s="410">
        <v>1</v>
      </c>
      <c r="D7" s="410">
        <f t="shared" ref="D7:W7" si="1">1/(1+$B$22)^D6</f>
        <v>0.95238095238095233</v>
      </c>
      <c r="E7" s="410">
        <f t="shared" si="1"/>
        <v>0.90702947845804982</v>
      </c>
      <c r="F7" s="410">
        <f t="shared" si="1"/>
        <v>0.86383759853147601</v>
      </c>
      <c r="G7" s="410">
        <f t="shared" si="1"/>
        <v>0.82270247479188197</v>
      </c>
      <c r="H7" s="410">
        <f t="shared" si="1"/>
        <v>0.78352616646845896</v>
      </c>
      <c r="I7" s="410">
        <f t="shared" si="1"/>
        <v>0.74621539663662761</v>
      </c>
      <c r="J7" s="410">
        <f t="shared" si="1"/>
        <v>0.71068133013012147</v>
      </c>
      <c r="K7" s="410">
        <f t="shared" si="1"/>
        <v>0.67683936202868722</v>
      </c>
      <c r="L7" s="410">
        <f t="shared" si="1"/>
        <v>0.64460891621779726</v>
      </c>
      <c r="M7" s="410">
        <f t="shared" si="1"/>
        <v>0.61391325354075932</v>
      </c>
      <c r="N7" s="410">
        <f t="shared" si="1"/>
        <v>0.5846792890864374</v>
      </c>
      <c r="O7" s="410">
        <f t="shared" si="1"/>
        <v>0.5568374181775595</v>
      </c>
      <c r="P7" s="410">
        <f t="shared" si="1"/>
        <v>0.53032135064529462</v>
      </c>
      <c r="Q7" s="410">
        <f t="shared" si="1"/>
        <v>0.50506795299551888</v>
      </c>
      <c r="R7" s="410">
        <f t="shared" si="1"/>
        <v>0.48101709809097021</v>
      </c>
      <c r="S7" s="410">
        <f t="shared" si="1"/>
        <v>0.45811152199140021</v>
      </c>
      <c r="T7" s="410">
        <f t="shared" si="1"/>
        <v>0.43629668761085727</v>
      </c>
      <c r="U7" s="410">
        <f t="shared" si="1"/>
        <v>0.41552065486748313</v>
      </c>
      <c r="V7" s="410">
        <f t="shared" si="1"/>
        <v>0.39573395701665059</v>
      </c>
      <c r="W7" s="410">
        <f t="shared" si="1"/>
        <v>0.37688948287300061</v>
      </c>
      <c r="X7" s="410">
        <f>1/(1+$B$22)^X6</f>
        <v>0.35894236464095297</v>
      </c>
      <c r="Y7" s="410">
        <f t="shared" ref="Y7:AD7" si="2">1/(1+$B$22)^Y6</f>
        <v>0.3418498710866219</v>
      </c>
      <c r="Z7" s="410">
        <f t="shared" si="2"/>
        <v>0.32557130579678267</v>
      </c>
      <c r="AA7" s="410">
        <f t="shared" si="2"/>
        <v>0.31006791028265024</v>
      </c>
      <c r="AB7" s="410">
        <f t="shared" si="2"/>
        <v>0.29530277169776209</v>
      </c>
      <c r="AC7" s="410">
        <f t="shared" si="2"/>
        <v>0.28124073495024959</v>
      </c>
      <c r="AD7" s="410">
        <f t="shared" si="2"/>
        <v>0.2678483190002377</v>
      </c>
      <c r="AE7" s="410">
        <f>1/(1+$B$22)^AE6</f>
        <v>0.25509363714308358</v>
      </c>
      <c r="AF7" s="410">
        <f>1/(1+$B$22)^AF6</f>
        <v>0.24294632108865097</v>
      </c>
      <c r="AG7" s="410">
        <f>1/(1+$B$22)^AG6</f>
        <v>0.23137744865585813</v>
      </c>
    </row>
    <row r="8" spans="1:33" s="51" customFormat="1" ht="18.75" customHeight="1" x14ac:dyDescent="0.25">
      <c r="A8" s="40" t="s">
        <v>375</v>
      </c>
      <c r="B8" s="48"/>
      <c r="C8" s="49"/>
      <c r="D8" s="49"/>
      <c r="E8" s="49"/>
      <c r="F8" s="49"/>
      <c r="G8" s="49"/>
      <c r="H8" s="49"/>
      <c r="I8" s="49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</row>
    <row r="9" spans="1:33" s="43" customFormat="1" ht="18" customHeight="1" x14ac:dyDescent="0.25">
      <c r="A9" s="52" t="s">
        <v>376</v>
      </c>
      <c r="B9" s="411">
        <v>1</v>
      </c>
      <c r="C9" s="49"/>
      <c r="D9" s="55">
        <f>IF(B9=1,'5_Prioritāte-3_Pielikums-3d'!F9,0)</f>
        <v>4749.6900000000005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</row>
    <row r="10" spans="1:33" s="43" customFormat="1" ht="18" customHeight="1" x14ac:dyDescent="0.25">
      <c r="A10" s="52" t="s">
        <v>493</v>
      </c>
      <c r="B10" s="53"/>
      <c r="C10" s="49"/>
      <c r="D10" s="55">
        <f>+'5_Prioritāte-2_Pielikums-1d'!AJ63/1000</f>
        <v>128.61450643776817</v>
      </c>
      <c r="E10" s="55">
        <f>+D10</f>
        <v>128.61450643776817</v>
      </c>
      <c r="F10" s="55">
        <f t="shared" ref="F10:O10" si="3">+E10</f>
        <v>128.61450643776817</v>
      </c>
      <c r="G10" s="55">
        <f t="shared" si="3"/>
        <v>128.61450643776817</v>
      </c>
      <c r="H10" s="55">
        <f t="shared" si="3"/>
        <v>128.61450643776817</v>
      </c>
      <c r="I10" s="55">
        <f t="shared" si="3"/>
        <v>128.61450643776817</v>
      </c>
      <c r="J10" s="55">
        <f t="shared" si="3"/>
        <v>128.61450643776817</v>
      </c>
      <c r="K10" s="55">
        <f t="shared" si="3"/>
        <v>128.61450643776817</v>
      </c>
      <c r="L10" s="55">
        <f t="shared" si="3"/>
        <v>128.61450643776817</v>
      </c>
      <c r="M10" s="55">
        <f t="shared" si="3"/>
        <v>128.61450643776817</v>
      </c>
      <c r="N10" s="55">
        <f t="shared" si="3"/>
        <v>128.61450643776817</v>
      </c>
      <c r="O10" s="55">
        <f t="shared" si="3"/>
        <v>128.61450643776817</v>
      </c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</row>
    <row r="11" spans="1:33" s="43" customFormat="1" ht="18" customHeight="1" x14ac:dyDescent="0.25">
      <c r="A11" s="52"/>
      <c r="B11" s="53"/>
      <c r="C11" s="49"/>
      <c r="D11" s="55">
        <v>0</v>
      </c>
      <c r="E11" s="56">
        <f t="shared" ref="E11:T12" si="4">+D11</f>
        <v>0</v>
      </c>
      <c r="F11" s="56">
        <f t="shared" si="4"/>
        <v>0</v>
      </c>
      <c r="G11" s="56">
        <f t="shared" si="4"/>
        <v>0</v>
      </c>
      <c r="H11" s="56">
        <f t="shared" si="4"/>
        <v>0</v>
      </c>
      <c r="I11" s="56">
        <f t="shared" si="4"/>
        <v>0</v>
      </c>
      <c r="J11" s="56">
        <f t="shared" si="4"/>
        <v>0</v>
      </c>
      <c r="K11" s="56">
        <f t="shared" si="4"/>
        <v>0</v>
      </c>
      <c r="L11" s="56">
        <f t="shared" si="4"/>
        <v>0</v>
      </c>
      <c r="M11" s="56">
        <f t="shared" si="4"/>
        <v>0</v>
      </c>
      <c r="N11" s="56">
        <f t="shared" si="4"/>
        <v>0</v>
      </c>
      <c r="O11" s="56">
        <f t="shared" si="4"/>
        <v>0</v>
      </c>
      <c r="P11" s="56">
        <f t="shared" si="4"/>
        <v>0</v>
      </c>
      <c r="Q11" s="56">
        <f t="shared" si="4"/>
        <v>0</v>
      </c>
      <c r="R11" s="56">
        <f t="shared" si="4"/>
        <v>0</v>
      </c>
      <c r="S11" s="56">
        <f t="shared" si="4"/>
        <v>0</v>
      </c>
      <c r="T11" s="56">
        <f t="shared" si="4"/>
        <v>0</v>
      </c>
      <c r="U11" s="56">
        <f t="shared" ref="U11:AE12" si="5">+T11</f>
        <v>0</v>
      </c>
      <c r="V11" s="56">
        <f t="shared" si="5"/>
        <v>0</v>
      </c>
      <c r="W11" s="56">
        <f t="shared" si="5"/>
        <v>0</v>
      </c>
      <c r="X11" s="56">
        <f t="shared" si="5"/>
        <v>0</v>
      </c>
      <c r="Y11" s="56">
        <f t="shared" si="5"/>
        <v>0</v>
      </c>
      <c r="Z11" s="56">
        <f t="shared" si="5"/>
        <v>0</v>
      </c>
      <c r="AA11" s="56">
        <f t="shared" si="5"/>
        <v>0</v>
      </c>
      <c r="AB11" s="56">
        <f t="shared" si="5"/>
        <v>0</v>
      </c>
      <c r="AC11" s="56">
        <f t="shared" si="5"/>
        <v>0</v>
      </c>
      <c r="AD11" s="56">
        <f t="shared" si="5"/>
        <v>0</v>
      </c>
      <c r="AE11" s="56">
        <f t="shared" si="5"/>
        <v>0</v>
      </c>
      <c r="AF11" s="56">
        <f>+AE11</f>
        <v>0</v>
      </c>
      <c r="AG11" s="56">
        <f>+AF11</f>
        <v>0</v>
      </c>
    </row>
    <row r="12" spans="1:33" s="43" customFormat="1" ht="18" customHeight="1" x14ac:dyDescent="0.25">
      <c r="A12" s="52"/>
      <c r="B12" s="53"/>
      <c r="C12" s="49"/>
      <c r="D12" s="55">
        <v>0</v>
      </c>
      <c r="E12" s="56">
        <f t="shared" si="4"/>
        <v>0</v>
      </c>
      <c r="F12" s="56">
        <f t="shared" si="4"/>
        <v>0</v>
      </c>
      <c r="G12" s="56">
        <f t="shared" si="4"/>
        <v>0</v>
      </c>
      <c r="H12" s="56">
        <f t="shared" si="4"/>
        <v>0</v>
      </c>
      <c r="I12" s="56">
        <f t="shared" si="4"/>
        <v>0</v>
      </c>
      <c r="J12" s="56">
        <f t="shared" si="4"/>
        <v>0</v>
      </c>
      <c r="K12" s="56">
        <f t="shared" si="4"/>
        <v>0</v>
      </c>
      <c r="L12" s="56">
        <f t="shared" si="4"/>
        <v>0</v>
      </c>
      <c r="M12" s="56">
        <f t="shared" si="4"/>
        <v>0</v>
      </c>
      <c r="N12" s="56">
        <f t="shared" si="4"/>
        <v>0</v>
      </c>
      <c r="O12" s="56">
        <f t="shared" si="4"/>
        <v>0</v>
      </c>
      <c r="P12" s="56">
        <f t="shared" si="4"/>
        <v>0</v>
      </c>
      <c r="Q12" s="56">
        <f t="shared" si="4"/>
        <v>0</v>
      </c>
      <c r="R12" s="56">
        <f t="shared" si="4"/>
        <v>0</v>
      </c>
      <c r="S12" s="56">
        <f t="shared" si="4"/>
        <v>0</v>
      </c>
      <c r="T12" s="56">
        <f t="shared" si="4"/>
        <v>0</v>
      </c>
      <c r="U12" s="56">
        <f t="shared" si="5"/>
        <v>0</v>
      </c>
      <c r="V12" s="56">
        <f t="shared" si="5"/>
        <v>0</v>
      </c>
      <c r="W12" s="56">
        <f t="shared" si="5"/>
        <v>0</v>
      </c>
      <c r="X12" s="56">
        <f t="shared" si="5"/>
        <v>0</v>
      </c>
      <c r="Y12" s="56">
        <f t="shared" si="5"/>
        <v>0</v>
      </c>
      <c r="Z12" s="56">
        <f t="shared" si="5"/>
        <v>0</v>
      </c>
      <c r="AA12" s="56">
        <f t="shared" si="5"/>
        <v>0</v>
      </c>
      <c r="AB12" s="56">
        <f t="shared" si="5"/>
        <v>0</v>
      </c>
      <c r="AC12" s="56">
        <f t="shared" si="5"/>
        <v>0</v>
      </c>
      <c r="AD12" s="56">
        <f t="shared" si="5"/>
        <v>0</v>
      </c>
      <c r="AE12" s="56">
        <f t="shared" si="5"/>
        <v>0</v>
      </c>
      <c r="AF12" s="56">
        <f>+AE12</f>
        <v>0</v>
      </c>
      <c r="AG12" s="56">
        <f>+AF12</f>
        <v>0</v>
      </c>
    </row>
    <row r="13" spans="1:33" s="59" customFormat="1" ht="18" customHeight="1" x14ac:dyDescent="0.25">
      <c r="A13" s="48" t="s">
        <v>377</v>
      </c>
      <c r="B13" s="57">
        <f>SUM(C13:X13)</f>
        <v>6293.0640772532151</v>
      </c>
      <c r="C13" s="58">
        <f>SUM(C9:C12)</f>
        <v>0</v>
      </c>
      <c r="D13" s="58">
        <f t="shared" ref="D13:AE13" si="6">SUM(D9:D12)</f>
        <v>4878.3045064377684</v>
      </c>
      <c r="E13" s="58">
        <f t="shared" si="6"/>
        <v>128.61450643776817</v>
      </c>
      <c r="F13" s="58">
        <f t="shared" si="6"/>
        <v>128.61450643776817</v>
      </c>
      <c r="G13" s="58">
        <f>SUM(G9:G12)</f>
        <v>128.61450643776817</v>
      </c>
      <c r="H13" s="58">
        <f t="shared" si="6"/>
        <v>128.61450643776817</v>
      </c>
      <c r="I13" s="58">
        <f t="shared" si="6"/>
        <v>128.61450643776817</v>
      </c>
      <c r="J13" s="58">
        <f t="shared" si="6"/>
        <v>128.61450643776817</v>
      </c>
      <c r="K13" s="58">
        <f t="shared" si="6"/>
        <v>128.61450643776817</v>
      </c>
      <c r="L13" s="58">
        <f t="shared" si="6"/>
        <v>128.61450643776817</v>
      </c>
      <c r="M13" s="58">
        <f t="shared" si="6"/>
        <v>128.61450643776817</v>
      </c>
      <c r="N13" s="58">
        <f t="shared" si="6"/>
        <v>128.61450643776817</v>
      </c>
      <c r="O13" s="58">
        <f t="shared" si="6"/>
        <v>128.61450643776817</v>
      </c>
      <c r="P13" s="58">
        <f t="shared" si="6"/>
        <v>0</v>
      </c>
      <c r="Q13" s="58">
        <f t="shared" si="6"/>
        <v>0</v>
      </c>
      <c r="R13" s="58">
        <f t="shared" si="6"/>
        <v>0</v>
      </c>
      <c r="S13" s="58">
        <f t="shared" si="6"/>
        <v>0</v>
      </c>
      <c r="T13" s="58">
        <f t="shared" si="6"/>
        <v>0</v>
      </c>
      <c r="U13" s="58">
        <f t="shared" si="6"/>
        <v>0</v>
      </c>
      <c r="V13" s="58">
        <f t="shared" si="6"/>
        <v>0</v>
      </c>
      <c r="W13" s="58">
        <f t="shared" si="6"/>
        <v>0</v>
      </c>
      <c r="X13" s="58">
        <f t="shared" si="6"/>
        <v>0</v>
      </c>
      <c r="Y13" s="58">
        <f t="shared" si="6"/>
        <v>0</v>
      </c>
      <c r="Z13" s="58">
        <f t="shared" si="6"/>
        <v>0</v>
      </c>
      <c r="AA13" s="58">
        <f t="shared" si="6"/>
        <v>0</v>
      </c>
      <c r="AB13" s="58">
        <f t="shared" si="6"/>
        <v>0</v>
      </c>
      <c r="AC13" s="58">
        <f t="shared" si="6"/>
        <v>0</v>
      </c>
      <c r="AD13" s="58">
        <f t="shared" si="6"/>
        <v>0</v>
      </c>
      <c r="AE13" s="58">
        <f t="shared" si="6"/>
        <v>0</v>
      </c>
      <c r="AF13" s="58">
        <f>SUM(AF9:AF12)</f>
        <v>0</v>
      </c>
      <c r="AG13" s="58">
        <f>SUM(AG9:AG12)</f>
        <v>0</v>
      </c>
    </row>
    <row r="14" spans="1:33" s="51" customFormat="1" ht="8.25" customHeight="1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60"/>
      <c r="K14" s="60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</row>
    <row r="15" spans="1:33" s="51" customFormat="1" ht="18" customHeight="1" x14ac:dyDescent="0.25">
      <c r="A15" s="40" t="s">
        <v>378</v>
      </c>
      <c r="B15" s="57"/>
      <c r="C15" s="61"/>
      <c r="D15" s="61"/>
      <c r="E15" s="61"/>
      <c r="F15" s="61"/>
      <c r="G15" s="61"/>
      <c r="H15" s="61"/>
      <c r="I15" s="61"/>
      <c r="J15" s="62"/>
      <c r="K15" s="62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</row>
    <row r="16" spans="1:33" s="43" customFormat="1" ht="18" customHeight="1" x14ac:dyDescent="0.25">
      <c r="A16" s="52" t="s">
        <v>379</v>
      </c>
      <c r="B16" s="63"/>
      <c r="C16" s="55">
        <f>+'5_Prioritāte-2_Pielikums-1d'!AH63/1000</f>
        <v>2323.9299999999998</v>
      </c>
      <c r="D16" s="64"/>
      <c r="E16" s="64"/>
      <c r="F16" s="64"/>
      <c r="G16" s="64"/>
      <c r="H16" s="64"/>
      <c r="I16" s="64"/>
      <c r="J16" s="64"/>
      <c r="K16" s="64"/>
      <c r="L16" s="64"/>
      <c r="M16" s="64">
        <f>+'5_Prioritāte-3_Pielikums-1d'!J21/1000</f>
        <v>553.55399999999997</v>
      </c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</row>
    <row r="17" spans="1:33" s="43" customFormat="1" ht="18" hidden="1" customHeight="1" x14ac:dyDescent="0.25">
      <c r="A17" s="52" t="s">
        <v>380</v>
      </c>
      <c r="B17" s="63"/>
      <c r="C17" s="55"/>
      <c r="D17" s="55">
        <v>0</v>
      </c>
      <c r="E17" s="56">
        <f t="shared" ref="E17:T18" si="7">+D17</f>
        <v>0</v>
      </c>
      <c r="F17" s="56">
        <f t="shared" si="7"/>
        <v>0</v>
      </c>
      <c r="G17" s="56">
        <f t="shared" si="7"/>
        <v>0</v>
      </c>
      <c r="H17" s="56">
        <f t="shared" si="7"/>
        <v>0</v>
      </c>
      <c r="I17" s="56">
        <f t="shared" si="7"/>
        <v>0</v>
      </c>
      <c r="J17" s="56">
        <f t="shared" si="7"/>
        <v>0</v>
      </c>
      <c r="K17" s="56">
        <f t="shared" si="7"/>
        <v>0</v>
      </c>
      <c r="L17" s="56">
        <f t="shared" si="7"/>
        <v>0</v>
      </c>
      <c r="M17" s="56">
        <f t="shared" si="7"/>
        <v>0</v>
      </c>
      <c r="N17" s="56">
        <f t="shared" si="7"/>
        <v>0</v>
      </c>
      <c r="O17" s="56">
        <f t="shared" si="7"/>
        <v>0</v>
      </c>
      <c r="P17" s="56">
        <f t="shared" si="7"/>
        <v>0</v>
      </c>
      <c r="Q17" s="56">
        <f t="shared" si="7"/>
        <v>0</v>
      </c>
      <c r="R17" s="56">
        <f t="shared" si="7"/>
        <v>0</v>
      </c>
      <c r="S17" s="56">
        <f t="shared" si="7"/>
        <v>0</v>
      </c>
      <c r="T17" s="56">
        <f t="shared" si="7"/>
        <v>0</v>
      </c>
      <c r="U17" s="56">
        <f t="shared" ref="U17:AG18" si="8">+T17</f>
        <v>0</v>
      </c>
      <c r="V17" s="56">
        <f t="shared" si="8"/>
        <v>0</v>
      </c>
      <c r="W17" s="56">
        <f t="shared" si="8"/>
        <v>0</v>
      </c>
      <c r="X17" s="56">
        <f t="shared" si="8"/>
        <v>0</v>
      </c>
      <c r="Y17" s="56">
        <f t="shared" si="8"/>
        <v>0</v>
      </c>
      <c r="Z17" s="56">
        <f t="shared" si="8"/>
        <v>0</v>
      </c>
      <c r="AA17" s="56">
        <f t="shared" si="8"/>
        <v>0</v>
      </c>
      <c r="AB17" s="56">
        <f t="shared" si="8"/>
        <v>0</v>
      </c>
      <c r="AC17" s="56">
        <f t="shared" si="8"/>
        <v>0</v>
      </c>
      <c r="AD17" s="56">
        <f t="shared" si="8"/>
        <v>0</v>
      </c>
      <c r="AE17" s="56">
        <f t="shared" si="8"/>
        <v>0</v>
      </c>
      <c r="AF17" s="56">
        <f t="shared" si="8"/>
        <v>0</v>
      </c>
      <c r="AG17" s="56">
        <f t="shared" si="8"/>
        <v>0</v>
      </c>
    </row>
    <row r="18" spans="1:33" s="43" customFormat="1" ht="18" customHeight="1" x14ac:dyDescent="0.25">
      <c r="A18" s="52" t="s">
        <v>495</v>
      </c>
      <c r="B18" s="57"/>
      <c r="C18" s="55"/>
      <c r="D18" s="55">
        <f>+'5_Prioritāte-4_Pielikums'!D18</f>
        <v>55.355429999999998</v>
      </c>
      <c r="E18" s="56">
        <f>+D18</f>
        <v>55.355429999999998</v>
      </c>
      <c r="F18" s="56">
        <f t="shared" si="7"/>
        <v>55.355429999999998</v>
      </c>
      <c r="G18" s="56">
        <f t="shared" si="7"/>
        <v>55.355429999999998</v>
      </c>
      <c r="H18" s="56">
        <f t="shared" si="7"/>
        <v>55.355429999999998</v>
      </c>
      <c r="I18" s="56">
        <f t="shared" si="7"/>
        <v>55.355429999999998</v>
      </c>
      <c r="J18" s="56">
        <f t="shared" si="7"/>
        <v>55.355429999999998</v>
      </c>
      <c r="K18" s="56">
        <f t="shared" si="7"/>
        <v>55.355429999999998</v>
      </c>
      <c r="L18" s="56">
        <f t="shared" si="7"/>
        <v>55.355429999999998</v>
      </c>
      <c r="M18" s="56">
        <f t="shared" si="7"/>
        <v>55.355429999999998</v>
      </c>
      <c r="N18" s="56">
        <f t="shared" si="7"/>
        <v>55.355429999999998</v>
      </c>
      <c r="O18" s="56">
        <f t="shared" si="7"/>
        <v>55.355429999999998</v>
      </c>
      <c r="P18" s="56"/>
      <c r="Q18" s="56">
        <f t="shared" si="7"/>
        <v>0</v>
      </c>
      <c r="R18" s="56">
        <f t="shared" si="7"/>
        <v>0</v>
      </c>
      <c r="S18" s="56">
        <f t="shared" si="7"/>
        <v>0</v>
      </c>
      <c r="T18" s="56">
        <f t="shared" si="7"/>
        <v>0</v>
      </c>
      <c r="U18" s="56">
        <f t="shared" si="8"/>
        <v>0</v>
      </c>
      <c r="V18" s="56">
        <f t="shared" si="8"/>
        <v>0</v>
      </c>
      <c r="W18" s="56">
        <f t="shared" si="8"/>
        <v>0</v>
      </c>
      <c r="X18" s="56">
        <f t="shared" si="8"/>
        <v>0</v>
      </c>
      <c r="Y18" s="56">
        <f t="shared" si="8"/>
        <v>0</v>
      </c>
      <c r="Z18" s="56">
        <f t="shared" si="8"/>
        <v>0</v>
      </c>
      <c r="AA18" s="56">
        <f t="shared" si="8"/>
        <v>0</v>
      </c>
      <c r="AB18" s="56">
        <f t="shared" si="8"/>
        <v>0</v>
      </c>
      <c r="AC18" s="56">
        <f t="shared" si="8"/>
        <v>0</v>
      </c>
      <c r="AD18" s="56">
        <f t="shared" si="8"/>
        <v>0</v>
      </c>
      <c r="AE18" s="56">
        <f t="shared" si="8"/>
        <v>0</v>
      </c>
      <c r="AF18" s="56">
        <f t="shared" si="8"/>
        <v>0</v>
      </c>
      <c r="AG18" s="56">
        <f t="shared" si="8"/>
        <v>0</v>
      </c>
    </row>
    <row r="19" spans="1:33" s="59" customFormat="1" ht="18" customHeight="1" x14ac:dyDescent="0.25">
      <c r="A19" s="48" t="s">
        <v>381</v>
      </c>
      <c r="B19" s="57">
        <f>SUM(C19:X19)</f>
        <v>3541.7491600000003</v>
      </c>
      <c r="C19" s="65">
        <f>SUM(C16:C18)</f>
        <v>2323.9299999999998</v>
      </c>
      <c r="D19" s="65">
        <f t="shared" ref="D19:AE19" si="9">SUM(D16:D18)</f>
        <v>55.355429999999998</v>
      </c>
      <c r="E19" s="65">
        <f t="shared" si="9"/>
        <v>55.355429999999998</v>
      </c>
      <c r="F19" s="65">
        <f t="shared" si="9"/>
        <v>55.355429999999998</v>
      </c>
      <c r="G19" s="65">
        <f t="shared" si="9"/>
        <v>55.355429999999998</v>
      </c>
      <c r="H19" s="65">
        <f t="shared" si="9"/>
        <v>55.355429999999998</v>
      </c>
      <c r="I19" s="65">
        <f t="shared" si="9"/>
        <v>55.355429999999998</v>
      </c>
      <c r="J19" s="66">
        <f t="shared" si="9"/>
        <v>55.355429999999998</v>
      </c>
      <c r="K19" s="66">
        <f t="shared" si="9"/>
        <v>55.355429999999998</v>
      </c>
      <c r="L19" s="65">
        <f t="shared" si="9"/>
        <v>55.355429999999998</v>
      </c>
      <c r="M19" s="65">
        <f t="shared" si="9"/>
        <v>608.90942999999993</v>
      </c>
      <c r="N19" s="65">
        <f t="shared" si="9"/>
        <v>55.355429999999998</v>
      </c>
      <c r="O19" s="65">
        <f t="shared" si="9"/>
        <v>55.355429999999998</v>
      </c>
      <c r="P19" s="65">
        <f t="shared" si="9"/>
        <v>0</v>
      </c>
      <c r="Q19" s="65">
        <f t="shared" si="9"/>
        <v>0</v>
      </c>
      <c r="R19" s="65">
        <f t="shared" si="9"/>
        <v>0</v>
      </c>
      <c r="S19" s="65">
        <f t="shared" si="9"/>
        <v>0</v>
      </c>
      <c r="T19" s="65">
        <f t="shared" si="9"/>
        <v>0</v>
      </c>
      <c r="U19" s="65">
        <f t="shared" si="9"/>
        <v>0</v>
      </c>
      <c r="V19" s="65">
        <f t="shared" si="9"/>
        <v>0</v>
      </c>
      <c r="W19" s="65">
        <f t="shared" si="9"/>
        <v>0</v>
      </c>
      <c r="X19" s="65">
        <f t="shared" si="9"/>
        <v>0</v>
      </c>
      <c r="Y19" s="65">
        <f t="shared" si="9"/>
        <v>0</v>
      </c>
      <c r="Z19" s="65">
        <f t="shared" si="9"/>
        <v>0</v>
      </c>
      <c r="AA19" s="65">
        <f t="shared" si="9"/>
        <v>0</v>
      </c>
      <c r="AB19" s="65">
        <f t="shared" si="9"/>
        <v>0</v>
      </c>
      <c r="AC19" s="65">
        <f t="shared" si="9"/>
        <v>0</v>
      </c>
      <c r="AD19" s="65">
        <f t="shared" si="9"/>
        <v>0</v>
      </c>
      <c r="AE19" s="65">
        <f t="shared" si="9"/>
        <v>0</v>
      </c>
      <c r="AF19" s="65">
        <f>SUM(AF16:AF18)</f>
        <v>0</v>
      </c>
      <c r="AG19" s="65">
        <f>SUM(AG16:AG18)</f>
        <v>0</v>
      </c>
    </row>
    <row r="20" spans="1:33" s="43" customFormat="1" ht="8.25" customHeight="1" x14ac:dyDescent="0.25">
      <c r="A20" s="67"/>
      <c r="B20" s="57"/>
      <c r="C20" s="68"/>
      <c r="D20" s="68"/>
      <c r="E20" s="68"/>
      <c r="F20" s="68"/>
      <c r="G20" s="68"/>
      <c r="H20" s="68"/>
      <c r="I20" s="68"/>
      <c r="J20" s="69"/>
      <c r="K20" s="69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</row>
    <row r="21" spans="1:33" s="51" customFormat="1" ht="18" customHeight="1" x14ac:dyDescent="0.25">
      <c r="A21" s="70" t="s">
        <v>382</v>
      </c>
      <c r="B21" s="57"/>
      <c r="C21" s="71">
        <f t="shared" ref="C21:AG21" si="10">+C13-C19</f>
        <v>-2323.9299999999998</v>
      </c>
      <c r="D21" s="71">
        <f t="shared" si="10"/>
        <v>4822.9490764377688</v>
      </c>
      <c r="E21" s="71">
        <f t="shared" si="10"/>
        <v>73.259076437768172</v>
      </c>
      <c r="F21" s="71">
        <f t="shared" si="10"/>
        <v>73.259076437768172</v>
      </c>
      <c r="G21" s="71">
        <f t="shared" si="10"/>
        <v>73.259076437768172</v>
      </c>
      <c r="H21" s="71">
        <f t="shared" si="10"/>
        <v>73.259076437768172</v>
      </c>
      <c r="I21" s="71">
        <f t="shared" si="10"/>
        <v>73.259076437768172</v>
      </c>
      <c r="J21" s="72">
        <f t="shared" si="10"/>
        <v>73.259076437768172</v>
      </c>
      <c r="K21" s="72">
        <f t="shared" si="10"/>
        <v>73.259076437768172</v>
      </c>
      <c r="L21" s="71">
        <f t="shared" si="10"/>
        <v>73.259076437768172</v>
      </c>
      <c r="M21" s="71">
        <f t="shared" si="10"/>
        <v>-480.29492356223176</v>
      </c>
      <c r="N21" s="71">
        <f t="shared" si="10"/>
        <v>73.259076437768172</v>
      </c>
      <c r="O21" s="71">
        <f t="shared" si="10"/>
        <v>73.259076437768172</v>
      </c>
      <c r="P21" s="71">
        <f t="shared" si="10"/>
        <v>0</v>
      </c>
      <c r="Q21" s="71">
        <f t="shared" si="10"/>
        <v>0</v>
      </c>
      <c r="R21" s="71">
        <f t="shared" si="10"/>
        <v>0</v>
      </c>
      <c r="S21" s="71">
        <f t="shared" si="10"/>
        <v>0</v>
      </c>
      <c r="T21" s="71">
        <f t="shared" si="10"/>
        <v>0</v>
      </c>
      <c r="U21" s="71">
        <f t="shared" si="10"/>
        <v>0</v>
      </c>
      <c r="V21" s="71">
        <f t="shared" si="10"/>
        <v>0</v>
      </c>
      <c r="W21" s="71">
        <f t="shared" si="10"/>
        <v>0</v>
      </c>
      <c r="X21" s="71">
        <f t="shared" si="10"/>
        <v>0</v>
      </c>
      <c r="Y21" s="71">
        <f t="shared" si="10"/>
        <v>0</v>
      </c>
      <c r="Z21" s="71">
        <f t="shared" si="10"/>
        <v>0</v>
      </c>
      <c r="AA21" s="71">
        <f t="shared" si="10"/>
        <v>0</v>
      </c>
      <c r="AB21" s="71">
        <f t="shared" si="10"/>
        <v>0</v>
      </c>
      <c r="AC21" s="71">
        <f t="shared" si="10"/>
        <v>0</v>
      </c>
      <c r="AD21" s="71">
        <f t="shared" si="10"/>
        <v>0</v>
      </c>
      <c r="AE21" s="71">
        <f t="shared" si="10"/>
        <v>0</v>
      </c>
      <c r="AF21" s="71">
        <f t="shared" si="10"/>
        <v>0</v>
      </c>
      <c r="AG21" s="71">
        <f t="shared" si="10"/>
        <v>0</v>
      </c>
    </row>
    <row r="22" spans="1:33" s="43" customFormat="1" ht="18" customHeight="1" thickBot="1" x14ac:dyDescent="0.3">
      <c r="A22" s="73" t="s">
        <v>383</v>
      </c>
      <c r="B22" s="74">
        <v>0.05</v>
      </c>
      <c r="C22" s="75"/>
      <c r="D22" s="76"/>
      <c r="E22" s="76"/>
      <c r="F22" s="76"/>
      <c r="G22" s="76"/>
      <c r="H22" s="76"/>
      <c r="I22" s="76"/>
      <c r="J22" s="77"/>
      <c r="K22" s="77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</row>
    <row r="23" spans="1:33" s="43" customFormat="1" ht="18" customHeight="1" thickBot="1" x14ac:dyDescent="0.3">
      <c r="A23" s="78" t="s">
        <v>384</v>
      </c>
      <c r="B23" s="79">
        <f>IF(B24&lt;0,"n/a",IRR(C21:AG21,B22))</f>
        <v>1.103602930219576</v>
      </c>
      <c r="C23" s="80"/>
      <c r="D23" s="76"/>
      <c r="E23" s="76"/>
      <c r="F23" s="76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</row>
    <row r="24" spans="1:33" s="43" customFormat="1" ht="18" customHeight="1" thickBot="1" x14ac:dyDescent="0.3">
      <c r="A24" s="78" t="s">
        <v>385</v>
      </c>
      <c r="B24" s="82">
        <f>+ROUND(NPV(B22,C21:AG21),2)</f>
        <v>2389.58</v>
      </c>
      <c r="C24" s="83" t="s">
        <v>386</v>
      </c>
      <c r="D24" s="76"/>
      <c r="E24" s="76"/>
      <c r="F24" s="76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</row>
    <row r="25" spans="1:33" s="43" customFormat="1" ht="18" customHeight="1" thickBot="1" x14ac:dyDescent="0.3">
      <c r="A25" s="84" t="s">
        <v>387</v>
      </c>
      <c r="B25" s="85">
        <f>NPV(B22,C13:AG13)/NPV(B22,C19:AG19)</f>
        <v>1.7954188284877244</v>
      </c>
      <c r="C25" s="80"/>
      <c r="D25" s="77"/>
      <c r="E25" s="77"/>
      <c r="F25" s="77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</row>
    <row r="26" spans="1:33" s="86" customFormat="1" ht="18" customHeight="1" x14ac:dyDescent="0.25">
      <c r="A26" s="38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</row>
    <row r="27" spans="1:33" s="43" customFormat="1" ht="15.75" x14ac:dyDescent="0.25">
      <c r="A27" s="40" t="s">
        <v>388</v>
      </c>
      <c r="B27" s="41"/>
      <c r="C27" s="41"/>
      <c r="D27" s="41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</row>
    <row r="28" spans="1:33" s="43" customFormat="1" ht="15.75" x14ac:dyDescent="0.25">
      <c r="A28" s="44"/>
      <c r="B28" s="45"/>
      <c r="C28" s="45">
        <v>0</v>
      </c>
      <c r="D28" s="45">
        <f t="shared" ref="D28:AG28" si="11">C28+1</f>
        <v>1</v>
      </c>
      <c r="E28" s="45">
        <f t="shared" si="11"/>
        <v>2</v>
      </c>
      <c r="F28" s="45">
        <f t="shared" si="11"/>
        <v>3</v>
      </c>
      <c r="G28" s="45">
        <f t="shared" si="11"/>
        <v>4</v>
      </c>
      <c r="H28" s="45">
        <f t="shared" si="11"/>
        <v>5</v>
      </c>
      <c r="I28" s="45">
        <f t="shared" si="11"/>
        <v>6</v>
      </c>
      <c r="J28" s="45">
        <f t="shared" si="11"/>
        <v>7</v>
      </c>
      <c r="K28" s="45">
        <f t="shared" si="11"/>
        <v>8</v>
      </c>
      <c r="L28" s="45">
        <f t="shared" si="11"/>
        <v>9</v>
      </c>
      <c r="M28" s="45">
        <f t="shared" si="11"/>
        <v>10</v>
      </c>
      <c r="N28" s="45">
        <f t="shared" si="11"/>
        <v>11</v>
      </c>
      <c r="O28" s="45">
        <f t="shared" si="11"/>
        <v>12</v>
      </c>
      <c r="P28" s="45">
        <f t="shared" si="11"/>
        <v>13</v>
      </c>
      <c r="Q28" s="45">
        <f t="shared" si="11"/>
        <v>14</v>
      </c>
      <c r="R28" s="45">
        <f t="shared" si="11"/>
        <v>15</v>
      </c>
      <c r="S28" s="45">
        <f t="shared" si="11"/>
        <v>16</v>
      </c>
      <c r="T28" s="45">
        <f t="shared" si="11"/>
        <v>17</v>
      </c>
      <c r="U28" s="45">
        <f t="shared" si="11"/>
        <v>18</v>
      </c>
      <c r="V28" s="45">
        <f t="shared" si="11"/>
        <v>19</v>
      </c>
      <c r="W28" s="45">
        <f t="shared" si="11"/>
        <v>20</v>
      </c>
      <c r="X28" s="45">
        <f t="shared" si="11"/>
        <v>21</v>
      </c>
      <c r="Y28" s="45">
        <f t="shared" si="11"/>
        <v>22</v>
      </c>
      <c r="Z28" s="45">
        <f t="shared" si="11"/>
        <v>23</v>
      </c>
      <c r="AA28" s="45">
        <f t="shared" si="11"/>
        <v>24</v>
      </c>
      <c r="AB28" s="45">
        <f t="shared" si="11"/>
        <v>25</v>
      </c>
      <c r="AC28" s="45">
        <f t="shared" si="11"/>
        <v>26</v>
      </c>
      <c r="AD28" s="45">
        <f t="shared" si="11"/>
        <v>27</v>
      </c>
      <c r="AE28" s="45">
        <f t="shared" si="11"/>
        <v>28</v>
      </c>
      <c r="AF28" s="45">
        <f t="shared" si="11"/>
        <v>29</v>
      </c>
      <c r="AG28" s="45">
        <f t="shared" si="11"/>
        <v>30</v>
      </c>
    </row>
    <row r="29" spans="1:33" s="47" customFormat="1" ht="17.45" customHeight="1" x14ac:dyDescent="0.25">
      <c r="A29" s="46"/>
      <c r="B29" s="409" t="s">
        <v>374</v>
      </c>
      <c r="C29" s="410">
        <v>1</v>
      </c>
      <c r="D29" s="410">
        <f t="shared" ref="D29:W29" si="12">1/(1+$B$22)^D28</f>
        <v>0.95238095238095233</v>
      </c>
      <c r="E29" s="410">
        <f t="shared" si="12"/>
        <v>0.90702947845804982</v>
      </c>
      <c r="F29" s="410">
        <f t="shared" si="12"/>
        <v>0.86383759853147601</v>
      </c>
      <c r="G29" s="410">
        <f t="shared" si="12"/>
        <v>0.82270247479188197</v>
      </c>
      <c r="H29" s="410">
        <f t="shared" si="12"/>
        <v>0.78352616646845896</v>
      </c>
      <c r="I29" s="410">
        <f t="shared" si="12"/>
        <v>0.74621539663662761</v>
      </c>
      <c r="J29" s="410">
        <f t="shared" si="12"/>
        <v>0.71068133013012147</v>
      </c>
      <c r="K29" s="410">
        <f t="shared" si="12"/>
        <v>0.67683936202868722</v>
      </c>
      <c r="L29" s="410">
        <f t="shared" si="12"/>
        <v>0.64460891621779726</v>
      </c>
      <c r="M29" s="410">
        <f t="shared" si="12"/>
        <v>0.61391325354075932</v>
      </c>
      <c r="N29" s="410">
        <f t="shared" si="12"/>
        <v>0.5846792890864374</v>
      </c>
      <c r="O29" s="410">
        <f t="shared" si="12"/>
        <v>0.5568374181775595</v>
      </c>
      <c r="P29" s="410">
        <f t="shared" si="12"/>
        <v>0.53032135064529462</v>
      </c>
      <c r="Q29" s="410">
        <f t="shared" si="12"/>
        <v>0.50506795299551888</v>
      </c>
      <c r="R29" s="410">
        <f t="shared" si="12"/>
        <v>0.48101709809097021</v>
      </c>
      <c r="S29" s="410">
        <f t="shared" si="12"/>
        <v>0.45811152199140021</v>
      </c>
      <c r="T29" s="410">
        <f t="shared" si="12"/>
        <v>0.43629668761085727</v>
      </c>
      <c r="U29" s="410">
        <f t="shared" si="12"/>
        <v>0.41552065486748313</v>
      </c>
      <c r="V29" s="410">
        <f t="shared" si="12"/>
        <v>0.39573395701665059</v>
      </c>
      <c r="W29" s="410">
        <f t="shared" si="12"/>
        <v>0.37688948287300061</v>
      </c>
      <c r="X29" s="410">
        <f>1/(1+$B$22)^X28</f>
        <v>0.35894236464095297</v>
      </c>
      <c r="Y29" s="410">
        <f t="shared" ref="Y29:AD29" si="13">1/(1+$B$22)^Y28</f>
        <v>0.3418498710866219</v>
      </c>
      <c r="Z29" s="410">
        <f t="shared" si="13"/>
        <v>0.32557130579678267</v>
      </c>
      <c r="AA29" s="410">
        <f t="shared" si="13"/>
        <v>0.31006791028265024</v>
      </c>
      <c r="AB29" s="410">
        <f t="shared" si="13"/>
        <v>0.29530277169776209</v>
      </c>
      <c r="AC29" s="410">
        <f t="shared" si="13"/>
        <v>0.28124073495024959</v>
      </c>
      <c r="AD29" s="410">
        <f t="shared" si="13"/>
        <v>0.2678483190002377</v>
      </c>
      <c r="AE29" s="410">
        <f>1/(1+$B$22)^AE28</f>
        <v>0.25509363714308358</v>
      </c>
      <c r="AF29" s="410">
        <f>1/(1+$B$22)^AF28</f>
        <v>0.24294632108865097</v>
      </c>
      <c r="AG29" s="410">
        <f>1/(1+$B$22)^AG28</f>
        <v>0.23137744865585813</v>
      </c>
    </row>
    <row r="30" spans="1:33" s="51" customFormat="1" ht="18.75" customHeight="1" x14ac:dyDescent="0.25">
      <c r="A30" s="40" t="s">
        <v>375</v>
      </c>
      <c r="B30" s="48"/>
      <c r="C30" s="49"/>
      <c r="D30" s="49"/>
      <c r="E30" s="49"/>
      <c r="F30" s="49"/>
      <c r="G30" s="49"/>
      <c r="H30" s="49"/>
      <c r="I30" s="49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</row>
    <row r="31" spans="1:33" s="43" customFormat="1" ht="18" customHeight="1" x14ac:dyDescent="0.25">
      <c r="A31" s="52" t="s">
        <v>496</v>
      </c>
      <c r="B31" s="53"/>
      <c r="C31" s="49"/>
      <c r="D31" s="55">
        <f>+D9</f>
        <v>4749.6900000000005</v>
      </c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</row>
    <row r="32" spans="1:33" s="43" customFormat="1" ht="18" customHeight="1" x14ac:dyDescent="0.25">
      <c r="A32" s="52" t="s">
        <v>493</v>
      </c>
      <c r="B32" s="53"/>
      <c r="C32" s="49"/>
      <c r="D32" s="55">
        <f>+D10</f>
        <v>128.61450643776817</v>
      </c>
      <c r="E32" s="55">
        <f>+D32</f>
        <v>128.61450643776817</v>
      </c>
      <c r="F32" s="55">
        <f t="shared" ref="F32:AG32" si="14">+E32</f>
        <v>128.61450643776817</v>
      </c>
      <c r="G32" s="55">
        <f t="shared" si="14"/>
        <v>128.61450643776817</v>
      </c>
      <c r="H32" s="55">
        <f t="shared" si="14"/>
        <v>128.61450643776817</v>
      </c>
      <c r="I32" s="55">
        <f t="shared" si="14"/>
        <v>128.61450643776817</v>
      </c>
      <c r="J32" s="55">
        <f t="shared" si="14"/>
        <v>128.61450643776817</v>
      </c>
      <c r="K32" s="55">
        <f t="shared" si="14"/>
        <v>128.61450643776817</v>
      </c>
      <c r="L32" s="55">
        <f t="shared" si="14"/>
        <v>128.61450643776817</v>
      </c>
      <c r="M32" s="55">
        <f t="shared" si="14"/>
        <v>128.61450643776817</v>
      </c>
      <c r="N32" s="55">
        <f t="shared" si="14"/>
        <v>128.61450643776817</v>
      </c>
      <c r="O32" s="55">
        <f t="shared" si="14"/>
        <v>128.61450643776817</v>
      </c>
      <c r="P32" s="55">
        <f t="shared" si="14"/>
        <v>128.61450643776817</v>
      </c>
      <c r="Q32" s="55">
        <f t="shared" si="14"/>
        <v>128.61450643776817</v>
      </c>
      <c r="R32" s="55">
        <f t="shared" si="14"/>
        <v>128.61450643776817</v>
      </c>
      <c r="S32" s="55">
        <f t="shared" si="14"/>
        <v>128.61450643776817</v>
      </c>
      <c r="T32" s="55">
        <f t="shared" si="14"/>
        <v>128.61450643776817</v>
      </c>
      <c r="U32" s="55">
        <f t="shared" si="14"/>
        <v>128.61450643776817</v>
      </c>
      <c r="V32" s="55">
        <f t="shared" si="14"/>
        <v>128.61450643776817</v>
      </c>
      <c r="W32" s="55">
        <f t="shared" si="14"/>
        <v>128.61450643776817</v>
      </c>
      <c r="X32" s="55">
        <f t="shared" si="14"/>
        <v>128.61450643776817</v>
      </c>
      <c r="Y32" s="55">
        <f t="shared" si="14"/>
        <v>128.61450643776817</v>
      </c>
      <c r="Z32" s="55">
        <f t="shared" si="14"/>
        <v>128.61450643776817</v>
      </c>
      <c r="AA32" s="55">
        <f t="shared" si="14"/>
        <v>128.61450643776817</v>
      </c>
      <c r="AB32" s="55">
        <f t="shared" si="14"/>
        <v>128.61450643776817</v>
      </c>
      <c r="AC32" s="55">
        <f t="shared" si="14"/>
        <v>128.61450643776817</v>
      </c>
      <c r="AD32" s="55">
        <f t="shared" si="14"/>
        <v>128.61450643776817</v>
      </c>
      <c r="AE32" s="55">
        <f t="shared" si="14"/>
        <v>128.61450643776817</v>
      </c>
      <c r="AF32" s="55">
        <f t="shared" si="14"/>
        <v>128.61450643776817</v>
      </c>
      <c r="AG32" s="55">
        <f t="shared" si="14"/>
        <v>128.61450643776817</v>
      </c>
    </row>
    <row r="33" spans="1:33" s="43" customFormat="1" ht="18" customHeight="1" x14ac:dyDescent="0.25">
      <c r="A33" s="52"/>
      <c r="B33" s="53"/>
      <c r="C33" s="49"/>
      <c r="D33" s="55">
        <v>0</v>
      </c>
      <c r="E33" s="56">
        <f t="shared" ref="E33:T34" si="15">+D33</f>
        <v>0</v>
      </c>
      <c r="F33" s="56">
        <f t="shared" si="15"/>
        <v>0</v>
      </c>
      <c r="G33" s="56">
        <f t="shared" si="15"/>
        <v>0</v>
      </c>
      <c r="H33" s="56">
        <f t="shared" si="15"/>
        <v>0</v>
      </c>
      <c r="I33" s="56">
        <f t="shared" si="15"/>
        <v>0</v>
      </c>
      <c r="J33" s="56">
        <f t="shared" si="15"/>
        <v>0</v>
      </c>
      <c r="K33" s="56">
        <f t="shared" si="15"/>
        <v>0</v>
      </c>
      <c r="L33" s="56">
        <f t="shared" si="15"/>
        <v>0</v>
      </c>
      <c r="M33" s="56">
        <f t="shared" si="15"/>
        <v>0</v>
      </c>
      <c r="N33" s="56">
        <f t="shared" si="15"/>
        <v>0</v>
      </c>
      <c r="O33" s="56">
        <f t="shared" si="15"/>
        <v>0</v>
      </c>
      <c r="P33" s="56">
        <f t="shared" si="15"/>
        <v>0</v>
      </c>
      <c r="Q33" s="56">
        <f t="shared" si="15"/>
        <v>0</v>
      </c>
      <c r="R33" s="56">
        <f t="shared" si="15"/>
        <v>0</v>
      </c>
      <c r="S33" s="56">
        <f t="shared" si="15"/>
        <v>0</v>
      </c>
      <c r="T33" s="56">
        <f t="shared" si="15"/>
        <v>0</v>
      </c>
      <c r="U33" s="56">
        <f t="shared" ref="U33:AG34" si="16">+T33</f>
        <v>0</v>
      </c>
      <c r="V33" s="56">
        <f t="shared" si="16"/>
        <v>0</v>
      </c>
      <c r="W33" s="56">
        <f t="shared" si="16"/>
        <v>0</v>
      </c>
      <c r="X33" s="56">
        <f t="shared" si="16"/>
        <v>0</v>
      </c>
      <c r="Y33" s="56">
        <f t="shared" si="16"/>
        <v>0</v>
      </c>
      <c r="Z33" s="56">
        <f t="shared" si="16"/>
        <v>0</v>
      </c>
      <c r="AA33" s="56">
        <f t="shared" si="16"/>
        <v>0</v>
      </c>
      <c r="AB33" s="56">
        <f t="shared" si="16"/>
        <v>0</v>
      </c>
      <c r="AC33" s="56">
        <f t="shared" si="16"/>
        <v>0</v>
      </c>
      <c r="AD33" s="56">
        <f t="shared" si="16"/>
        <v>0</v>
      </c>
      <c r="AE33" s="56">
        <f t="shared" si="16"/>
        <v>0</v>
      </c>
      <c r="AF33" s="56">
        <f t="shared" si="16"/>
        <v>0</v>
      </c>
      <c r="AG33" s="56">
        <f t="shared" si="16"/>
        <v>0</v>
      </c>
    </row>
    <row r="34" spans="1:33" s="43" customFormat="1" ht="18" customHeight="1" x14ac:dyDescent="0.25">
      <c r="A34" s="52"/>
      <c r="B34" s="53"/>
      <c r="C34" s="49"/>
      <c r="D34" s="55">
        <v>0</v>
      </c>
      <c r="E34" s="56">
        <f t="shared" si="15"/>
        <v>0</v>
      </c>
      <c r="F34" s="56">
        <f t="shared" si="15"/>
        <v>0</v>
      </c>
      <c r="G34" s="56">
        <f t="shared" si="15"/>
        <v>0</v>
      </c>
      <c r="H34" s="56">
        <f t="shared" si="15"/>
        <v>0</v>
      </c>
      <c r="I34" s="56">
        <f t="shared" si="15"/>
        <v>0</v>
      </c>
      <c r="J34" s="56">
        <f t="shared" si="15"/>
        <v>0</v>
      </c>
      <c r="K34" s="56">
        <f t="shared" si="15"/>
        <v>0</v>
      </c>
      <c r="L34" s="56">
        <f t="shared" si="15"/>
        <v>0</v>
      </c>
      <c r="M34" s="56">
        <f t="shared" si="15"/>
        <v>0</v>
      </c>
      <c r="N34" s="56">
        <f t="shared" si="15"/>
        <v>0</v>
      </c>
      <c r="O34" s="56">
        <f t="shared" si="15"/>
        <v>0</v>
      </c>
      <c r="P34" s="56">
        <f t="shared" si="15"/>
        <v>0</v>
      </c>
      <c r="Q34" s="56">
        <f t="shared" si="15"/>
        <v>0</v>
      </c>
      <c r="R34" s="56">
        <f t="shared" si="15"/>
        <v>0</v>
      </c>
      <c r="S34" s="56">
        <f t="shared" si="15"/>
        <v>0</v>
      </c>
      <c r="T34" s="56">
        <f t="shared" si="15"/>
        <v>0</v>
      </c>
      <c r="U34" s="56">
        <f t="shared" si="16"/>
        <v>0</v>
      </c>
      <c r="V34" s="56">
        <f t="shared" si="16"/>
        <v>0</v>
      </c>
      <c r="W34" s="56">
        <f t="shared" si="16"/>
        <v>0</v>
      </c>
      <c r="X34" s="56">
        <f t="shared" si="16"/>
        <v>0</v>
      </c>
      <c r="Y34" s="56">
        <f t="shared" si="16"/>
        <v>0</v>
      </c>
      <c r="Z34" s="56">
        <f t="shared" si="16"/>
        <v>0</v>
      </c>
      <c r="AA34" s="56">
        <f t="shared" si="16"/>
        <v>0</v>
      </c>
      <c r="AB34" s="56">
        <f t="shared" si="16"/>
        <v>0</v>
      </c>
      <c r="AC34" s="56">
        <f t="shared" si="16"/>
        <v>0</v>
      </c>
      <c r="AD34" s="56">
        <f t="shared" si="16"/>
        <v>0</v>
      </c>
      <c r="AE34" s="56">
        <f t="shared" si="16"/>
        <v>0</v>
      </c>
      <c r="AF34" s="56">
        <f t="shared" si="16"/>
        <v>0</v>
      </c>
      <c r="AG34" s="56">
        <f t="shared" si="16"/>
        <v>0</v>
      </c>
    </row>
    <row r="35" spans="1:33" s="59" customFormat="1" ht="18" customHeight="1" x14ac:dyDescent="0.25">
      <c r="A35" s="48" t="s">
        <v>377</v>
      </c>
      <c r="B35" s="57">
        <f>SUM(C35:X35)</f>
        <v>7450.5946351931261</v>
      </c>
      <c r="C35" s="58">
        <f>SUM(C31:C34)</f>
        <v>0</v>
      </c>
      <c r="D35" s="58">
        <f t="shared" ref="D35:AE35" si="17">SUM(D31:D34)</f>
        <v>4878.3045064377684</v>
      </c>
      <c r="E35" s="58">
        <f t="shared" si="17"/>
        <v>128.61450643776817</v>
      </c>
      <c r="F35" s="58">
        <f t="shared" si="17"/>
        <v>128.61450643776817</v>
      </c>
      <c r="G35" s="58">
        <f t="shared" si="17"/>
        <v>128.61450643776817</v>
      </c>
      <c r="H35" s="58">
        <f t="shared" si="17"/>
        <v>128.61450643776817</v>
      </c>
      <c r="I35" s="58">
        <f t="shared" si="17"/>
        <v>128.61450643776817</v>
      </c>
      <c r="J35" s="58">
        <f t="shared" si="17"/>
        <v>128.61450643776817</v>
      </c>
      <c r="K35" s="58">
        <f t="shared" si="17"/>
        <v>128.61450643776817</v>
      </c>
      <c r="L35" s="58">
        <f t="shared" si="17"/>
        <v>128.61450643776817</v>
      </c>
      <c r="M35" s="58">
        <f t="shared" si="17"/>
        <v>128.61450643776817</v>
      </c>
      <c r="N35" s="58">
        <f t="shared" si="17"/>
        <v>128.61450643776817</v>
      </c>
      <c r="O35" s="58">
        <f t="shared" si="17"/>
        <v>128.61450643776817</v>
      </c>
      <c r="P35" s="58">
        <f t="shared" si="17"/>
        <v>128.61450643776817</v>
      </c>
      <c r="Q35" s="58">
        <f t="shared" si="17"/>
        <v>128.61450643776817</v>
      </c>
      <c r="R35" s="58">
        <f t="shared" si="17"/>
        <v>128.61450643776817</v>
      </c>
      <c r="S35" s="58">
        <f t="shared" si="17"/>
        <v>128.61450643776817</v>
      </c>
      <c r="T35" s="58">
        <f t="shared" si="17"/>
        <v>128.61450643776817</v>
      </c>
      <c r="U35" s="58">
        <f t="shared" si="17"/>
        <v>128.61450643776817</v>
      </c>
      <c r="V35" s="58">
        <f t="shared" si="17"/>
        <v>128.61450643776817</v>
      </c>
      <c r="W35" s="58">
        <f t="shared" si="17"/>
        <v>128.61450643776817</v>
      </c>
      <c r="X35" s="58">
        <f t="shared" si="17"/>
        <v>128.61450643776817</v>
      </c>
      <c r="Y35" s="58">
        <f t="shared" si="17"/>
        <v>128.61450643776817</v>
      </c>
      <c r="Z35" s="58">
        <f t="shared" si="17"/>
        <v>128.61450643776817</v>
      </c>
      <c r="AA35" s="58">
        <f t="shared" si="17"/>
        <v>128.61450643776817</v>
      </c>
      <c r="AB35" s="58">
        <f t="shared" si="17"/>
        <v>128.61450643776817</v>
      </c>
      <c r="AC35" s="58">
        <f t="shared" si="17"/>
        <v>128.61450643776817</v>
      </c>
      <c r="AD35" s="58">
        <f t="shared" si="17"/>
        <v>128.61450643776817</v>
      </c>
      <c r="AE35" s="58">
        <f t="shared" si="17"/>
        <v>128.61450643776817</v>
      </c>
      <c r="AF35" s="58">
        <f>SUM(AF31:AF34)</f>
        <v>128.61450643776817</v>
      </c>
      <c r="AG35" s="58">
        <f>SUM(AG31:AG34)</f>
        <v>128.61450643776817</v>
      </c>
    </row>
    <row r="36" spans="1:33" s="51" customFormat="1" ht="8.25" customHeight="1" x14ac:dyDescent="0.25">
      <c r="A36" s="41"/>
      <c r="B36" s="41"/>
      <c r="C36" s="41"/>
      <c r="D36" s="41"/>
      <c r="E36" s="41"/>
      <c r="F36" s="41"/>
      <c r="G36" s="41"/>
      <c r="H36" s="41"/>
      <c r="I36" s="41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</row>
    <row r="37" spans="1:33" s="51" customFormat="1" ht="18" customHeight="1" x14ac:dyDescent="0.25">
      <c r="A37" s="40" t="s">
        <v>378</v>
      </c>
      <c r="B37" s="57"/>
      <c r="C37" s="61"/>
      <c r="D37" s="61"/>
      <c r="E37" s="61"/>
      <c r="F37" s="61"/>
      <c r="G37" s="61"/>
      <c r="H37" s="61"/>
      <c r="I37" s="61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</row>
    <row r="38" spans="1:33" s="43" customFormat="1" ht="18" customHeight="1" x14ac:dyDescent="0.25">
      <c r="A38" s="52" t="s">
        <v>379</v>
      </c>
      <c r="B38" s="63"/>
      <c r="C38" s="55">
        <f>+C16</f>
        <v>2323.9299999999998</v>
      </c>
      <c r="D38" s="64"/>
      <c r="E38" s="64"/>
      <c r="F38" s="64"/>
      <c r="G38" s="64"/>
      <c r="H38" s="64"/>
      <c r="I38" s="64"/>
      <c r="J38" s="64"/>
      <c r="K38" s="64"/>
      <c r="L38" s="64"/>
      <c r="M38" s="64">
        <f>+'5_Prioritāte-3_Pielikums-1d'!J21/1000</f>
        <v>553.55399999999997</v>
      </c>
      <c r="N38" s="64"/>
      <c r="O38" s="64"/>
      <c r="P38" s="64"/>
      <c r="Q38" s="64"/>
      <c r="R38" s="64"/>
      <c r="S38" s="64"/>
      <c r="T38" s="64"/>
      <c r="U38" s="64"/>
      <c r="V38" s="64"/>
      <c r="W38" s="64">
        <f>+M38</f>
        <v>553.55399999999997</v>
      </c>
      <c r="X38" s="64"/>
      <c r="Y38" s="64"/>
      <c r="Z38" s="64"/>
      <c r="AA38" s="64"/>
      <c r="AB38" s="64"/>
      <c r="AC38" s="64"/>
      <c r="AD38" s="64"/>
      <c r="AE38" s="64"/>
      <c r="AF38" s="64"/>
      <c r="AG38" s="64">
        <f>+W38</f>
        <v>553.55399999999997</v>
      </c>
    </row>
    <row r="39" spans="1:33" s="43" customFormat="1" ht="18" hidden="1" customHeight="1" x14ac:dyDescent="0.25">
      <c r="A39" s="52" t="s">
        <v>380</v>
      </c>
      <c r="B39" s="63"/>
      <c r="C39" s="55"/>
      <c r="D39" s="55">
        <v>0</v>
      </c>
      <c r="E39" s="56">
        <f t="shared" ref="E39:T40" si="18">+D39</f>
        <v>0</v>
      </c>
      <c r="F39" s="56">
        <f t="shared" si="18"/>
        <v>0</v>
      </c>
      <c r="G39" s="56">
        <f t="shared" si="18"/>
        <v>0</v>
      </c>
      <c r="H39" s="56">
        <f t="shared" si="18"/>
        <v>0</v>
      </c>
      <c r="I39" s="56">
        <f t="shared" si="18"/>
        <v>0</v>
      </c>
      <c r="J39" s="56">
        <f t="shared" si="18"/>
        <v>0</v>
      </c>
      <c r="K39" s="56">
        <f t="shared" si="18"/>
        <v>0</v>
      </c>
      <c r="L39" s="56">
        <f t="shared" si="18"/>
        <v>0</v>
      </c>
      <c r="M39" s="56">
        <f t="shared" si="18"/>
        <v>0</v>
      </c>
      <c r="N39" s="56">
        <f t="shared" si="18"/>
        <v>0</v>
      </c>
      <c r="O39" s="56">
        <f t="shared" si="18"/>
        <v>0</v>
      </c>
      <c r="P39" s="56">
        <f t="shared" si="18"/>
        <v>0</v>
      </c>
      <c r="Q39" s="56">
        <f t="shared" si="18"/>
        <v>0</v>
      </c>
      <c r="R39" s="56">
        <f t="shared" si="18"/>
        <v>0</v>
      </c>
      <c r="S39" s="56">
        <f t="shared" si="18"/>
        <v>0</v>
      </c>
      <c r="T39" s="56">
        <f t="shared" si="18"/>
        <v>0</v>
      </c>
      <c r="U39" s="56">
        <f t="shared" ref="U39:AG40" si="19">+T39</f>
        <v>0</v>
      </c>
      <c r="V39" s="56">
        <f t="shared" si="19"/>
        <v>0</v>
      </c>
      <c r="W39" s="56">
        <f t="shared" si="19"/>
        <v>0</v>
      </c>
      <c r="X39" s="56">
        <f t="shared" si="19"/>
        <v>0</v>
      </c>
      <c r="Y39" s="56">
        <f t="shared" si="19"/>
        <v>0</v>
      </c>
      <c r="Z39" s="56">
        <f t="shared" si="19"/>
        <v>0</v>
      </c>
      <c r="AA39" s="56">
        <f t="shared" si="19"/>
        <v>0</v>
      </c>
      <c r="AB39" s="56">
        <f t="shared" si="19"/>
        <v>0</v>
      </c>
      <c r="AC39" s="56">
        <f t="shared" si="19"/>
        <v>0</v>
      </c>
      <c r="AD39" s="56">
        <f t="shared" si="19"/>
        <v>0</v>
      </c>
      <c r="AE39" s="56">
        <f t="shared" si="19"/>
        <v>0</v>
      </c>
      <c r="AF39" s="56">
        <f t="shared" si="19"/>
        <v>0</v>
      </c>
      <c r="AG39" s="56">
        <f t="shared" si="19"/>
        <v>0</v>
      </c>
    </row>
    <row r="40" spans="1:33" s="43" customFormat="1" ht="18" customHeight="1" x14ac:dyDescent="0.25">
      <c r="A40" s="52" t="s">
        <v>495</v>
      </c>
      <c r="B40" s="57"/>
      <c r="C40" s="55"/>
      <c r="D40" s="55">
        <f>+'5_Prioritāte-4_Pielikums'!D18</f>
        <v>55.355429999999998</v>
      </c>
      <c r="E40" s="56">
        <f t="shared" si="18"/>
        <v>55.355429999999998</v>
      </c>
      <c r="F40" s="56">
        <f t="shared" si="18"/>
        <v>55.355429999999998</v>
      </c>
      <c r="G40" s="56">
        <f t="shared" si="18"/>
        <v>55.355429999999998</v>
      </c>
      <c r="H40" s="56">
        <f t="shared" si="18"/>
        <v>55.355429999999998</v>
      </c>
      <c r="I40" s="56">
        <f t="shared" si="18"/>
        <v>55.355429999999998</v>
      </c>
      <c r="J40" s="56">
        <f t="shared" si="18"/>
        <v>55.355429999999998</v>
      </c>
      <c r="K40" s="56">
        <f t="shared" si="18"/>
        <v>55.355429999999998</v>
      </c>
      <c r="L40" s="56">
        <f t="shared" si="18"/>
        <v>55.355429999999998</v>
      </c>
      <c r="M40" s="56">
        <f t="shared" si="18"/>
        <v>55.355429999999998</v>
      </c>
      <c r="N40" s="56">
        <f t="shared" si="18"/>
        <v>55.355429999999998</v>
      </c>
      <c r="O40" s="56">
        <f t="shared" si="18"/>
        <v>55.355429999999998</v>
      </c>
      <c r="P40" s="56">
        <f t="shared" si="18"/>
        <v>55.355429999999998</v>
      </c>
      <c r="Q40" s="56">
        <f t="shared" si="18"/>
        <v>55.355429999999998</v>
      </c>
      <c r="R40" s="56">
        <f t="shared" si="18"/>
        <v>55.355429999999998</v>
      </c>
      <c r="S40" s="56">
        <f t="shared" si="18"/>
        <v>55.355429999999998</v>
      </c>
      <c r="T40" s="56">
        <f t="shared" si="18"/>
        <v>55.355429999999998</v>
      </c>
      <c r="U40" s="56">
        <f t="shared" si="19"/>
        <v>55.355429999999998</v>
      </c>
      <c r="V40" s="56">
        <f t="shared" si="19"/>
        <v>55.355429999999998</v>
      </c>
      <c r="W40" s="56">
        <f t="shared" si="19"/>
        <v>55.355429999999998</v>
      </c>
      <c r="X40" s="56">
        <f t="shared" si="19"/>
        <v>55.355429999999998</v>
      </c>
      <c r="Y40" s="56">
        <f t="shared" si="19"/>
        <v>55.355429999999998</v>
      </c>
      <c r="Z40" s="56">
        <f t="shared" si="19"/>
        <v>55.355429999999998</v>
      </c>
      <c r="AA40" s="56">
        <f t="shared" si="19"/>
        <v>55.355429999999998</v>
      </c>
      <c r="AB40" s="56">
        <f t="shared" si="19"/>
        <v>55.355429999999998</v>
      </c>
      <c r="AC40" s="56">
        <f t="shared" si="19"/>
        <v>55.355429999999998</v>
      </c>
      <c r="AD40" s="56">
        <f t="shared" si="19"/>
        <v>55.355429999999998</v>
      </c>
      <c r="AE40" s="56">
        <f t="shared" si="19"/>
        <v>55.355429999999998</v>
      </c>
      <c r="AF40" s="56">
        <f t="shared" si="19"/>
        <v>55.355429999999998</v>
      </c>
      <c r="AG40" s="56">
        <f t="shared" si="19"/>
        <v>55.355429999999998</v>
      </c>
    </row>
    <row r="41" spans="1:33" s="59" customFormat="1" ht="18" customHeight="1" x14ac:dyDescent="0.25">
      <c r="A41" s="48" t="s">
        <v>381</v>
      </c>
      <c r="B41" s="57">
        <f>SUM(C41:X41)</f>
        <v>4593.5020300000006</v>
      </c>
      <c r="C41" s="65">
        <f>SUM(C38:C40)</f>
        <v>2323.9299999999998</v>
      </c>
      <c r="D41" s="65">
        <f t="shared" ref="D41:W41" si="20">SUM(D38:D40)</f>
        <v>55.355429999999998</v>
      </c>
      <c r="E41" s="65">
        <f t="shared" si="20"/>
        <v>55.355429999999998</v>
      </c>
      <c r="F41" s="65">
        <f t="shared" si="20"/>
        <v>55.355429999999998</v>
      </c>
      <c r="G41" s="65">
        <f t="shared" si="20"/>
        <v>55.355429999999998</v>
      </c>
      <c r="H41" s="65">
        <f t="shared" si="20"/>
        <v>55.355429999999998</v>
      </c>
      <c r="I41" s="65">
        <f t="shared" si="20"/>
        <v>55.355429999999998</v>
      </c>
      <c r="J41" s="66">
        <f t="shared" si="20"/>
        <v>55.355429999999998</v>
      </c>
      <c r="K41" s="66">
        <f t="shared" si="20"/>
        <v>55.355429999999998</v>
      </c>
      <c r="L41" s="66">
        <f t="shared" si="20"/>
        <v>55.355429999999998</v>
      </c>
      <c r="M41" s="66">
        <f t="shared" si="20"/>
        <v>608.90942999999993</v>
      </c>
      <c r="N41" s="66">
        <f t="shared" si="20"/>
        <v>55.355429999999998</v>
      </c>
      <c r="O41" s="66">
        <f t="shared" si="20"/>
        <v>55.355429999999998</v>
      </c>
      <c r="P41" s="66">
        <f t="shared" si="20"/>
        <v>55.355429999999998</v>
      </c>
      <c r="Q41" s="66">
        <f t="shared" si="20"/>
        <v>55.355429999999998</v>
      </c>
      <c r="R41" s="66">
        <f t="shared" si="20"/>
        <v>55.355429999999998</v>
      </c>
      <c r="S41" s="66">
        <f t="shared" si="20"/>
        <v>55.355429999999998</v>
      </c>
      <c r="T41" s="66">
        <f t="shared" si="20"/>
        <v>55.355429999999998</v>
      </c>
      <c r="U41" s="66">
        <f t="shared" si="20"/>
        <v>55.355429999999998</v>
      </c>
      <c r="V41" s="66">
        <f t="shared" si="20"/>
        <v>55.355429999999998</v>
      </c>
      <c r="W41" s="66">
        <f t="shared" si="20"/>
        <v>608.90942999999993</v>
      </c>
      <c r="X41" s="66">
        <f t="shared" ref="X41:AB41" si="21">SUM(X38:X40)</f>
        <v>55.355429999999998</v>
      </c>
      <c r="Y41" s="66">
        <f t="shared" si="21"/>
        <v>55.355429999999998</v>
      </c>
      <c r="Z41" s="66">
        <f t="shared" si="21"/>
        <v>55.355429999999998</v>
      </c>
      <c r="AA41" s="66">
        <f t="shared" si="21"/>
        <v>55.355429999999998</v>
      </c>
      <c r="AB41" s="66">
        <f t="shared" si="21"/>
        <v>55.355429999999998</v>
      </c>
      <c r="AC41" s="66">
        <f>SUM(AC38:AC40)</f>
        <v>55.355429999999998</v>
      </c>
      <c r="AD41" s="66">
        <f>SUM(AD38:AD40)</f>
        <v>55.355429999999998</v>
      </c>
      <c r="AE41" s="66">
        <f>SUM(AE38:AE40)</f>
        <v>55.355429999999998</v>
      </c>
      <c r="AF41" s="66">
        <f>SUM(AF38:AF40)</f>
        <v>55.355429999999998</v>
      </c>
      <c r="AG41" s="66">
        <f>SUM(AG38:AG40)</f>
        <v>608.90942999999993</v>
      </c>
    </row>
    <row r="42" spans="1:33" s="43" customFormat="1" ht="8.25" customHeight="1" x14ac:dyDescent="0.25">
      <c r="A42" s="67"/>
      <c r="B42" s="57"/>
      <c r="C42" s="68"/>
      <c r="D42" s="68"/>
      <c r="E42" s="68"/>
      <c r="F42" s="68"/>
      <c r="G42" s="68"/>
      <c r="H42" s="68"/>
      <c r="I42" s="68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</row>
    <row r="43" spans="1:33" s="51" customFormat="1" ht="18" customHeight="1" x14ac:dyDescent="0.25">
      <c r="A43" s="70" t="s">
        <v>382</v>
      </c>
      <c r="B43" s="57"/>
      <c r="C43" s="71">
        <f t="shared" ref="C43:AG43" si="22">+C35-C41</f>
        <v>-2323.9299999999998</v>
      </c>
      <c r="D43" s="71">
        <f t="shared" si="22"/>
        <v>4822.9490764377688</v>
      </c>
      <c r="E43" s="71">
        <f t="shared" si="22"/>
        <v>73.259076437768172</v>
      </c>
      <c r="F43" s="71">
        <f t="shared" si="22"/>
        <v>73.259076437768172</v>
      </c>
      <c r="G43" s="71">
        <f t="shared" si="22"/>
        <v>73.259076437768172</v>
      </c>
      <c r="H43" s="71">
        <f t="shared" si="22"/>
        <v>73.259076437768172</v>
      </c>
      <c r="I43" s="71">
        <f t="shared" si="22"/>
        <v>73.259076437768172</v>
      </c>
      <c r="J43" s="72">
        <f t="shared" si="22"/>
        <v>73.259076437768172</v>
      </c>
      <c r="K43" s="72">
        <f t="shared" si="22"/>
        <v>73.259076437768172</v>
      </c>
      <c r="L43" s="72">
        <f t="shared" si="22"/>
        <v>73.259076437768172</v>
      </c>
      <c r="M43" s="72">
        <f t="shared" si="22"/>
        <v>-480.29492356223176</v>
      </c>
      <c r="N43" s="72">
        <f t="shared" si="22"/>
        <v>73.259076437768172</v>
      </c>
      <c r="O43" s="72">
        <f t="shared" si="22"/>
        <v>73.259076437768172</v>
      </c>
      <c r="P43" s="72">
        <f t="shared" si="22"/>
        <v>73.259076437768172</v>
      </c>
      <c r="Q43" s="72">
        <f t="shared" si="22"/>
        <v>73.259076437768172</v>
      </c>
      <c r="R43" s="72">
        <f t="shared" si="22"/>
        <v>73.259076437768172</v>
      </c>
      <c r="S43" s="72">
        <f t="shared" si="22"/>
        <v>73.259076437768172</v>
      </c>
      <c r="T43" s="72">
        <f t="shared" si="22"/>
        <v>73.259076437768172</v>
      </c>
      <c r="U43" s="72">
        <f t="shared" si="22"/>
        <v>73.259076437768172</v>
      </c>
      <c r="V43" s="72">
        <f t="shared" si="22"/>
        <v>73.259076437768172</v>
      </c>
      <c r="W43" s="72">
        <f t="shared" si="22"/>
        <v>-480.29492356223176</v>
      </c>
      <c r="X43" s="72">
        <f t="shared" si="22"/>
        <v>73.259076437768172</v>
      </c>
      <c r="Y43" s="72">
        <f t="shared" si="22"/>
        <v>73.259076437768172</v>
      </c>
      <c r="Z43" s="72">
        <f t="shared" si="22"/>
        <v>73.259076437768172</v>
      </c>
      <c r="AA43" s="72">
        <f t="shared" si="22"/>
        <v>73.259076437768172</v>
      </c>
      <c r="AB43" s="72">
        <f t="shared" si="22"/>
        <v>73.259076437768172</v>
      </c>
      <c r="AC43" s="72">
        <f t="shared" si="22"/>
        <v>73.259076437768172</v>
      </c>
      <c r="AD43" s="72">
        <f t="shared" si="22"/>
        <v>73.259076437768172</v>
      </c>
      <c r="AE43" s="72">
        <f t="shared" si="22"/>
        <v>73.259076437768172</v>
      </c>
      <c r="AF43" s="72">
        <f t="shared" si="22"/>
        <v>73.259076437768172</v>
      </c>
      <c r="AG43" s="72">
        <f t="shared" si="22"/>
        <v>-480.29492356223176</v>
      </c>
    </row>
    <row r="44" spans="1:33" s="43" customFormat="1" ht="18" customHeight="1" thickBot="1" x14ac:dyDescent="0.3">
      <c r="A44" s="73" t="s">
        <v>383</v>
      </c>
      <c r="B44" s="74">
        <v>0.05</v>
      </c>
      <c r="C44" s="75"/>
      <c r="D44" s="76"/>
      <c r="E44" s="76"/>
      <c r="F44" s="76"/>
      <c r="G44" s="76"/>
      <c r="H44" s="76"/>
      <c r="I44" s="76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</row>
    <row r="45" spans="1:33" s="43" customFormat="1" ht="18" customHeight="1" thickBot="1" x14ac:dyDescent="0.3">
      <c r="A45" s="78" t="s">
        <v>384</v>
      </c>
      <c r="B45" s="79">
        <f>IF(B46&lt;0,"n/a",IRR(C43:AG43,B44))</f>
        <v>1.1036105704514672</v>
      </c>
      <c r="C45" s="80"/>
      <c r="D45" s="76"/>
      <c r="E45" s="76"/>
      <c r="F45" s="76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</row>
    <row r="46" spans="1:33" s="43" customFormat="1" ht="18" customHeight="1" thickBot="1" x14ac:dyDescent="0.3">
      <c r="A46" s="78" t="s">
        <v>385</v>
      </c>
      <c r="B46" s="82">
        <f>+ROUND(NPV(B44,C43:AG43),2)</f>
        <v>2523.06</v>
      </c>
      <c r="C46" s="83" t="s">
        <v>386</v>
      </c>
      <c r="D46" s="76"/>
      <c r="E46" s="76"/>
      <c r="F46" s="76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</row>
    <row r="47" spans="1:33" s="43" customFormat="1" ht="18" customHeight="1" thickBot="1" x14ac:dyDescent="0.3">
      <c r="A47" s="84" t="s">
        <v>387</v>
      </c>
      <c r="B47" s="85">
        <f>NPV(B44,C35:AG35)/NPV(B44,C41:AG41)</f>
        <v>1.6878533580151664</v>
      </c>
      <c r="C47" s="80"/>
      <c r="D47" s="77"/>
      <c r="E47" s="77"/>
      <c r="F47" s="77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</row>
    <row r="48" spans="1:33" s="86" customFormat="1" ht="18" customHeigh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</row>
    <row r="49" spans="1:33" s="86" customFormat="1" x14ac:dyDescent="0.25">
      <c r="A49" s="87"/>
      <c r="B49" s="88"/>
      <c r="C49" s="89"/>
      <c r="D49" s="90"/>
      <c r="E49" s="90"/>
      <c r="F49" s="90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</row>
    <row r="50" spans="1:33" x14ac:dyDescent="0.25">
      <c r="A50" s="87"/>
      <c r="B50" s="88"/>
      <c r="C50" s="89"/>
      <c r="D50" s="90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</row>
    <row r="51" spans="1:33" x14ac:dyDescent="0.25">
      <c r="A51" s="87"/>
      <c r="B51" s="88"/>
      <c r="C51" s="89"/>
      <c r="D51" s="90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</row>
    <row r="52" spans="1:33" x14ac:dyDescent="0.25">
      <c r="A52" s="87"/>
      <c r="B52" s="88"/>
      <c r="C52" s="89"/>
      <c r="D52" s="90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</row>
    <row r="53" spans="1:33" x14ac:dyDescent="0.25">
      <c r="A53" s="87"/>
      <c r="B53" s="88"/>
      <c r="C53" s="89"/>
      <c r="D53" s="90"/>
    </row>
    <row r="54" spans="1:33" x14ac:dyDescent="0.25">
      <c r="A54" s="87"/>
      <c r="B54" s="88"/>
      <c r="C54" s="89"/>
      <c r="D54" s="90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</row>
    <row r="55" spans="1:33" x14ac:dyDescent="0.25">
      <c r="A55" s="87"/>
      <c r="B55" s="88"/>
      <c r="C55" s="89"/>
      <c r="D55" s="90"/>
    </row>
    <row r="56" spans="1:33" x14ac:dyDescent="0.25">
      <c r="A56" s="87"/>
      <c r="B56" s="88"/>
      <c r="C56" s="89"/>
      <c r="D56" s="90"/>
    </row>
    <row r="57" spans="1:33" ht="15" x14ac:dyDescent="0.25">
      <c r="A57" s="87"/>
      <c r="B57" s="88"/>
      <c r="C57" s="89"/>
      <c r="D57" s="90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</row>
    <row r="58" spans="1:33" ht="15" x14ac:dyDescent="0.25">
      <c r="A58" s="87"/>
      <c r="B58" s="88"/>
      <c r="C58" s="89"/>
      <c r="D58" s="90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</row>
    <row r="59" spans="1:33" x14ac:dyDescent="0.2">
      <c r="A59" s="93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</row>
    <row r="60" spans="1:33" x14ac:dyDescent="0.25">
      <c r="A60" s="93"/>
      <c r="B60" s="95"/>
    </row>
    <row r="61" spans="1:33" x14ac:dyDescent="0.25">
      <c r="A61" s="93"/>
    </row>
    <row r="62" spans="1:33" x14ac:dyDescent="0.25">
      <c r="A62" s="93"/>
    </row>
  </sheetData>
  <sheetProtection formatColumns="0" formatRows="0" insertColumns="0" insertRows="0" insertHyperlinks="0" deleteColumns="0" deleteRows="0" sort="0" autoFilter="0" pivotTables="0"/>
  <pageMargins left="0.27559055118110237" right="0.27559055118110237" top="0.51181102362204722" bottom="0.43307086614173229" header="0.31496062992125984" footer="0.15748031496062992"/>
  <pageSetup paperSize="9" scale="54" orientation="landscape" r:id="rId1"/>
  <headerFooter>
    <oddFooter>&amp;C&amp;A&amp;RLapa &amp;P no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10</vt:i4>
      </vt:variant>
    </vt:vector>
  </HeadingPairs>
  <TitlesOfParts>
    <vt:vector size="21" baseType="lpstr">
      <vt:lpstr>5_Prioritate-1_Pielikums</vt:lpstr>
      <vt:lpstr>5_Prioritāte-2_Pielikums-1d</vt:lpstr>
      <vt:lpstr>5_Prioritāte-2_Pielikums-2d</vt:lpstr>
      <vt:lpstr>5_Prioritāte-3_Pielikums-1d</vt:lpstr>
      <vt:lpstr>5_Prioritāte-3_Pielikums-2d</vt:lpstr>
      <vt:lpstr>5_Prioritāte-3_Pielikums-3d</vt:lpstr>
      <vt:lpstr>5_Prioritāte-4_Pielikums</vt:lpstr>
      <vt:lpstr>5_Prioritāte-5_Pielikums</vt:lpstr>
      <vt:lpstr>R-NPV-IRR-BC-5_Prioritāte</vt:lpstr>
      <vt:lpstr>Sheet3</vt:lpstr>
      <vt:lpstr>Sheet2</vt:lpstr>
      <vt:lpstr>'5_Prioritate-1_Pielikums'!Print_Area</vt:lpstr>
      <vt:lpstr>'5_Prioritāte-2_Pielikums-1d'!Print_Area</vt:lpstr>
      <vt:lpstr>'5_Prioritāte-2_Pielikums-2d'!Print_Area</vt:lpstr>
      <vt:lpstr>'5_Prioritāte-3_Pielikums-1d'!Print_Area</vt:lpstr>
      <vt:lpstr>'5_Prioritāte-3_Pielikums-2d'!Print_Area</vt:lpstr>
      <vt:lpstr>'5_Prioritāte-3_Pielikums-3d'!Print_Area</vt:lpstr>
      <vt:lpstr>'5_Prioritāte-4_Pielikums'!Print_Area</vt:lpstr>
      <vt:lpstr>'5_Prioritāte-5_Pielikums'!Print_Area</vt:lpstr>
      <vt:lpstr>'R-NPV-IRR-BC-5_Prioritāte'!Print_Area</vt:lpstr>
      <vt:lpstr>'5_Prioritate-1_Pielikums'!Print_Titles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gundao</dc:creator>
  <cp:lastModifiedBy>Laura</cp:lastModifiedBy>
  <cp:lastPrinted>2019-08-09T11:39:30Z</cp:lastPrinted>
  <dcterms:created xsi:type="dcterms:W3CDTF">2019-06-14T06:11:32Z</dcterms:created>
  <dcterms:modified xsi:type="dcterms:W3CDTF">2019-11-26T07:14:40Z</dcterms:modified>
</cp:coreProperties>
</file>