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6.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9.xml" ContentType="application/vnd.openxmlformats-officedocument.drawingml.chartshapes+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27" documentId="8_{60642BDD-F1B5-49A7-900B-45AC02147FB0}" xr6:coauthVersionLast="47" xr6:coauthVersionMax="47" xr10:uidLastSave="{40CFF035-3638-4DA0-99CF-41E04034F7DB}"/>
  <bookViews>
    <workbookView xWindow="-120" yWindow="-120" windowWidth="29040" windowHeight="15720" xr2:uid="{00000000-000D-0000-FFFF-FFFF00000000}"/>
  </bookViews>
  <sheets>
    <sheet name="Statusa tabula" sheetId="2" r:id="rId1"/>
    <sheet name="Butiskais_grafiski" sheetId="29" r:id="rId2"/>
    <sheet name="Politikas mērķi" sheetId="10" r:id="rId3"/>
    <sheet name="Ministrijas" sheetId="28" r:id="rId4"/>
    <sheet name="No EK saņemtie maksājumi" sheetId="13" r:id="rId5"/>
    <sheet name="datums_" sheetId="20" state="hidden" r:id="rId6"/>
  </sheets>
  <definedNames>
    <definedName name="_xlnm._FilterDatabase" localSheetId="3" hidden="1">Ministrijas!$A$5:$O$74</definedName>
    <definedName name="_xlnm._FilterDatabase" localSheetId="0" hidden="1">'Statusa tabula'!$A$10:$BE$242</definedName>
    <definedName name="dat_lidz">'Statusa tabula'!$T$1</definedName>
    <definedName name="datums">datums_!$A$2</definedName>
    <definedName name="_xlnm.Print_Area" localSheetId="3">Ministrijas!$A$1:$Y$92</definedName>
    <definedName name="_xlnm.Print_Area" localSheetId="2">'Politikas mērķi'!$A$1:$N$108</definedName>
    <definedName name="_xlnm.Print_Titles" localSheetId="0">'Statusa tabula'!$3:$4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8" l="1"/>
  <c r="AH26" i="10"/>
  <c r="AC26" i="10" l="1"/>
  <c r="AC12" i="10"/>
  <c r="AJ10" i="28" l="1"/>
  <c r="E74" i="28"/>
  <c r="E73" i="28"/>
  <c r="E72" i="28"/>
  <c r="E71" i="28"/>
  <c r="E70" i="28"/>
  <c r="E69" i="28"/>
  <c r="E68" i="28"/>
  <c r="E67" i="28"/>
  <c r="E66" i="28"/>
  <c r="E65" i="28"/>
  <c r="E64" i="28"/>
  <c r="E63" i="28"/>
  <c r="E61" i="28"/>
  <c r="E60" i="28"/>
  <c r="E59" i="28"/>
  <c r="E58" i="28"/>
  <c r="E57" i="28"/>
  <c r="E56" i="28"/>
  <c r="E55" i="28"/>
  <c r="E54" i="28"/>
  <c r="E53" i="28"/>
  <c r="E52" i="28"/>
  <c r="E51" i="28"/>
  <c r="E50" i="28"/>
  <c r="E48" i="28"/>
  <c r="E47" i="28"/>
  <c r="E46" i="28"/>
  <c r="E45" i="28"/>
  <c r="E44" i="28"/>
  <c r="E43" i="28"/>
  <c r="E42" i="28"/>
  <c r="E41" i="28"/>
  <c r="E40" i="28"/>
  <c r="E39" i="28"/>
  <c r="E38" i="28"/>
  <c r="E37" i="28"/>
  <c r="E35" i="28"/>
  <c r="E34" i="28"/>
  <c r="E33" i="28"/>
  <c r="E32" i="28"/>
  <c r="E31" i="28"/>
  <c r="E30" i="28"/>
  <c r="E29" i="28"/>
  <c r="E28" i="28"/>
  <c r="E27" i="28"/>
  <c r="E26" i="28"/>
  <c r="E25" i="28"/>
  <c r="E24" i="28"/>
  <c r="E22" i="28"/>
  <c r="E21" i="28"/>
  <c r="E20" i="28"/>
  <c r="E19" i="28"/>
  <c r="E18" i="28"/>
  <c r="E17" i="28"/>
  <c r="E16" i="28"/>
  <c r="E15" i="28"/>
  <c r="E14" i="28"/>
  <c r="E12" i="28"/>
  <c r="E11" i="28"/>
  <c r="AM10" i="28"/>
  <c r="AL10" i="28"/>
  <c r="AK10" i="28"/>
  <c r="E2" i="28"/>
  <c r="AG26" i="10" l="1"/>
  <c r="AF26" i="10"/>
  <c r="AE26" i="10"/>
  <c r="A1" i="20" l="1" a="1"/>
  <c r="AH12" i="10" l="1"/>
  <c r="AG12" i="10"/>
  <c r="AF12" i="10"/>
  <c r="AE12" i="10"/>
  <c r="T20" i="10"/>
  <c r="U20" i="10" s="1"/>
  <c r="T19" i="10"/>
  <c r="U19" i="10" s="1"/>
  <c r="T18" i="10"/>
  <c r="U18" i="10" s="1"/>
  <c r="T17" i="10"/>
  <c r="U17" i="10" s="1"/>
  <c r="T16" i="10"/>
  <c r="U16" i="10" s="1"/>
  <c r="T15" i="10"/>
  <c r="U15" i="10" s="1"/>
  <c r="T14" i="10"/>
  <c r="U14" i="10" s="1"/>
  <c r="T13" i="10"/>
  <c r="U13" i="10" s="1"/>
  <c r="T21" i="10"/>
  <c r="W21" i="10" l="1"/>
  <c r="AD21" i="10"/>
  <c r="AH21" i="10" s="1"/>
  <c r="V21" i="10"/>
  <c r="X21" i="10"/>
  <c r="Y21" i="10"/>
  <c r="AE21" i="10" l="1"/>
  <c r="AG21" i="10"/>
  <c r="C11" i="13" l="1"/>
  <c r="J21" i="28" l="1"/>
  <c r="F20" i="28"/>
  <c r="G24" i="28" l="1"/>
  <c r="I61" i="28"/>
  <c r="V7" i="2"/>
  <c r="N28" i="28"/>
  <c r="G70" i="28"/>
  <c r="F60" i="28"/>
  <c r="I27" i="28"/>
  <c r="I34" i="28"/>
  <c r="BE9" i="2"/>
  <c r="I65" i="28"/>
  <c r="L55" i="28"/>
  <c r="J56" i="28"/>
  <c r="W6" i="2"/>
  <c r="F53" i="28"/>
  <c r="J55" i="28"/>
  <c r="G34" i="28"/>
  <c r="J44" i="28"/>
  <c r="J71" i="28"/>
  <c r="AV9" i="2"/>
  <c r="F72" i="28"/>
  <c r="I33" i="28"/>
  <c r="AY8" i="2"/>
  <c r="F63" i="28"/>
  <c r="Z8" i="2"/>
  <c r="I69" i="28"/>
  <c r="G52" i="28"/>
  <c r="F27" i="28"/>
  <c r="J24" i="28"/>
  <c r="G57" i="28"/>
  <c r="G69" i="28"/>
  <c r="L74" i="28"/>
  <c r="G72" i="28"/>
  <c r="J74" i="28"/>
  <c r="F69" i="28"/>
  <c r="N65" i="28"/>
  <c r="G26" i="28"/>
  <c r="E11" i="10"/>
  <c r="AD27" i="10" s="1"/>
  <c r="AU6" i="2"/>
  <c r="AV8" i="2"/>
  <c r="F16" i="28"/>
  <c r="J31" i="28"/>
  <c r="G51" i="28"/>
  <c r="I50" i="28"/>
  <c r="N56" i="28"/>
  <c r="AD9" i="2"/>
  <c r="BC8" i="2"/>
  <c r="J18" i="28"/>
  <c r="F21" i="28"/>
  <c r="I19" i="28"/>
  <c r="BE8" i="2"/>
  <c r="J32" i="28"/>
  <c r="I56" i="28"/>
  <c r="I35" i="28"/>
  <c r="G37" i="28"/>
  <c r="G21" i="28"/>
  <c r="Z6" i="2"/>
  <c r="J73" i="28"/>
  <c r="F35" i="28"/>
  <c r="AB9" i="2"/>
  <c r="G38" i="28"/>
  <c r="I20" i="28"/>
  <c r="BC6" i="2"/>
  <c r="AY6" i="2"/>
  <c r="AA6" i="2"/>
  <c r="AD6" i="2"/>
  <c r="G27" i="28"/>
  <c r="I31" i="28"/>
  <c r="L52" i="28"/>
  <c r="J29" i="28"/>
  <c r="G17" i="28"/>
  <c r="I21" i="28"/>
  <c r="E10" i="10"/>
  <c r="AD29" i="10" s="1"/>
  <c r="J57" i="28"/>
  <c r="AH8" i="2"/>
  <c r="AB6" i="2"/>
  <c r="J52" i="28"/>
  <c r="N61" i="28"/>
  <c r="L67" i="28"/>
  <c r="I53" i="28"/>
  <c r="G63" i="28"/>
  <c r="AS8" i="2"/>
  <c r="BD6" i="2"/>
  <c r="G65" i="28"/>
  <c r="G71" i="28"/>
  <c r="L73" i="28"/>
  <c r="J60" i="28"/>
  <c r="F22" i="28"/>
  <c r="G9" i="28"/>
  <c r="N26" i="28"/>
  <c r="F65" i="28"/>
  <c r="AW6" i="2"/>
  <c r="F74" i="28"/>
  <c r="G35" i="28"/>
  <c r="I59" i="28"/>
  <c r="AU8" i="2"/>
  <c r="AA9" i="2"/>
  <c r="I48" i="28"/>
  <c r="I24" i="28"/>
  <c r="L56" i="28"/>
  <c r="G30" i="28"/>
  <c r="L70" i="28"/>
  <c r="F54" i="28"/>
  <c r="J59" i="28"/>
  <c r="N55" i="28"/>
  <c r="J26" i="28"/>
  <c r="I68" i="28"/>
  <c r="I52" i="28"/>
  <c r="G67" i="28"/>
  <c r="L50" i="28"/>
  <c r="W9" i="2"/>
  <c r="G32" i="28"/>
  <c r="F73" i="28"/>
  <c r="I60" i="28"/>
  <c r="I54" i="28"/>
  <c r="G59" i="28"/>
  <c r="J28" i="28"/>
  <c r="J65" i="28"/>
  <c r="I57" i="28"/>
  <c r="V6" i="2"/>
  <c r="F46" i="28"/>
  <c r="L26" i="28"/>
  <c r="F30" i="28"/>
  <c r="J53" i="28"/>
  <c r="J66" i="28"/>
  <c r="I74" i="28"/>
  <c r="I66" i="28"/>
  <c r="F52" i="28"/>
  <c r="AA8" i="2"/>
  <c r="G64" i="28"/>
  <c r="G55" i="28"/>
  <c r="I30" i="28"/>
  <c r="G61" i="28"/>
  <c r="I11" i="10"/>
  <c r="F56" i="28"/>
  <c r="N53" i="28"/>
  <c r="G7" i="28"/>
  <c r="F43" i="28"/>
  <c r="N52" i="28"/>
  <c r="J67" i="28"/>
  <c r="J58" i="28"/>
  <c r="I70" i="28"/>
  <c r="L63" i="28"/>
  <c r="I29" i="28"/>
  <c r="BD8" i="2"/>
  <c r="R8" i="2"/>
  <c r="BD9" i="2"/>
  <c r="W7" i="2"/>
  <c r="BC9" i="2"/>
  <c r="G28" i="28"/>
  <c r="L68" i="28"/>
  <c r="N63" i="28"/>
  <c r="F26" i="28"/>
  <c r="J61" i="28"/>
  <c r="J68" i="28"/>
  <c r="N54" i="28"/>
  <c r="N67" i="28"/>
  <c r="N58" i="28"/>
  <c r="W8" i="2"/>
  <c r="R9" i="2"/>
  <c r="AH9" i="2"/>
  <c r="AO6" i="2"/>
  <c r="L65" i="28"/>
  <c r="G58" i="28"/>
  <c r="F67" i="28"/>
  <c r="I72" i="28"/>
  <c r="G53" i="28"/>
  <c r="I55" i="28"/>
  <c r="F55" i="28"/>
  <c r="I28" i="28"/>
  <c r="F24" i="28"/>
  <c r="F29" i="28"/>
  <c r="L69" i="28"/>
  <c r="G50" i="28"/>
  <c r="BE6" i="2"/>
  <c r="G33" i="28"/>
  <c r="L31" i="28"/>
  <c r="I46" i="28"/>
  <c r="AC9" i="2"/>
  <c r="AX6" i="2"/>
  <c r="AB8" i="2"/>
  <c r="I32" i="28"/>
  <c r="L53" i="28"/>
  <c r="N71" i="28"/>
  <c r="I67" i="28"/>
  <c r="F34" i="28"/>
  <c r="N50" i="28"/>
  <c r="J30" i="28"/>
  <c r="J33" i="28"/>
  <c r="J63" i="28"/>
  <c r="F50" i="28"/>
  <c r="AC6" i="2"/>
  <c r="V9" i="2"/>
  <c r="N68" i="28"/>
  <c r="G73" i="28"/>
  <c r="AO9" i="2"/>
  <c r="G66" i="28"/>
  <c r="I73" i="28"/>
  <c r="AC8" i="2"/>
  <c r="I26" i="28"/>
  <c r="G31" i="28"/>
  <c r="L58" i="28"/>
  <c r="F71" i="28"/>
  <c r="AX9" i="2"/>
  <c r="F61" i="28"/>
  <c r="J72" i="28"/>
  <c r="J35" i="28"/>
  <c r="J54" i="28"/>
  <c r="L54" i="28"/>
  <c r="F59" i="28"/>
  <c r="L60" i="28"/>
  <c r="J70" i="28"/>
  <c r="I8" i="10"/>
  <c r="G56" i="28"/>
  <c r="G68" i="28"/>
  <c r="N69" i="28"/>
  <c r="F58" i="28"/>
  <c r="AX8" i="2"/>
  <c r="F68" i="28"/>
  <c r="AW9" i="2"/>
  <c r="N74" i="28"/>
  <c r="I58" i="28"/>
  <c r="F32" i="28"/>
  <c r="L61" i="28"/>
  <c r="N73" i="28"/>
  <c r="AV6" i="2"/>
  <c r="G74" i="28"/>
  <c r="R6" i="2"/>
  <c r="V8" i="2"/>
  <c r="AY9" i="2"/>
  <c r="G10" i="28"/>
  <c r="Z9" i="2"/>
  <c r="G48" i="28"/>
  <c r="L28" i="28"/>
  <c r="G54" i="28"/>
  <c r="F70" i="28"/>
  <c r="F57" i="28"/>
  <c r="AW8" i="2"/>
  <c r="I10" i="10"/>
  <c r="J27" i="28"/>
  <c r="AU9" i="2"/>
  <c r="AS9" i="2"/>
  <c r="G60" i="28"/>
  <c r="E8" i="10"/>
  <c r="AD28" i="10" s="1"/>
  <c r="L71" i="28"/>
  <c r="J34" i="28"/>
  <c r="AS6" i="2"/>
  <c r="G25" i="28"/>
  <c r="AD8" i="2"/>
  <c r="F31" i="28"/>
  <c r="F28" i="28"/>
  <c r="AO8" i="2"/>
  <c r="G29" i="28"/>
  <c r="N31" i="28"/>
  <c r="AH6" i="2"/>
  <c r="I63" i="28"/>
  <c r="F66" i="28"/>
  <c r="J69" i="28"/>
  <c r="I71" i="28"/>
  <c r="N70" i="28"/>
  <c r="J42" i="28"/>
  <c r="N60" i="28"/>
  <c r="F33" i="28"/>
  <c r="J50" i="28"/>
  <c r="G20" i="28"/>
  <c r="H20" i="28" s="1"/>
  <c r="G47" i="28"/>
  <c r="J46" i="28"/>
  <c r="J41" i="28"/>
  <c r="G12" i="28"/>
  <c r="I14" i="28"/>
  <c r="J11" i="28"/>
  <c r="G19" i="28"/>
  <c r="J37" i="28"/>
  <c r="F41" i="28"/>
  <c r="I22" i="28"/>
  <c r="G13" i="28"/>
  <c r="I41" i="28"/>
  <c r="I18" i="28"/>
  <c r="F17" i="28"/>
  <c r="I15" i="28"/>
  <c r="F48" i="28"/>
  <c r="I17" i="28"/>
  <c r="I11" i="28"/>
  <c r="I13" i="28"/>
  <c r="G41" i="28"/>
  <c r="F47" i="28"/>
  <c r="L45" i="28"/>
  <c r="J22" i="28"/>
  <c r="J39" i="28"/>
  <c r="F14" i="28"/>
  <c r="G18" i="28"/>
  <c r="I42" i="28"/>
  <c r="I43" i="28"/>
  <c r="G43" i="28"/>
  <c r="J17" i="28"/>
  <c r="F11" i="28"/>
  <c r="G44" i="28"/>
  <c r="F15" i="28"/>
  <c r="F19" i="28"/>
  <c r="J48" i="28"/>
  <c r="G16" i="28"/>
  <c r="I39" i="28"/>
  <c r="J15" i="28"/>
  <c r="F18" i="28"/>
  <c r="F45" i="28"/>
  <c r="F44" i="28"/>
  <c r="G45" i="28"/>
  <c r="F42" i="28"/>
  <c r="I40" i="28"/>
  <c r="I37" i="28"/>
  <c r="F37" i="28"/>
  <c r="G22" i="28"/>
  <c r="G39" i="28"/>
  <c r="N45" i="28"/>
  <c r="J20" i="28"/>
  <c r="K20" i="28" s="1"/>
  <c r="J19" i="28"/>
  <c r="F39" i="28"/>
  <c r="J13" i="28"/>
  <c r="I45" i="28"/>
  <c r="G42" i="28"/>
  <c r="I16" i="28"/>
  <c r="J16" i="28"/>
  <c r="G15" i="28"/>
  <c r="F40" i="28"/>
  <c r="I47" i="28"/>
  <c r="G46" i="28"/>
  <c r="I44" i="28"/>
  <c r="G11" i="28"/>
  <c r="J45" i="28"/>
  <c r="F13" i="28"/>
  <c r="J47" i="28"/>
  <c r="J43" i="28"/>
  <c r="AB7" i="2"/>
  <c r="AA7" i="2"/>
  <c r="Q6" i="2"/>
  <c r="Q8" i="2"/>
  <c r="AY7" i="2"/>
  <c r="BE7" i="2"/>
  <c r="AW7" i="2"/>
  <c r="AU7" i="2"/>
  <c r="Z7" i="2"/>
  <c r="BD7" i="2"/>
  <c r="AV7" i="2"/>
  <c r="AC7" i="2"/>
  <c r="BC7" i="2"/>
  <c r="AX7" i="2"/>
  <c r="AH7" i="2"/>
  <c r="AO7" i="2"/>
  <c r="K53" i="28" l="1"/>
  <c r="M65" i="28"/>
  <c r="M71" i="28"/>
  <c r="O54" i="28"/>
  <c r="O60" i="28"/>
  <c r="M60" i="28"/>
  <c r="K60" i="28"/>
  <c r="O28" i="28"/>
  <c r="K31" i="28"/>
  <c r="H32" i="28"/>
  <c r="K29" i="28"/>
  <c r="H35" i="28"/>
  <c r="F25" i="28"/>
  <c r="F23" i="28" s="1"/>
  <c r="K22" i="28"/>
  <c r="K69" i="28"/>
  <c r="T6" i="2"/>
  <c r="U6" i="2" s="1"/>
  <c r="K57" i="28"/>
  <c r="O69" i="28"/>
  <c r="K43" i="28"/>
  <c r="O53" i="28"/>
  <c r="K56" i="28"/>
  <c r="H22" i="28"/>
  <c r="M53" i="28"/>
  <c r="O31" i="28"/>
  <c r="M69" i="28"/>
  <c r="O52" i="28"/>
  <c r="K55" i="28"/>
  <c r="H29" i="28"/>
  <c r="H34" i="28"/>
  <c r="K71" i="28"/>
  <c r="K18" i="28"/>
  <c r="O71" i="28"/>
  <c r="K52" i="28"/>
  <c r="H54" i="28"/>
  <c r="O73" i="28"/>
  <c r="O65" i="28"/>
  <c r="J25" i="28"/>
  <c r="AH5" i="2"/>
  <c r="K24" i="28"/>
  <c r="M54" i="28"/>
  <c r="K54" i="28"/>
  <c r="K35" i="28"/>
  <c r="K65" i="28"/>
  <c r="AO5" i="2"/>
  <c r="H19" i="28"/>
  <c r="M31" i="28"/>
  <c r="G62" i="28"/>
  <c r="H72" i="28"/>
  <c r="M28" i="28"/>
  <c r="K73" i="28"/>
  <c r="K16" i="28"/>
  <c r="AT6" i="2"/>
  <c r="M61" i="28"/>
  <c r="H33" i="28"/>
  <c r="K28" i="28"/>
  <c r="K26" i="28"/>
  <c r="M67" i="28"/>
  <c r="H59" i="28"/>
  <c r="O74" i="28"/>
  <c r="K70" i="28"/>
  <c r="O26" i="28"/>
  <c r="K21" i="28"/>
  <c r="O68" i="28"/>
  <c r="K47" i="28"/>
  <c r="K59" i="28"/>
  <c r="M52" i="28"/>
  <c r="H27" i="28"/>
  <c r="G49" i="28"/>
  <c r="H13" i="28"/>
  <c r="K37" i="28"/>
  <c r="H47" i="28"/>
  <c r="K34" i="28"/>
  <c r="K61" i="28"/>
  <c r="M70" i="28"/>
  <c r="H21" i="28"/>
  <c r="F8" i="28"/>
  <c r="K67" i="28"/>
  <c r="D9" i="10"/>
  <c r="Y30" i="10" s="1"/>
  <c r="AC30" i="10" s="1"/>
  <c r="M73" i="28"/>
  <c r="Q7" i="2"/>
  <c r="K66" i="28"/>
  <c r="K27" i="28"/>
  <c r="T7" i="2"/>
  <c r="K44" i="28"/>
  <c r="BE5" i="2"/>
  <c r="M74" i="28"/>
  <c r="O61" i="28"/>
  <c r="K32" i="28"/>
  <c r="H16" i="28"/>
  <c r="H57" i="28"/>
  <c r="AB5" i="2"/>
  <c r="O50" i="28"/>
  <c r="O58" i="28"/>
  <c r="H37" i="28"/>
  <c r="M63" i="28"/>
  <c r="H17" i="28"/>
  <c r="O67" i="28"/>
  <c r="K74" i="28"/>
  <c r="K72" i="28"/>
  <c r="AV5" i="2"/>
  <c r="K63" i="28"/>
  <c r="G23" i="28"/>
  <c r="H66" i="28"/>
  <c r="K33" i="28"/>
  <c r="F38" i="28"/>
  <c r="H38" i="28" s="1"/>
  <c r="M45" i="28"/>
  <c r="M58" i="28"/>
  <c r="O63" i="28"/>
  <c r="K19" i="28"/>
  <c r="H63" i="28"/>
  <c r="Z5" i="2"/>
  <c r="H48" i="28"/>
  <c r="W5" i="2"/>
  <c r="O56" i="28"/>
  <c r="M55" i="28"/>
  <c r="F8" i="10"/>
  <c r="D8" i="10"/>
  <c r="K58" i="28"/>
  <c r="K50" i="28"/>
  <c r="K46" i="28"/>
  <c r="O55" i="28"/>
  <c r="AA5" i="2"/>
  <c r="AU5" i="2"/>
  <c r="K68" i="28"/>
  <c r="H46" i="28"/>
  <c r="M68" i="28"/>
  <c r="F9" i="28"/>
  <c r="H9" i="28" s="1"/>
  <c r="V5" i="2"/>
  <c r="M56" i="28"/>
  <c r="H42" i="28"/>
  <c r="H30" i="28"/>
  <c r="M26" i="28"/>
  <c r="M50" i="28"/>
  <c r="O45" i="28"/>
  <c r="K41" i="28"/>
  <c r="H24" i="28"/>
  <c r="H43" i="28"/>
  <c r="AX5" i="2"/>
  <c r="K17" i="28"/>
  <c r="H44" i="28"/>
  <c r="BC5" i="2"/>
  <c r="AC5" i="2"/>
  <c r="J64" i="28"/>
  <c r="H41" i="28"/>
  <c r="O70" i="28"/>
  <c r="K11" i="28"/>
  <c r="K30" i="28"/>
  <c r="K45" i="28"/>
  <c r="AW5" i="2"/>
  <c r="AY5" i="2"/>
  <c r="H11" i="28"/>
  <c r="BD5" i="2"/>
  <c r="K48" i="28"/>
  <c r="K15" i="28"/>
  <c r="K13" i="28"/>
  <c r="H18" i="28"/>
  <c r="G10" i="10"/>
  <c r="F10" i="10"/>
  <c r="F9" i="10"/>
  <c r="H39" i="28"/>
  <c r="AT8" i="2"/>
  <c r="H15" i="28"/>
  <c r="D10" i="10"/>
  <c r="F12" i="28"/>
  <c r="B17" i="28" s="1"/>
  <c r="K42" i="28"/>
  <c r="F51" i="28"/>
  <c r="F49" i="28" s="1"/>
  <c r="F64" i="28"/>
  <c r="F62" i="28" s="1"/>
  <c r="T8" i="2"/>
  <c r="U8" i="2" s="1"/>
  <c r="F10" i="28"/>
  <c r="H10" i="28" s="1"/>
  <c r="Q9" i="2"/>
  <c r="T9" i="2"/>
  <c r="K39" i="28"/>
  <c r="D11" i="10"/>
  <c r="G9" i="10"/>
  <c r="L64" i="28"/>
  <c r="F7" i="28"/>
  <c r="J40" i="28"/>
  <c r="K40" i="28" s="1"/>
  <c r="AS7" i="2"/>
  <c r="I9" i="10"/>
  <c r="I6" i="10" s="1"/>
  <c r="AD7" i="2"/>
  <c r="AD5" i="2" s="1"/>
  <c r="J14" i="28"/>
  <c r="K14" i="28" s="1"/>
  <c r="G14" i="28"/>
  <c r="H14" i="28" s="1"/>
  <c r="G40" i="28"/>
  <c r="G8" i="28"/>
  <c r="E9" i="10"/>
  <c r="R7" i="2"/>
  <c r="R5" i="2" s="1"/>
  <c r="S9" i="2"/>
  <c r="F11" i="10"/>
  <c r="I64" i="28"/>
  <c r="I62" i="28" s="1"/>
  <c r="I10" i="28"/>
  <c r="Q5" i="2" l="1"/>
  <c r="X6" i="2"/>
  <c r="Y6" i="2" s="1"/>
  <c r="J7" i="28"/>
  <c r="K7" i="28" s="1"/>
  <c r="H25" i="28"/>
  <c r="G8" i="10"/>
  <c r="X28" i="10" s="1"/>
  <c r="B20" i="28"/>
  <c r="I8" i="28"/>
  <c r="H62" i="28"/>
  <c r="S7" i="2"/>
  <c r="U7" i="2"/>
  <c r="F36" i="28"/>
  <c r="S6" i="2"/>
  <c r="I25" i="28"/>
  <c r="I23" i="28" s="1"/>
  <c r="I7" i="28"/>
  <c r="D6" i="10"/>
  <c r="T5" i="2"/>
  <c r="B11" i="28"/>
  <c r="J38" i="28"/>
  <c r="J36" i="28" s="1"/>
  <c r="J12" i="28"/>
  <c r="K12" i="28" s="1"/>
  <c r="Y28" i="10"/>
  <c r="AC28" i="10" s="1"/>
  <c r="AH28" i="10" s="1"/>
  <c r="B13" i="28"/>
  <c r="U9" i="2"/>
  <c r="B18" i="28"/>
  <c r="B16" i="28"/>
  <c r="B14" i="28"/>
  <c r="B22" i="28"/>
  <c r="B21" i="28"/>
  <c r="J8" i="28"/>
  <c r="K8" i="28" s="1"/>
  <c r="Y29" i="10"/>
  <c r="AC29" i="10" s="1"/>
  <c r="AH29" i="10" s="1"/>
  <c r="B12" i="28"/>
  <c r="B19" i="28"/>
  <c r="X7" i="2"/>
  <c r="Y7" i="2" s="1"/>
  <c r="B15" i="28"/>
  <c r="H12" i="28"/>
  <c r="C13" i="28" s="1"/>
  <c r="Y27" i="10"/>
  <c r="AC27" i="10" s="1"/>
  <c r="AH27" i="10" s="1"/>
  <c r="X9" i="2"/>
  <c r="Y9" i="2" s="1"/>
  <c r="H23" i="28"/>
  <c r="G11" i="10"/>
  <c r="X27" i="10" s="1"/>
  <c r="J10" i="28"/>
  <c r="K10" i="28" s="1"/>
  <c r="X8" i="2"/>
  <c r="Y8" i="2" s="1"/>
  <c r="I9" i="28"/>
  <c r="AT9" i="2"/>
  <c r="J9" i="28"/>
  <c r="K9" i="28" s="1"/>
  <c r="I12" i="28"/>
  <c r="I38" i="28"/>
  <c r="I36" i="28" s="1"/>
  <c r="J51" i="28"/>
  <c r="K51" i="28" s="1"/>
  <c r="I51" i="28"/>
  <c r="I49" i="28" s="1"/>
  <c r="S8" i="2"/>
  <c r="H51" i="28"/>
  <c r="H7" i="28"/>
  <c r="H64" i="28"/>
  <c r="F6" i="28"/>
  <c r="H40" i="28"/>
  <c r="G36" i="28"/>
  <c r="AS5" i="2"/>
  <c r="AT7" i="2"/>
  <c r="AD30" i="10"/>
  <c r="AD26" i="10" s="1"/>
  <c r="E6" i="10"/>
  <c r="G6" i="28"/>
  <c r="H8" i="28"/>
  <c r="J23" i="28"/>
  <c r="K23" i="28" s="1"/>
  <c r="K25" i="28"/>
  <c r="J62" i="28"/>
  <c r="K62" i="28" s="1"/>
  <c r="K64" i="28"/>
  <c r="M64" i="28"/>
  <c r="H49" i="28"/>
  <c r="X29" i="10"/>
  <c r="H10" i="10"/>
  <c r="H9" i="10"/>
  <c r="X30" i="10"/>
  <c r="AG30" i="10" s="1"/>
  <c r="F6" i="10"/>
  <c r="AT5" i="2" l="1"/>
  <c r="H8" i="10"/>
  <c r="K36" i="28"/>
  <c r="U5" i="2"/>
  <c r="S5" i="2"/>
  <c r="H36" i="28"/>
  <c r="K38" i="28"/>
  <c r="I6" i="28"/>
  <c r="G6" i="10"/>
  <c r="H6" i="10" s="1"/>
  <c r="AG29" i="10"/>
  <c r="C20" i="28"/>
  <c r="AG28" i="10"/>
  <c r="J6" i="28"/>
  <c r="K6" i="28" s="1"/>
  <c r="X5" i="2"/>
  <c r="Y5" i="2" s="1"/>
  <c r="C11" i="28"/>
  <c r="C16" i="28"/>
  <c r="C17" i="28"/>
  <c r="H11" i="10"/>
  <c r="H6" i="28"/>
  <c r="C21" i="28"/>
  <c r="Y26" i="10"/>
  <c r="V36" i="10" s="1"/>
  <c r="C12" i="28"/>
  <c r="C22" i="28"/>
  <c r="C15" i="28"/>
  <c r="C19" i="28"/>
  <c r="C14" i="28"/>
  <c r="C18" i="28"/>
  <c r="J49" i="28"/>
  <c r="K49" i="28" s="1"/>
  <c r="X26" i="10"/>
  <c r="V38" i="10" s="1"/>
  <c r="AH30" i="10"/>
  <c r="V37" i="10"/>
  <c r="AG27" i="10"/>
  <c r="AD21" i="28" l="1"/>
  <c r="H72" i="29"/>
  <c r="H55" i="29"/>
  <c r="AD14" i="28"/>
  <c r="AE13" i="28"/>
  <c r="AI13" i="28" s="1"/>
  <c r="AH17" i="28"/>
  <c r="AN17" i="28" s="1"/>
  <c r="AE20" i="28"/>
  <c r="AI20" i="28" s="1"/>
  <c r="AE21" i="28"/>
  <c r="AI21" i="28" s="1"/>
  <c r="AA13" i="28"/>
  <c r="I57" i="29"/>
  <c r="AA21" i="28"/>
  <c r="I69" i="29"/>
  <c r="AD11" i="28"/>
  <c r="I53" i="29"/>
  <c r="AA22" i="28"/>
  <c r="I75" i="29"/>
  <c r="AD18" i="28"/>
  <c r="AE17" i="28"/>
  <c r="AI17" i="28" s="1"/>
  <c r="AD16" i="28"/>
  <c r="I78" i="29"/>
  <c r="I64" i="29"/>
  <c r="I67" i="29"/>
  <c r="AH22" i="28"/>
  <c r="AN22" i="28" s="1"/>
  <c r="I54" i="29"/>
  <c r="H76" i="29"/>
  <c r="AD20" i="28"/>
  <c r="I72" i="29"/>
  <c r="AD12" i="28"/>
  <c r="AD19" i="28"/>
  <c r="H54" i="29"/>
  <c r="AH19" i="28"/>
  <c r="H63" i="29"/>
  <c r="I56" i="29"/>
  <c r="I58" i="29"/>
  <c r="H56" i="29"/>
  <c r="AE14" i="28"/>
  <c r="AI14" i="28" s="1"/>
  <c r="AA16" i="28"/>
  <c r="AA19" i="28"/>
  <c r="AA11" i="28"/>
  <c r="H62" i="29"/>
  <c r="AA18" i="28"/>
  <c r="H64" i="29"/>
  <c r="I76" i="29"/>
  <c r="AH18" i="28"/>
  <c r="AH15" i="28"/>
  <c r="AN15" i="28" s="1"/>
  <c r="AE15" i="28"/>
  <c r="AI15" i="28" s="1"/>
  <c r="I60" i="29"/>
  <c r="H58" i="29"/>
  <c r="AA17" i="28"/>
  <c r="H75" i="29"/>
  <c r="AH20" i="28"/>
  <c r="AN20" i="28" s="1"/>
  <c r="AD22" i="28"/>
  <c r="I73" i="29"/>
  <c r="AE12" i="28"/>
  <c r="AI12" i="28" s="1"/>
  <c r="AE11" i="28"/>
  <c r="AI11" i="28" s="1"/>
  <c r="H73" i="29"/>
  <c r="AH11" i="28"/>
  <c r="AN11" i="28" s="1"/>
  <c r="I59" i="29"/>
  <c r="H69" i="29"/>
  <c r="AD17" i="28"/>
  <c r="AE22" i="28"/>
  <c r="AI22" i="28" s="1"/>
  <c r="AH13" i="28"/>
  <c r="AN13" i="28" s="1"/>
  <c r="H78" i="29"/>
  <c r="I68" i="29"/>
  <c r="H59" i="29"/>
  <c r="H67" i="29"/>
  <c r="AD15" i="28"/>
  <c r="H60" i="29"/>
  <c r="AE16" i="28"/>
  <c r="AI16" i="28" s="1"/>
  <c r="I71" i="29"/>
  <c r="H68" i="29"/>
  <c r="AH12" i="28"/>
  <c r="I63" i="29"/>
  <c r="I55" i="29"/>
  <c r="AE18" i="28"/>
  <c r="AI18" i="28" s="1"/>
  <c r="I70" i="29"/>
  <c r="AE19" i="28"/>
  <c r="AI19" i="28" s="1"/>
  <c r="H71" i="29"/>
  <c r="AH16" i="28"/>
  <c r="H61" i="29"/>
  <c r="H53" i="29"/>
  <c r="AA15" i="28"/>
  <c r="AA20" i="28"/>
  <c r="H77" i="29"/>
  <c r="H57" i="29"/>
  <c r="AH21" i="28"/>
  <c r="AN21" i="28" s="1"/>
  <c r="AD13" i="28"/>
  <c r="I62" i="29"/>
  <c r="AH14" i="28"/>
  <c r="AN14" i="28" s="1"/>
  <c r="H74" i="29"/>
  <c r="AA14" i="28"/>
  <c r="I74" i="29"/>
  <c r="I61" i="29"/>
  <c r="AA12" i="28"/>
  <c r="H70" i="29"/>
  <c r="I77" i="29"/>
  <c r="AL21" i="28" l="1"/>
  <c r="AM12" i="28"/>
  <c r="AM18" i="28"/>
  <c r="AM21" i="28"/>
  <c r="AM22" i="28"/>
  <c r="AM15" i="28"/>
  <c r="AL16" i="28"/>
  <c r="AL13" i="28"/>
  <c r="AM11" i="28"/>
  <c r="AM16" i="28"/>
  <c r="AN18" i="28"/>
  <c r="AM13" i="28"/>
  <c r="AH10" i="28"/>
  <c r="AE10" i="28"/>
  <c r="AL14" i="28"/>
  <c r="AM19" i="28"/>
  <c r="AM20" i="28"/>
  <c r="AM17" i="28"/>
  <c r="AL17" i="28"/>
  <c r="AL20" i="28"/>
  <c r="AL12" i="28"/>
  <c r="AD10" i="28"/>
  <c r="AL11" i="28"/>
  <c r="AL19" i="28"/>
  <c r="AM14" i="28"/>
  <c r="AL22" i="28"/>
  <c r="AN16" i="28"/>
  <c r="AN19" i="28"/>
  <c r="AL15" i="28"/>
  <c r="AL18" i="28"/>
  <c r="AN12" i="28"/>
  <c r="A1" i="20"/>
  <c r="A2" i="20" s="1"/>
  <c r="W2" i="29" l="1"/>
  <c r="L65" i="29" l="1"/>
  <c r="L79" i="29"/>
  <c r="F13" i="10"/>
  <c r="F19" i="10"/>
  <c r="I15" i="10"/>
  <c r="G15" i="10"/>
  <c r="E15" i="10"/>
  <c r="AD18" i="10" s="1"/>
  <c r="G18" i="10"/>
  <c r="I17" i="10"/>
  <c r="I14" i="10"/>
  <c r="G16" i="10"/>
  <c r="I16" i="10"/>
  <c r="D13" i="10"/>
  <c r="E20" i="10"/>
  <c r="AD13" i="10" s="1"/>
  <c r="E17" i="10"/>
  <c r="AD16" i="10" s="1"/>
  <c r="I19" i="10"/>
  <c r="D17" i="10"/>
  <c r="E18" i="10"/>
  <c r="AD15" i="10" s="1"/>
  <c r="L20" i="10"/>
  <c r="I18" i="10"/>
  <c r="F18" i="10"/>
  <c r="F15" i="10"/>
  <c r="G19" i="10"/>
  <c r="I20" i="10"/>
  <c r="F16" i="10"/>
  <c r="D16" i="10"/>
  <c r="G14" i="10"/>
  <c r="D18" i="10"/>
  <c r="D14" i="10"/>
  <c r="G17" i="10"/>
  <c r="E19" i="10"/>
  <c r="AD14" i="10" s="1"/>
  <c r="D15" i="10"/>
  <c r="D19" i="10"/>
  <c r="E14" i="10"/>
  <c r="AD19" i="10" s="1"/>
  <c r="F14" i="10"/>
  <c r="E16" i="10"/>
  <c r="AD17" i="10" s="1"/>
  <c r="F17" i="10"/>
  <c r="D20" i="10"/>
  <c r="I13" i="10"/>
  <c r="G13" i="10"/>
  <c r="E13" i="10"/>
  <c r="AD20" i="10" s="1"/>
  <c r="F20" i="10"/>
  <c r="G20" i="10"/>
  <c r="J20" i="10"/>
  <c r="L19" i="10" l="1"/>
  <c r="M19" i="10"/>
  <c r="N19" i="10" s="1"/>
  <c r="J19" i="10"/>
  <c r="W14" i="10" s="1"/>
  <c r="J16" i="10"/>
  <c r="W17" i="10" s="1"/>
  <c r="L18" i="10"/>
  <c r="AN9" i="2"/>
  <c r="M15" i="10"/>
  <c r="N15" i="10" s="1"/>
  <c r="J13" i="10"/>
  <c r="W20" i="10" s="1"/>
  <c r="AP9" i="2"/>
  <c r="M13" i="10"/>
  <c r="N13" i="10" s="1"/>
  <c r="AJ7" i="2"/>
  <c r="M14" i="10"/>
  <c r="V19" i="10" s="1"/>
  <c r="AJ8" i="2"/>
  <c r="L17" i="10"/>
  <c r="F21" i="10"/>
  <c r="M18" i="10"/>
  <c r="V15" i="10" s="1"/>
  <c r="J18" i="10"/>
  <c r="K18" i="10" s="1"/>
  <c r="L15" i="10"/>
  <c r="AK7" i="2"/>
  <c r="AN8" i="2"/>
  <c r="AQ7" i="2"/>
  <c r="AG9" i="2"/>
  <c r="M17" i="10"/>
  <c r="N17" i="10" s="1"/>
  <c r="J15" i="10"/>
  <c r="L16" i="10"/>
  <c r="H17" i="10"/>
  <c r="X16" i="10"/>
  <c r="Y20" i="10"/>
  <c r="AC20" i="10" s="1"/>
  <c r="AH20" i="10" s="1"/>
  <c r="D21" i="10"/>
  <c r="L9" i="10"/>
  <c r="AR7" i="2"/>
  <c r="L59" i="28"/>
  <c r="M59" i="28" s="1"/>
  <c r="J10" i="10"/>
  <c r="AL8" i="2"/>
  <c r="AM8" i="2" s="1"/>
  <c r="L9" i="28"/>
  <c r="M9" i="28" s="1"/>
  <c r="AR8" i="2"/>
  <c r="L10" i="10"/>
  <c r="L21" i="28"/>
  <c r="L47" i="28"/>
  <c r="M47" i="28" s="1"/>
  <c r="L37" i="28"/>
  <c r="L11" i="28"/>
  <c r="L33" i="28"/>
  <c r="M33" i="28" s="1"/>
  <c r="AN6" i="2"/>
  <c r="AI6" i="2"/>
  <c r="L35" i="28"/>
  <c r="M35" i="28" s="1"/>
  <c r="J8" i="10"/>
  <c r="L7" i="28"/>
  <c r="AL6" i="2"/>
  <c r="L44" i="28"/>
  <c r="M44" i="28" s="1"/>
  <c r="L18" i="28"/>
  <c r="L15" i="28"/>
  <c r="L41" i="28"/>
  <c r="M41" i="28" s="1"/>
  <c r="N30" i="28"/>
  <c r="O30" i="28" s="1"/>
  <c r="N18" i="28"/>
  <c r="N44" i="28"/>
  <c r="O44" i="28" s="1"/>
  <c r="N20" i="28"/>
  <c r="N46" i="28"/>
  <c r="O46" i="28" s="1"/>
  <c r="N27" i="28"/>
  <c r="O27" i="28" s="1"/>
  <c r="N34" i="28"/>
  <c r="O34" i="28" s="1"/>
  <c r="N59" i="28"/>
  <c r="O59" i="28" s="1"/>
  <c r="X20" i="10"/>
  <c r="H13" i="10"/>
  <c r="G21" i="10"/>
  <c r="Y18" i="10"/>
  <c r="Y16" i="10"/>
  <c r="AC16" i="10" s="1"/>
  <c r="AH16" i="10" s="1"/>
  <c r="AE9" i="2"/>
  <c r="AF9" i="2" s="1"/>
  <c r="K20" i="10"/>
  <c r="W13" i="10"/>
  <c r="I21" i="10"/>
  <c r="Y13" i="10"/>
  <c r="L14" i="10"/>
  <c r="Y19" i="10"/>
  <c r="AC19" i="10" s="1"/>
  <c r="AH19" i="10" s="1"/>
  <c r="J17" i="10"/>
  <c r="J14" i="10"/>
  <c r="AE7" i="2"/>
  <c r="AF7" i="2" s="1"/>
  <c r="AP7" i="2"/>
  <c r="BB7" i="2"/>
  <c r="AI7" i="2"/>
  <c r="N48" i="28"/>
  <c r="O48" i="28" s="1"/>
  <c r="N22" i="28"/>
  <c r="L48" i="28"/>
  <c r="M48" i="28" s="1"/>
  <c r="L22" i="28"/>
  <c r="AG8" i="2"/>
  <c r="AE8" i="2"/>
  <c r="AF8" i="2" s="1"/>
  <c r="AP8" i="2"/>
  <c r="AK9" i="2"/>
  <c r="L72" i="28"/>
  <c r="M72" i="28" s="1"/>
  <c r="AL9" i="2"/>
  <c r="AM9" i="2" s="1"/>
  <c r="J11" i="10"/>
  <c r="L10" i="28"/>
  <c r="M10" i="28" s="1"/>
  <c r="AQ9" i="2"/>
  <c r="L19" i="28"/>
  <c r="L32" i="28"/>
  <c r="M32" i="28" s="1"/>
  <c r="L66" i="28"/>
  <c r="L17" i="28"/>
  <c r="L43" i="28"/>
  <c r="M43" i="28" s="1"/>
  <c r="AJ6" i="2"/>
  <c r="AK6" i="2"/>
  <c r="AQ6" i="2"/>
  <c r="L8" i="10"/>
  <c r="AR6" i="2"/>
  <c r="L30" i="28"/>
  <c r="M30" i="28" s="1"/>
  <c r="L27" i="28"/>
  <c r="M27" i="28" s="1"/>
  <c r="L20" i="28"/>
  <c r="L46" i="28"/>
  <c r="M46" i="28" s="1"/>
  <c r="L24" i="28"/>
  <c r="M24" i="28" s="1"/>
  <c r="N41" i="28"/>
  <c r="O41" i="28" s="1"/>
  <c r="N15" i="28"/>
  <c r="BB9" i="2"/>
  <c r="BB6" i="2"/>
  <c r="M11" i="10"/>
  <c r="N72" i="28"/>
  <c r="O72" i="28" s="1"/>
  <c r="N66" i="28"/>
  <c r="O66" i="28" s="1"/>
  <c r="N57" i="28"/>
  <c r="O57" i="28" s="1"/>
  <c r="N35" i="28"/>
  <c r="O35" i="28" s="1"/>
  <c r="N33" i="28"/>
  <c r="O33" i="28" s="1"/>
  <c r="L38" i="28"/>
  <c r="M38" i="28" s="1"/>
  <c r="X19" i="10"/>
  <c r="H14" i="10"/>
  <c r="H20" i="10"/>
  <c r="X13" i="10"/>
  <c r="AD12" i="10"/>
  <c r="L13" i="10"/>
  <c r="Y14" i="10"/>
  <c r="AC14" i="10" s="1"/>
  <c r="AH14" i="10" s="1"/>
  <c r="Y15" i="10"/>
  <c r="AC15" i="10" s="1"/>
  <c r="AH15" i="10" s="1"/>
  <c r="Y17" i="10"/>
  <c r="AC17" i="10" s="1"/>
  <c r="AH17" i="10" s="1"/>
  <c r="X14" i="10"/>
  <c r="H19" i="10"/>
  <c r="M16" i="10"/>
  <c r="X17" i="10"/>
  <c r="H16" i="10"/>
  <c r="X15" i="10"/>
  <c r="H18" i="10"/>
  <c r="X18" i="10"/>
  <c r="H15" i="10"/>
  <c r="N8" i="28"/>
  <c r="O8" i="28" s="1"/>
  <c r="N40" i="28"/>
  <c r="O40" i="28" s="1"/>
  <c r="N14" i="28"/>
  <c r="L40" i="28"/>
  <c r="M40" i="28" s="1"/>
  <c r="L14" i="28"/>
  <c r="AL7" i="2"/>
  <c r="AM7" i="2" s="1"/>
  <c r="L8" i="28"/>
  <c r="M8" i="28" s="1"/>
  <c r="J9" i="10"/>
  <c r="AG7" i="2"/>
  <c r="AN7" i="2"/>
  <c r="AI8" i="2"/>
  <c r="AK8" i="2"/>
  <c r="AQ8" i="2"/>
  <c r="L57" i="28"/>
  <c r="M57" i="28" s="1"/>
  <c r="L29" i="28"/>
  <c r="M29" i="28" s="1"/>
  <c r="L16" i="28"/>
  <c r="AJ9" i="2"/>
  <c r="AI9" i="2"/>
  <c r="L11" i="10"/>
  <c r="AR9" i="2"/>
  <c r="L42" i="28"/>
  <c r="M42" i="28" s="1"/>
  <c r="AE6" i="2"/>
  <c r="AG6" i="2"/>
  <c r="AP6" i="2"/>
  <c r="L34" i="28"/>
  <c r="M34" i="28" s="1"/>
  <c r="L51" i="28"/>
  <c r="L12" i="28"/>
  <c r="L13" i="28"/>
  <c r="L39" i="28"/>
  <c r="M39" i="28" s="1"/>
  <c r="N24" i="28"/>
  <c r="N42" i="28"/>
  <c r="O42" i="28" s="1"/>
  <c r="N43" i="28"/>
  <c r="O43" i="28" s="1"/>
  <c r="N17" i="28"/>
  <c r="BB8" i="2"/>
  <c r="N13" i="28"/>
  <c r="N39" i="28"/>
  <c r="O39" i="28" s="1"/>
  <c r="N21" i="28"/>
  <c r="N47" i="28"/>
  <c r="O47" i="28" s="1"/>
  <c r="N37" i="28"/>
  <c r="N11" i="28"/>
  <c r="N19" i="28"/>
  <c r="N32" i="28"/>
  <c r="O32" i="28" s="1"/>
  <c r="N29" i="28"/>
  <c r="O29" i="28" s="1"/>
  <c r="N16" i="28"/>
  <c r="L25" i="28"/>
  <c r="K19" i="10" l="1"/>
  <c r="K13" i="10"/>
  <c r="V14" i="10"/>
  <c r="V20" i="10"/>
  <c r="AE20" i="10" s="1"/>
  <c r="AG15" i="10"/>
  <c r="V18" i="10"/>
  <c r="K16" i="10"/>
  <c r="N18" i="10"/>
  <c r="V16" i="10"/>
  <c r="AE16" i="10" s="1"/>
  <c r="N10" i="28"/>
  <c r="O10" i="28" s="1"/>
  <c r="AG19" i="10"/>
  <c r="N14" i="10"/>
  <c r="AG18" i="10"/>
  <c r="AZ7" i="2"/>
  <c r="BA7" i="2" s="1"/>
  <c r="H21" i="10"/>
  <c r="M9" i="10"/>
  <c r="V30" i="10" s="1"/>
  <c r="AE30" i="10" s="1"/>
  <c r="AG5" i="2"/>
  <c r="M10" i="10"/>
  <c r="AF20" i="10"/>
  <c r="AZ8" i="2"/>
  <c r="BA8" i="2" s="1"/>
  <c r="AG20" i="10"/>
  <c r="J21" i="10"/>
  <c r="K21" i="10" s="1"/>
  <c r="W15" i="10"/>
  <c r="AF15" i="10" s="1"/>
  <c r="L21" i="10"/>
  <c r="N9" i="28"/>
  <c r="O9" i="28" s="1"/>
  <c r="AP5" i="2"/>
  <c r="N12" i="28"/>
  <c r="AB15" i="28" s="1"/>
  <c r="AJ15" i="28" s="1"/>
  <c r="AZ6" i="2"/>
  <c r="BA6" i="2" s="1"/>
  <c r="M8" i="10"/>
  <c r="V28" i="10" s="1"/>
  <c r="AE28" i="10" s="1"/>
  <c r="K15" i="10"/>
  <c r="W18" i="10"/>
  <c r="AF18" i="10" s="1"/>
  <c r="M16" i="28"/>
  <c r="N62" i="29"/>
  <c r="AC13" i="28"/>
  <c r="AK13" i="28" s="1"/>
  <c r="M62" i="29"/>
  <c r="O62" i="29"/>
  <c r="O14" i="28"/>
  <c r="AB19" i="28"/>
  <c r="AJ19" i="28" s="1"/>
  <c r="O70" i="29"/>
  <c r="M70" i="29"/>
  <c r="N70" i="29"/>
  <c r="V17" i="10"/>
  <c r="AE17" i="10" s="1"/>
  <c r="N16" i="10"/>
  <c r="AE15" i="10"/>
  <c r="AF17" i="10"/>
  <c r="V27" i="10"/>
  <c r="N11" i="10"/>
  <c r="BB5" i="2"/>
  <c r="AQ5" i="2"/>
  <c r="M66" i="28"/>
  <c r="L62" i="28"/>
  <c r="M62" i="28" s="1"/>
  <c r="M19" i="28"/>
  <c r="N64" i="29"/>
  <c r="AC11" i="28"/>
  <c r="M64" i="29"/>
  <c r="O64" i="29"/>
  <c r="W19" i="10"/>
  <c r="AF19" i="10" s="1"/>
  <c r="K14" i="10"/>
  <c r="AF13" i="10"/>
  <c r="N25" i="28"/>
  <c r="O25" i="28" s="1"/>
  <c r="O18" i="28"/>
  <c r="AB21" i="28"/>
  <c r="AJ21" i="28" s="1"/>
  <c r="O68" i="29"/>
  <c r="M68" i="29"/>
  <c r="N68" i="29"/>
  <c r="W28" i="10"/>
  <c r="AF28" i="10" s="1"/>
  <c r="K8" i="10"/>
  <c r="J6" i="10"/>
  <c r="K6" i="10" s="1"/>
  <c r="AI5" i="2"/>
  <c r="L6" i="10"/>
  <c r="O16" i="28"/>
  <c r="AB13" i="28"/>
  <c r="AJ13" i="28" s="1"/>
  <c r="O76" i="29"/>
  <c r="M76" i="29"/>
  <c r="N76" i="29"/>
  <c r="L49" i="28"/>
  <c r="M49" i="28" s="1"/>
  <c r="M51" i="28"/>
  <c r="AF6" i="2"/>
  <c r="AE5" i="2"/>
  <c r="AF5" i="2" s="1"/>
  <c r="K9" i="10"/>
  <c r="W30" i="10"/>
  <c r="AF30" i="10" s="1"/>
  <c r="AF14" i="10"/>
  <c r="AG13" i="10"/>
  <c r="X12" i="10"/>
  <c r="N64" i="28"/>
  <c r="O15" i="28"/>
  <c r="AB14" i="28"/>
  <c r="AJ14" i="28" s="1"/>
  <c r="O75" i="29"/>
  <c r="M75" i="29"/>
  <c r="N75" i="29"/>
  <c r="M20" i="28"/>
  <c r="N53" i="29"/>
  <c r="AC22" i="28"/>
  <c r="AK22" i="28" s="1"/>
  <c r="M53" i="29"/>
  <c r="O53" i="29"/>
  <c r="AK5" i="2"/>
  <c r="M17" i="28"/>
  <c r="N58" i="29"/>
  <c r="AC17" i="28"/>
  <c r="AK17" i="28" s="1"/>
  <c r="M58" i="29"/>
  <c r="O58" i="29"/>
  <c r="W27" i="10"/>
  <c r="K11" i="10"/>
  <c r="M22" i="28"/>
  <c r="AC18" i="28"/>
  <c r="AK18" i="28" s="1"/>
  <c r="N57" i="29"/>
  <c r="M57" i="29"/>
  <c r="O57" i="29"/>
  <c r="O22" i="28"/>
  <c r="AB18" i="28"/>
  <c r="AJ18" i="28" s="1"/>
  <c r="O71" i="29"/>
  <c r="M71" i="29"/>
  <c r="N71" i="29"/>
  <c r="W16" i="10"/>
  <c r="AF16" i="10" s="1"/>
  <c r="K17" i="10"/>
  <c r="AE14" i="10"/>
  <c r="AE19" i="10"/>
  <c r="AC13" i="10"/>
  <c r="AH13" i="10" s="1"/>
  <c r="Y12" i="10"/>
  <c r="AE18" i="10"/>
  <c r="AC18" i="10"/>
  <c r="AH18" i="10" s="1"/>
  <c r="O20" i="28"/>
  <c r="AB22" i="28"/>
  <c r="AJ22" i="28" s="1"/>
  <c r="O67" i="29"/>
  <c r="M67" i="29"/>
  <c r="N67" i="29"/>
  <c r="M18" i="28"/>
  <c r="N54" i="29"/>
  <c r="AC21" i="28"/>
  <c r="AK21" i="28" s="1"/>
  <c r="M54" i="29"/>
  <c r="O54" i="29"/>
  <c r="AM6" i="2"/>
  <c r="AL5" i="2"/>
  <c r="AM5" i="2" s="1"/>
  <c r="AN5" i="2"/>
  <c r="M11" i="28"/>
  <c r="N55" i="29"/>
  <c r="AC20" i="28"/>
  <c r="AK20" i="28" s="1"/>
  <c r="O55" i="29"/>
  <c r="M55" i="29"/>
  <c r="AG16" i="10"/>
  <c r="M12" i="28"/>
  <c r="AC15" i="28"/>
  <c r="AK15" i="28" s="1"/>
  <c r="N60" i="29"/>
  <c r="M60" i="29"/>
  <c r="O60" i="29"/>
  <c r="O11" i="28"/>
  <c r="AB20" i="28"/>
  <c r="AJ20" i="28" s="1"/>
  <c r="M69" i="29"/>
  <c r="O69" i="29"/>
  <c r="N69" i="29"/>
  <c r="O24" i="28"/>
  <c r="M13" i="28"/>
  <c r="AC16" i="28"/>
  <c r="AK16" i="28" s="1"/>
  <c r="N59" i="29"/>
  <c r="M59" i="29"/>
  <c r="O59" i="29"/>
  <c r="L23" i="28"/>
  <c r="M23" i="28" s="1"/>
  <c r="M25" i="28"/>
  <c r="O19" i="28"/>
  <c r="AB11" i="28"/>
  <c r="O78" i="29"/>
  <c r="M78" i="29"/>
  <c r="N78" i="29"/>
  <c r="O37" i="28"/>
  <c r="O21" i="28"/>
  <c r="AB12" i="28"/>
  <c r="AJ12" i="28" s="1"/>
  <c r="O77" i="29"/>
  <c r="M77" i="29"/>
  <c r="N77" i="29"/>
  <c r="O13" i="28"/>
  <c r="AB16" i="28"/>
  <c r="AJ16" i="28" s="1"/>
  <c r="M73" i="29"/>
  <c r="O73" i="29"/>
  <c r="N73" i="29"/>
  <c r="O17" i="28"/>
  <c r="AB17" i="28"/>
  <c r="AJ17" i="28" s="1"/>
  <c r="O72" i="29"/>
  <c r="M72" i="29"/>
  <c r="N72" i="29"/>
  <c r="M14" i="28"/>
  <c r="N56" i="29"/>
  <c r="AC19" i="28"/>
  <c r="AK19" i="28" s="1"/>
  <c r="M56" i="29"/>
  <c r="O56" i="29"/>
  <c r="M20" i="10"/>
  <c r="M21" i="10" s="1"/>
  <c r="N21" i="10" s="1"/>
  <c r="AG17" i="10"/>
  <c r="AG14" i="10"/>
  <c r="N7" i="28"/>
  <c r="AZ9" i="2"/>
  <c r="BA9" i="2" s="1"/>
  <c r="N38" i="28"/>
  <c r="O38" i="28" s="1"/>
  <c r="AJ5" i="2"/>
  <c r="N51" i="28"/>
  <c r="M15" i="28"/>
  <c r="N61" i="29"/>
  <c r="AC14" i="28"/>
  <c r="AK14" i="28" s="1"/>
  <c r="O61" i="29"/>
  <c r="M61" i="29"/>
  <c r="M7" i="28"/>
  <c r="L6" i="28"/>
  <c r="M37" i="28"/>
  <c r="L36" i="28"/>
  <c r="M36" i="28" s="1"/>
  <c r="M21" i="28"/>
  <c r="AC12" i="28"/>
  <c r="AK12" i="28" s="1"/>
  <c r="N63" i="29"/>
  <c r="M63" i="29"/>
  <c r="O63" i="29"/>
  <c r="K10" i="10"/>
  <c r="W29" i="10"/>
  <c r="AF29" i="10" s="1"/>
  <c r="AR5" i="2"/>
  <c r="N23" i="28" l="1"/>
  <c r="O23" i="28" s="1"/>
  <c r="M6" i="10"/>
  <c r="N6" i="10" s="1"/>
  <c r="N9" i="10"/>
  <c r="N10" i="10"/>
  <c r="V29" i="10"/>
  <c r="AE29" i="10" s="1"/>
  <c r="N8" i="10"/>
  <c r="O12" i="28"/>
  <c r="N74" i="29"/>
  <c r="O74" i="29"/>
  <c r="M74" i="29"/>
  <c r="AB10" i="28"/>
  <c r="AJ11" i="28"/>
  <c r="N49" i="28"/>
  <c r="O49" i="28" s="1"/>
  <c r="O51" i="28"/>
  <c r="O7" i="28"/>
  <c r="N6" i="28"/>
  <c r="V13" i="10"/>
  <c r="N20" i="10"/>
  <c r="AF27" i="10"/>
  <c r="W26" i="10"/>
  <c r="V39" i="10" s="1"/>
  <c r="N62" i="28"/>
  <c r="O62" i="28" s="1"/>
  <c r="O64" i="28"/>
  <c r="AK11" i="28"/>
  <c r="AC10" i="28"/>
  <c r="AZ5" i="2"/>
  <c r="BA5" i="2" s="1"/>
  <c r="M6" i="28"/>
  <c r="N36" i="28"/>
  <c r="O36" i="28" s="1"/>
  <c r="W12" i="10"/>
  <c r="AE27" i="10"/>
  <c r="V26" i="10" l="1"/>
  <c r="V40" i="10" s="1"/>
  <c r="O6" i="28"/>
  <c r="V12" i="10"/>
  <c r="AE1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<sst xmlns="http://schemas.openxmlformats.org/spreadsheetml/2006/main" count="3726" uniqueCount="1089">
  <si>
    <t>Sagatavots 08.07.2026.</t>
  </si>
  <si>
    <t>Vispārējā informācija</t>
  </si>
  <si>
    <r>
      <t xml:space="preserve">Piešķīrums
</t>
    </r>
    <r>
      <rPr>
        <i/>
        <sz val="11"/>
        <color theme="1"/>
        <rFont val="Times New Roman"/>
        <family val="1"/>
        <charset val="186"/>
      </rPr>
      <t>(atbilstoši REARM programmas grozijumu priekšlikumam)**</t>
    </r>
  </si>
  <si>
    <t>MKN pieejamais finansējums (dati netiek verificēti)</t>
  </si>
  <si>
    <t>Iesniegti projekti (izņemot noraidītus, atsauktus un pārtrauktus)</t>
  </si>
  <si>
    <t>Apstiprināti projekti</t>
  </si>
  <si>
    <t>Noslēgti līgumi</t>
  </si>
  <si>
    <t xml:space="preserve">Pabeigti
</t>
  </si>
  <si>
    <t>Maksājumi</t>
  </si>
  <si>
    <t>PM Nr.</t>
  </si>
  <si>
    <t>PM nosaukums</t>
  </si>
  <si>
    <t>Prior. Nr.</t>
  </si>
  <si>
    <t>Prior. Nosaukums</t>
  </si>
  <si>
    <t>SAM Nr.</t>
  </si>
  <si>
    <t>SAM nosaukums</t>
  </si>
  <si>
    <t>Pasākuma Nr.</t>
  </si>
  <si>
    <t>Pasākums_karta</t>
  </si>
  <si>
    <t>FI/other</t>
  </si>
  <si>
    <t>Pasākuma nosaukums</t>
  </si>
  <si>
    <t>Kārta</t>
  </si>
  <si>
    <t>Komentāri</t>
  </si>
  <si>
    <t>Fonds</t>
  </si>
  <si>
    <t>Atbildīgā iestāde</t>
  </si>
  <si>
    <t xml:space="preserve"> Fondu finansējums </t>
  </si>
  <si>
    <t>Valsts budžets, kas pārsniedz pasākuma ES fondu finansējumu</t>
  </si>
  <si>
    <t>KOPĀ (ar nac. līdzfinansējumu +15%**)</t>
  </si>
  <si>
    <t>ES fondi (ieskaitot elastības finansējumu)</t>
  </si>
  <si>
    <t>%</t>
  </si>
  <si>
    <t>ES fondi (bez elastības finansējuma)</t>
  </si>
  <si>
    <t>Elastības finansējums atbilstoši MK noteikumiem,
ES fondi</t>
  </si>
  <si>
    <t xml:space="preserve">Projektu apjoms ES fondi
</t>
  </si>
  <si>
    <t>% no piešķīruma</t>
  </si>
  <si>
    <t>Valsts budžets</t>
  </si>
  <si>
    <t>VBDP</t>
  </si>
  <si>
    <t>Pašvaldību finansējums</t>
  </si>
  <si>
    <t>Privātais attiecināmais</t>
  </si>
  <si>
    <t>Skaits</t>
  </si>
  <si>
    <t xml:space="preserve">Kopā VISI fondi </t>
  </si>
  <si>
    <t>ESF+</t>
  </si>
  <si>
    <t>ERAF</t>
  </si>
  <si>
    <t>KF</t>
  </si>
  <si>
    <t>TPF</t>
  </si>
  <si>
    <t>1</t>
  </si>
  <si>
    <t>2</t>
  </si>
  <si>
    <t>PM</t>
  </si>
  <si>
    <t>3</t>
  </si>
  <si>
    <t>4</t>
  </si>
  <si>
    <t>5</t>
  </si>
  <si>
    <t>6</t>
  </si>
  <si>
    <t>7</t>
  </si>
  <si>
    <t>7.1</t>
  </si>
  <si>
    <t>Pasākums, kārta</t>
  </si>
  <si>
    <t>fi</t>
  </si>
  <si>
    <t>8</t>
  </si>
  <si>
    <t>9</t>
  </si>
  <si>
    <t>11.1</t>
  </si>
  <si>
    <t>10</t>
  </si>
  <si>
    <t>11</t>
  </si>
  <si>
    <t>12</t>
  </si>
  <si>
    <t>12.1</t>
  </si>
  <si>
    <t>14</t>
  </si>
  <si>
    <t>15</t>
  </si>
  <si>
    <t>15.1</t>
  </si>
  <si>
    <t>16</t>
  </si>
  <si>
    <t>17</t>
  </si>
  <si>
    <t>17.1</t>
  </si>
  <si>
    <t>17.2</t>
  </si>
  <si>
    <t>17.3</t>
  </si>
  <si>
    <t>17.4</t>
  </si>
  <si>
    <t>18</t>
  </si>
  <si>
    <t>A1</t>
  </si>
  <si>
    <t>A2</t>
  </si>
  <si>
    <t>A3</t>
  </si>
  <si>
    <t>A4</t>
  </si>
  <si>
    <t>A5</t>
  </si>
  <si>
    <t>A6</t>
  </si>
  <si>
    <t>A7</t>
  </si>
  <si>
    <t>19</t>
  </si>
  <si>
    <t>20</t>
  </si>
  <si>
    <t>20.1</t>
  </si>
  <si>
    <t>20.2</t>
  </si>
  <si>
    <t>20.3</t>
  </si>
  <si>
    <t>20.4</t>
  </si>
  <si>
    <t>21</t>
  </si>
  <si>
    <t>22</t>
  </si>
  <si>
    <t>23</t>
  </si>
  <si>
    <t>23.1</t>
  </si>
  <si>
    <t>23.2</t>
  </si>
  <si>
    <t>23.3</t>
  </si>
  <si>
    <t>23.4</t>
  </si>
  <si>
    <t>24</t>
  </si>
  <si>
    <t>25</t>
  </si>
  <si>
    <t>26</t>
  </si>
  <si>
    <t>26.1</t>
  </si>
  <si>
    <t>26.2</t>
  </si>
  <si>
    <t>26.3</t>
  </si>
  <si>
    <t>26.4</t>
  </si>
  <si>
    <t>1.1.1.1._1</t>
  </si>
  <si>
    <t>1.1.1.2._1</t>
  </si>
  <si>
    <t>1.1.1.3._1</t>
  </si>
  <si>
    <t>1.1.1.3._2</t>
  </si>
  <si>
    <t>1.1.1.5._1</t>
  </si>
  <si>
    <t>1.1.1.5._2</t>
  </si>
  <si>
    <t>1.1.1.5._3</t>
  </si>
  <si>
    <t>1.1.1.6._1</t>
  </si>
  <si>
    <t>1.1.1.7._1</t>
  </si>
  <si>
    <t>1.1.1.8._1</t>
  </si>
  <si>
    <t>1.1.1.9._1</t>
  </si>
  <si>
    <t>1.1.2.1._1</t>
  </si>
  <si>
    <t>1.2.1.1._1</t>
  </si>
  <si>
    <t>1.2.1.1._2</t>
  </si>
  <si>
    <t>1.2.1.1._3</t>
  </si>
  <si>
    <t>1.2.1.2._1</t>
  </si>
  <si>
    <t>1.2.1.3._1</t>
  </si>
  <si>
    <t>1.2.1.4._1</t>
  </si>
  <si>
    <t>1.2.2.1._1</t>
  </si>
  <si>
    <t>1.2.3.1._1</t>
  </si>
  <si>
    <t>1.2.3.2._1</t>
  </si>
  <si>
    <t>1.2.3.3._1</t>
  </si>
  <si>
    <t>1.2.3.4._1</t>
  </si>
  <si>
    <t>1.2.3.5._1</t>
  </si>
  <si>
    <t>1.2.3.6._1</t>
  </si>
  <si>
    <t>1.2.3.6._2</t>
  </si>
  <si>
    <t>1.3.1.1._1</t>
  </si>
  <si>
    <t>1.3.1.2._1</t>
  </si>
  <si>
    <t>1.4.1.4._1</t>
  </si>
  <si>
    <t>1.5.1.0._1</t>
  </si>
  <si>
    <t>1.5.1.0._2</t>
  </si>
  <si>
    <t>2.1.1.1._1</t>
  </si>
  <si>
    <t>2.1.1.1._2</t>
  </si>
  <si>
    <t>2.1.1.2._1</t>
  </si>
  <si>
    <t>2.1.1.3._1</t>
  </si>
  <si>
    <t>2.1.1.3._2</t>
  </si>
  <si>
    <t>2.1.1.4._1</t>
  </si>
  <si>
    <t>2.1.1.5._1</t>
  </si>
  <si>
    <t>2.1.1.6._1</t>
  </si>
  <si>
    <t>2.1.1.6._2</t>
  </si>
  <si>
    <t>2.1.1.6._3</t>
  </si>
  <si>
    <t>2.1.1.7._1</t>
  </si>
  <si>
    <t>2.1.1.8._1</t>
  </si>
  <si>
    <t>2.1.2.0._1</t>
  </si>
  <si>
    <t>2.1.3.1._1</t>
  </si>
  <si>
    <t>2.1.3.1._2</t>
  </si>
  <si>
    <t>2.1.3.2._1</t>
  </si>
  <si>
    <t>2.1.3.2._2</t>
  </si>
  <si>
    <t>2.1.3.3._1</t>
  </si>
  <si>
    <t>2.1.3.3._2</t>
  </si>
  <si>
    <t>2.1.3.3._3</t>
  </si>
  <si>
    <t>2.2.1.1._1</t>
  </si>
  <si>
    <t>2.2.1.1._2</t>
  </si>
  <si>
    <t>2.2.1.1._3</t>
  </si>
  <si>
    <t>2.2.1.1._4</t>
  </si>
  <si>
    <t>2.2.2.1._1</t>
  </si>
  <si>
    <t>2.2.2.1._2</t>
  </si>
  <si>
    <t>2.2.2.1._3</t>
  </si>
  <si>
    <t>2.2.2.2._1</t>
  </si>
  <si>
    <t>2.2.2.2._2</t>
  </si>
  <si>
    <t>2.2.3.2._1</t>
  </si>
  <si>
    <t>2.2.3.3._1</t>
  </si>
  <si>
    <t>2.2.3.3._2</t>
  </si>
  <si>
    <t>2.2.3.3._3</t>
  </si>
  <si>
    <t>2.2.3.3._4</t>
  </si>
  <si>
    <t>2.2.3.4._1</t>
  </si>
  <si>
    <t>2.2.3.5._1</t>
  </si>
  <si>
    <t>2.2.3.5._2</t>
  </si>
  <si>
    <t>2.2.3.6._1</t>
  </si>
  <si>
    <t>2.2.3.6._2</t>
  </si>
  <si>
    <t>2.2.3.6._3</t>
  </si>
  <si>
    <t>2.2.3.6._4</t>
  </si>
  <si>
    <t>2.2.3.6._5</t>
  </si>
  <si>
    <t>2.2.3.7._1</t>
  </si>
  <si>
    <t>2.3.1.2._1</t>
  </si>
  <si>
    <t>2.3.1.2._2</t>
  </si>
  <si>
    <t>2.3.1.2._3</t>
  </si>
  <si>
    <t>2.3.1.3._1</t>
  </si>
  <si>
    <t>2.3.1.4._1</t>
  </si>
  <si>
    <t>2.4.1.2._1</t>
  </si>
  <si>
    <t>2.4.1.2._2</t>
  </si>
  <si>
    <t>2.4.1.3._1</t>
  </si>
  <si>
    <t>2.5.1.0._1</t>
  </si>
  <si>
    <t>2.6.1.1._1</t>
  </si>
  <si>
    <t>2.6.1.2. _1</t>
  </si>
  <si>
    <t>3.1.1.1._1</t>
  </si>
  <si>
    <t>3.1.1.2._1</t>
  </si>
  <si>
    <t>3.1.1.3._1</t>
  </si>
  <si>
    <t>3.1.1.4._1</t>
  </si>
  <si>
    <t>3.1.1.5._1</t>
  </si>
  <si>
    <t>3.1.1.6._1</t>
  </si>
  <si>
    <t>3.1.1.8._1</t>
  </si>
  <si>
    <t>3.2.1.1._1</t>
  </si>
  <si>
    <t>3.2.1.2._1</t>
  </si>
  <si>
    <t>3.2.1.3._1</t>
  </si>
  <si>
    <t>3.2.1.4._1</t>
  </si>
  <si>
    <t>3.2.1.5._1</t>
  </si>
  <si>
    <t>3.3.1.1._1</t>
  </si>
  <si>
    <t>3.3.1.2._1</t>
  </si>
  <si>
    <t>4.1.1.1._1</t>
  </si>
  <si>
    <t>4.1.1.1._2</t>
  </si>
  <si>
    <t>4.1.1.1._3</t>
  </si>
  <si>
    <t>4.1.1.1._4</t>
  </si>
  <si>
    <t>4.1.1.1._5</t>
  </si>
  <si>
    <t>4.1.1.3._1</t>
  </si>
  <si>
    <t>4.1.1.3._2</t>
  </si>
  <si>
    <t>4.1.1.4._1</t>
  </si>
  <si>
    <t>4.1.1.4._2</t>
  </si>
  <si>
    <t>4.1.1.5._1</t>
  </si>
  <si>
    <t>4.1.2.1._1</t>
  </si>
  <si>
    <t>4.1.2.2._1</t>
  </si>
  <si>
    <t>4.1.2.3._1</t>
  </si>
  <si>
    <t>4.1.2.4._1</t>
  </si>
  <si>
    <t>4.1.2.5._1</t>
  </si>
  <si>
    <t>4.1.2.6._1</t>
  </si>
  <si>
    <t>4.1.2.7._1</t>
  </si>
  <si>
    <t>4.1.2.8._1</t>
  </si>
  <si>
    <t>4.2.1.1._1</t>
  </si>
  <si>
    <t>4.2.1.2._1</t>
  </si>
  <si>
    <t>4.2.1.3._1</t>
  </si>
  <si>
    <t>4.2.1.5._1</t>
  </si>
  <si>
    <t>4.2.1.5._2</t>
  </si>
  <si>
    <t>4.2.1.5._3</t>
  </si>
  <si>
    <t>4.2.1.6._1</t>
  </si>
  <si>
    <t>4.2.1.6._2</t>
  </si>
  <si>
    <t>4.2.1.6._3</t>
  </si>
  <si>
    <t>4.2.1.6._4</t>
  </si>
  <si>
    <t>4.2.1.7._1</t>
  </si>
  <si>
    <t>4.2.1.8._1</t>
  </si>
  <si>
    <t>4.2.1.8._2</t>
  </si>
  <si>
    <t>4.2.1.8._3</t>
  </si>
  <si>
    <t>4.2.2.1._1</t>
  </si>
  <si>
    <t>4.2.2.3._1</t>
  </si>
  <si>
    <t>4.2.2.4._1</t>
  </si>
  <si>
    <t>4.2.2.5._1</t>
  </si>
  <si>
    <t>4.2.2.6._1</t>
  </si>
  <si>
    <t>4.2.2.7._1</t>
  </si>
  <si>
    <t>4.2.2.8._1</t>
  </si>
  <si>
    <t>4.2.2.9._1</t>
  </si>
  <si>
    <t>4.2.2.9._2</t>
  </si>
  <si>
    <t>4.2.2.11._1</t>
  </si>
  <si>
    <t>4.2.2.11._2</t>
  </si>
  <si>
    <t>4.2.3.1._1</t>
  </si>
  <si>
    <t>4.2.3.3._1</t>
  </si>
  <si>
    <t>4.2.3.4._1</t>
  </si>
  <si>
    <t>4.2.4.1._1</t>
  </si>
  <si>
    <t>4.2.4.1._2</t>
  </si>
  <si>
    <t>4.2.4.2._1</t>
  </si>
  <si>
    <t>4.2.4.3._1</t>
  </si>
  <si>
    <t>4.3.1.2._1</t>
  </si>
  <si>
    <t>4.3.1.3._1</t>
  </si>
  <si>
    <t>4.3.1.3._2</t>
  </si>
  <si>
    <t>4.3.1.5._1</t>
  </si>
  <si>
    <t>4.3.2.0._1</t>
  </si>
  <si>
    <t>4.3.3.1._1</t>
  </si>
  <si>
    <t>4.3.3.2._1</t>
  </si>
  <si>
    <t>4.3.3.3._1</t>
  </si>
  <si>
    <t>4.3.3.4._1</t>
  </si>
  <si>
    <t>4.3.3.5._1</t>
  </si>
  <si>
    <t>4.3.3.6._1</t>
  </si>
  <si>
    <t>4.3.3.7._1</t>
  </si>
  <si>
    <t>4.3.4.1._1</t>
  </si>
  <si>
    <t>4.3.4.2._1</t>
  </si>
  <si>
    <t>4.3.4.2._2</t>
  </si>
  <si>
    <t>4.3.4.3._1</t>
  </si>
  <si>
    <t>4.3.4.4._1</t>
  </si>
  <si>
    <t>4.3.4.5._1</t>
  </si>
  <si>
    <t>4.3.4.6._1</t>
  </si>
  <si>
    <t>4.3.4.7._1</t>
  </si>
  <si>
    <t>4.3.4.8._1</t>
  </si>
  <si>
    <t>4.3.4.9._1</t>
  </si>
  <si>
    <t>4.3.5.1._1</t>
  </si>
  <si>
    <t>4.3.5.1._2</t>
  </si>
  <si>
    <t>4.3.5.1._3</t>
  </si>
  <si>
    <t>4.3.5.1._4</t>
  </si>
  <si>
    <t>4.3.5.1._5</t>
  </si>
  <si>
    <t>4.3.5.2._1</t>
  </si>
  <si>
    <t>4.3.5.3._1</t>
  </si>
  <si>
    <t>4.3.5.4._1</t>
  </si>
  <si>
    <t>4.3.5.5._1</t>
  </si>
  <si>
    <t>4.3.6.1._1</t>
  </si>
  <si>
    <t>4.3.6.2._1</t>
  </si>
  <si>
    <t>4.3.6.3._1</t>
  </si>
  <si>
    <t>4.3.6.4._1</t>
  </si>
  <si>
    <t>4.3.6.4._2</t>
  </si>
  <si>
    <t>4.3.6.5._1</t>
  </si>
  <si>
    <t>4.3.6.6._1</t>
  </si>
  <si>
    <t>4.3.6.7._1</t>
  </si>
  <si>
    <t>4.3.6.7._2</t>
  </si>
  <si>
    <t>4.3.6.8._1</t>
  </si>
  <si>
    <t>4.3.6.9._1</t>
  </si>
  <si>
    <t>4.3.6.9._2</t>
  </si>
  <si>
    <t>4.3.6.10._1</t>
  </si>
  <si>
    <t>4.4.1.1._1</t>
  </si>
  <si>
    <t>5.1.1.1._1</t>
  </si>
  <si>
    <t>5.1.1.1._2</t>
  </si>
  <si>
    <t>5.1.1.1._3</t>
  </si>
  <si>
    <t>5.1.1.2._1</t>
  </si>
  <si>
    <t>5.1.1.3._1</t>
  </si>
  <si>
    <t>5.1.1.4._1</t>
  </si>
  <si>
    <t>5.1.1.5._1</t>
  </si>
  <si>
    <t>5.1.1.5._2</t>
  </si>
  <si>
    <t>5.1.1.6._1</t>
  </si>
  <si>
    <t>5.1.1.7._1</t>
  </si>
  <si>
    <t>5.2.1.1._1</t>
  </si>
  <si>
    <t>6.1.1.1._1</t>
  </si>
  <si>
    <t>6.1.1.1._2</t>
  </si>
  <si>
    <t>6.1.1.1._3</t>
  </si>
  <si>
    <t>6.1.1.1._4</t>
  </si>
  <si>
    <t>6.1.1.1._5</t>
  </si>
  <si>
    <t>6.1.1.2._1</t>
  </si>
  <si>
    <t>6.1.1.3._1</t>
  </si>
  <si>
    <t>6.1.1.3._2</t>
  </si>
  <si>
    <t>6.1.1.4._1</t>
  </si>
  <si>
    <t>6.1.1.5._1</t>
  </si>
  <si>
    <t>6.1.1.6._1</t>
  </si>
  <si>
    <t>6.1.1.7._1</t>
  </si>
  <si>
    <t>6.1.1.8._1</t>
  </si>
  <si>
    <t>7.1.1.0._1</t>
  </si>
  <si>
    <t>7.1.2.0._1</t>
  </si>
  <si>
    <t xml:space="preserve">. politikas mērķis </t>
  </si>
  <si>
    <t>TP</t>
  </si>
  <si>
    <t>TP fondu administrēšanai</t>
  </si>
  <si>
    <t xml:space="preserve"> TP fondu administrēšanai</t>
  </si>
  <si>
    <t>FM</t>
  </si>
  <si>
    <t>* Līgumu summā iekļauts pilnībā no valsts budžeta finansētais speciālo ugunsdzēsības un glābšanas transportlīdzekļu iegādes projekts – summa atbilstoša apjomam, kuru būs iespējams papildus pieprasīt no EK ieņēmumu tempa kāpināšanai</t>
  </si>
  <si>
    <t>*Plānotais finansējums (piešķīrums) norādīts atbilstoši 2025.gada 7.novembrī Ministru kabinetā (MK) apstiprinātajiem Eiropas Savienības kohēzijas politikas programmas 2021.-2027.gadam (Programma) grozījumiem (tiek gaidīts oficiāls Eiropas Komisijas (EK) lēmums par minēto grozījumu apstiprināšanu). Papildus minētajam Programmā norādītais elastības finansējums oficiāli kļūst pieejams projektu iesniegumu atlasēm tikai pēc minētā oficiālā EK lēmuma saņemšanas, attiecīgi vairākus grozījumus MK noteikumos par Specifisko atbalsta mērķu (SAM) īstenošanu būtu jāveic tikai pēc minētā EK lēmuma saņemšanas.
SAM pasākumu ietvaros norādītais finansējums var atšķirties no MK noteikumos par SAM īstenošanu noteiktajam, jo atbildīgās iestādes vēl nav paspējušas nodrošināt 2021.-2027 programmas grozījumos paredzētās finansējumu pārdales.</t>
  </si>
  <si>
    <t>ESF+ - Eiropas Sociālais fonds Plus</t>
  </si>
  <si>
    <t>ERAF - Eiropas Reģionālās attīstības fonds</t>
  </si>
  <si>
    <t>KF - Kohēzijas fonds</t>
  </si>
  <si>
    <t>TPF - Taisnīgas pārkārtošanas fonds</t>
  </si>
  <si>
    <t>Sagatavoja: Ints Pelnis, t.25629163</t>
  </si>
  <si>
    <t>Iekavās izmaiņas salīdzinot ar:</t>
  </si>
  <si>
    <t>(milj. euro)</t>
  </si>
  <si>
    <t>7. &amp; TP</t>
  </si>
  <si>
    <t>Līgumi</t>
  </si>
  <si>
    <t>Līgumu pieaugums</t>
  </si>
  <si>
    <t xml:space="preserve"> EK Maksājumi</t>
  </si>
  <si>
    <t>Maksājumu pieaugums</t>
  </si>
  <si>
    <t>EK Maksājumu pieaugums</t>
  </si>
  <si>
    <t>Speedometer</t>
  </si>
  <si>
    <t>Start</t>
  </si>
  <si>
    <t>Initial</t>
  </si>
  <si>
    <t>Mildle</t>
  </si>
  <si>
    <t>Pointer</t>
  </si>
  <si>
    <t>END</t>
  </si>
  <si>
    <t>Value</t>
  </si>
  <si>
    <t>MAX</t>
  </si>
  <si>
    <t>End</t>
  </si>
  <si>
    <t>Ministrijas piešķīrums +Valsts budžets, kas pārsniedz pasākuma ES fondu finansējumu</t>
  </si>
  <si>
    <t>Līgumi, % no ministrijas piešķīruma</t>
  </si>
  <si>
    <t>Līgumi*</t>
  </si>
  <si>
    <t>Bez līguma</t>
  </si>
  <si>
    <t>#4a773c</t>
  </si>
  <si>
    <t>#425563</t>
  </si>
  <si>
    <t>#227b8b</t>
  </si>
  <si>
    <t>#68478d</t>
  </si>
  <si>
    <t>Ministrijas Līgumu pieaugums</t>
  </si>
  <si>
    <t>#e57200</t>
  </si>
  <si>
    <t>#6ba539</t>
  </si>
  <si>
    <t>#012169</t>
  </si>
  <si>
    <t>#1f2a44</t>
  </si>
  <si>
    <t>#155452</t>
  </si>
  <si>
    <t>#e4002b</t>
  </si>
  <si>
    <t>#9d2235</t>
  </si>
  <si>
    <t>#840b55</t>
  </si>
  <si>
    <t>Maksājumi, % no ministrijas piešķīruma</t>
  </si>
  <si>
    <t>Maksājumi*</t>
  </si>
  <si>
    <t>% no līguma</t>
  </si>
  <si>
    <t>Piešķīrums
(atbilstoši REARM programmas grozijumu priekšlikumam)</t>
  </si>
  <si>
    <t>Nr.</t>
  </si>
  <si>
    <t>Politiskie mērķi</t>
  </si>
  <si>
    <t xml:space="preserve">Projektu apjoms
</t>
  </si>
  <si>
    <t xml:space="preserve"> % no piešķiruma</t>
  </si>
  <si>
    <t>Maksājumu apjoms</t>
  </si>
  <si>
    <t>% no piešķiruma</t>
  </si>
  <si>
    <t>1.</t>
  </si>
  <si>
    <t>1.1.</t>
  </si>
  <si>
    <t>2.</t>
  </si>
  <si>
    <t>2.1.</t>
  </si>
  <si>
    <t>3.</t>
  </si>
  <si>
    <t>3.1.=3./2.</t>
  </si>
  <si>
    <t>3.2.</t>
  </si>
  <si>
    <t>4.1.=4./2.</t>
  </si>
  <si>
    <t>4.2.</t>
  </si>
  <si>
    <t>5.</t>
  </si>
  <si>
    <t>5.1.=5./2.</t>
  </si>
  <si>
    <t>Kopā ESF +</t>
  </si>
  <si>
    <t>Kopā ERAF</t>
  </si>
  <si>
    <t>Kopā KF</t>
  </si>
  <si>
    <t>Kopā TPF</t>
  </si>
  <si>
    <t>"Viedāka Eiropa"</t>
  </si>
  <si>
    <t>"Zaļāka Eiropa"</t>
  </si>
  <si>
    <t>"Savienotāka Eiropa"</t>
  </si>
  <si>
    <t>4.</t>
  </si>
  <si>
    <t>"Sociālāka Eiropa"</t>
  </si>
  <si>
    <t>"Iedzīvotājiem tuvāka Eiropa"</t>
  </si>
  <si>
    <t>6.</t>
  </si>
  <si>
    <t>"Taisnīgās pārkārtošanās fonda investīcijas"</t>
  </si>
  <si>
    <t>7.</t>
  </si>
  <si>
    <t xml:space="preserve">Kapacitātes stiprināšanas pasākumi </t>
  </si>
  <si>
    <t>Testa aile</t>
  </si>
  <si>
    <t>hhh</t>
  </si>
  <si>
    <t>Atbildīgā iestāde / Fonds</t>
  </si>
  <si>
    <t>Papildu valsts budžets, kas pārsniedz ES fondu piešķīrumu</t>
  </si>
  <si>
    <t>Fondi +virssaistības</t>
  </si>
  <si>
    <t xml:space="preserve">0,0 Milj. EUR </t>
  </si>
  <si>
    <t>Piešķīrums2</t>
  </si>
  <si>
    <t>papildus</t>
  </si>
  <si>
    <t>EM</t>
  </si>
  <si>
    <t>IeM</t>
  </si>
  <si>
    <t>IZM</t>
  </si>
  <si>
    <t>KEM</t>
  </si>
  <si>
    <t>KM</t>
  </si>
  <si>
    <t>LM</t>
  </si>
  <si>
    <t>SM</t>
  </si>
  <si>
    <t>TM</t>
  </si>
  <si>
    <t>VARAM</t>
  </si>
  <si>
    <t>VK</t>
  </si>
  <si>
    <t>VM</t>
  </si>
  <si>
    <t>No EK saņemtie ES fondu maksājumi, EUR uz 17.06.2026</t>
  </si>
  <si>
    <t>Maksājuma  saņemšanas datums</t>
  </si>
  <si>
    <t>Saņemtā summa</t>
  </si>
  <si>
    <t>Maksājuma veids</t>
  </si>
  <si>
    <t xml:space="preserve">https://www.kase.gov.lv/parskati/es-lidzeklu-izmantosana </t>
  </si>
  <si>
    <t>FI</t>
  </si>
  <si>
    <t>Produktivitātes aizdevumi inovācijām</t>
  </si>
  <si>
    <t>Iespējkapitāls</t>
  </si>
  <si>
    <t>Starta, izaugsmes aizdevumi</t>
  </si>
  <si>
    <t>Aizdevumu garantijas</t>
  </si>
  <si>
    <t>Aizdevumi</t>
  </si>
  <si>
    <t xml:space="preserve">Dzīvojamo ēku energoefektivitāte </t>
  </si>
  <si>
    <t/>
  </si>
  <si>
    <t>AER un energoefektivitāte rūpniecībā un komersantos</t>
  </si>
  <si>
    <t xml:space="preserve">AER un energoefektivitāte siltumapgādē </t>
  </si>
  <si>
    <t>AER - biometāns</t>
  </si>
  <si>
    <t>Energoefektivitāte un produktu attīstība uzņēmumos</t>
  </si>
  <si>
    <t>VI</t>
  </si>
  <si>
    <t>Pētniecība un prasmes</t>
  </si>
  <si>
    <t>1.1.1.</t>
  </si>
  <si>
    <t>P&amp;I kapacitātes stiprināšana</t>
  </si>
  <si>
    <t>1.1.1.1.</t>
  </si>
  <si>
    <t>Zinātnes politikas attīstība</t>
  </si>
  <si>
    <t>_</t>
  </si>
  <si>
    <t>1.1.1.2.</t>
  </si>
  <si>
    <t>RIS3 P&amp;A centri</t>
  </si>
  <si>
    <t>1.1.1.3.</t>
  </si>
  <si>
    <t>Praktiskas ievirzes pētījumi</t>
  </si>
  <si>
    <t>1.1.1.5.</t>
  </si>
  <si>
    <t>Dalība Apvārsnis Eiropa programmā</t>
  </si>
  <si>
    <t>1.1.1.6.</t>
  </si>
  <si>
    <t>Zinātnes digitalizācija</t>
  </si>
  <si>
    <t>P&amp;I kapacitātes stiprināšana P&amp;A sistēmā</t>
  </si>
  <si>
    <t>1.1.1.7.</t>
  </si>
  <si>
    <t>Inovāciju granti studentiem</t>
  </si>
  <si>
    <t>1.1.1.8.</t>
  </si>
  <si>
    <t>Doktorantūras granti</t>
  </si>
  <si>
    <t>1.1.1.9.</t>
  </si>
  <si>
    <t>Pēcdoktorantūras pētījumi</t>
  </si>
  <si>
    <t>1.1.2.</t>
  </si>
  <si>
    <t>RIS3 prasmju attīstība</t>
  </si>
  <si>
    <t>1.1.2.1.</t>
  </si>
  <si>
    <t>Prasmju attīstība</t>
  </si>
  <si>
    <t>1.2.</t>
  </si>
  <si>
    <t>Atbalsts uzņēmējdarbībai</t>
  </si>
  <si>
    <t>1.2.1.</t>
  </si>
  <si>
    <t>P&amp;I kapacitātes stiprināšana uzņēmumiem</t>
  </si>
  <si>
    <t>1.2.1.1.</t>
  </si>
  <si>
    <t>Inovāciju klasteri</t>
  </si>
  <si>
    <t>1.2.1.2.</t>
  </si>
  <si>
    <t>1.2.1.3.</t>
  </si>
  <si>
    <t>Uzņēmuma atbalsts dalībai kapitāla tirgos</t>
  </si>
  <si>
    <t>1.2.1.4.</t>
  </si>
  <si>
    <t> Tehnoloģiju pārnese</t>
  </si>
  <si>
    <t>1.2.2.</t>
  </si>
  <si>
    <t>Digitalizācija uzņēmējdarbības attīstībai</t>
  </si>
  <si>
    <t>1.2.2.1.</t>
  </si>
  <si>
    <t>Komercdarbības procesu digitalizācija</t>
  </si>
  <si>
    <t>1.2.3.</t>
  </si>
  <si>
    <t>MVU konkurētspēja</t>
  </si>
  <si>
    <t>1.2.3.1.</t>
  </si>
  <si>
    <t xml:space="preserve">Atbalsts MVU </t>
  </si>
  <si>
    <t>1.2.3.2.</t>
  </si>
  <si>
    <t>1.2.3.3.</t>
  </si>
  <si>
    <t>1.2.3.4.</t>
  </si>
  <si>
    <t>1.2.3.5.</t>
  </si>
  <si>
    <t>1.2.3.6.</t>
  </si>
  <si>
    <t>Tūrisma atbalsta programma</t>
  </si>
  <si>
    <t>1.3.</t>
  </si>
  <si>
    <t>Digitalizācija</t>
  </si>
  <si>
    <t>1.3.1.</t>
  </si>
  <si>
    <t>Digitalizācijas priekšrocības</t>
  </si>
  <si>
    <t>1.3.1.1.</t>
  </si>
  <si>
    <t>IKT platformas</t>
  </si>
  <si>
    <t>1.3.1.2.</t>
  </si>
  <si>
    <t xml:space="preserve">Inovācijas laboratorija </t>
  </si>
  <si>
    <t>1.4.</t>
  </si>
  <si>
    <t>Digitālā savienojamība</t>
  </si>
  <si>
    <t>1.4.1.</t>
  </si>
  <si>
    <t>1.4.1.4.</t>
  </si>
  <si>
    <t>Kiberdrošības infrastruktūra</t>
  </si>
  <si>
    <t>1.5.</t>
  </si>
  <si>
    <t>Investīciju fonds uzņēmējdarbības attīstībai</t>
  </si>
  <si>
    <t>1.5.1.</t>
  </si>
  <si>
    <t>Rūpniecisko spēju uzlabošana aizsardzības stiprināšanai</t>
  </si>
  <si>
    <t>1.5.1.0.</t>
  </si>
  <si>
    <t>Klimata pārmaiņu mazināšana un pielāgošanās klimata pārmaiņām</t>
  </si>
  <si>
    <t>2.1.1.</t>
  </si>
  <si>
    <t xml:space="preserve">Energoefektivitātes paaugstināšana </t>
  </si>
  <si>
    <t>2.1.1.1.</t>
  </si>
  <si>
    <t>2.1.1.2.</t>
  </si>
  <si>
    <t>2.1.1.3.</t>
  </si>
  <si>
    <t>2.1.1.4.</t>
  </si>
  <si>
    <t xml:space="preserve">Valsts ēku energoefektivitāte </t>
  </si>
  <si>
    <t>2.1.1.5.</t>
  </si>
  <si>
    <t xml:space="preserve">Kilmatneitralitāte profesionālās izglītības iestādēs un koledžās </t>
  </si>
  <si>
    <t>2.1.1.6.</t>
  </si>
  <si>
    <t xml:space="preserve">Pašvaldību ēku energoefektivitāte </t>
  </si>
  <si>
    <t>2.1.1.7.</t>
  </si>
  <si>
    <t>Valsts iestāžu  infrastruktūras optimizācija</t>
  </si>
  <si>
    <t>2.1.1.8.</t>
  </si>
  <si>
    <t xml:space="preserve">Kultūras infrastruktūras energoefektivitāte </t>
  </si>
  <si>
    <t>2.1.2.</t>
  </si>
  <si>
    <t>2.1.2.0.</t>
  </si>
  <si>
    <t>2.1.3.</t>
  </si>
  <si>
    <t>Pielāgošanās klimata pārmaiņām</t>
  </si>
  <si>
    <t>2.1.3.1.</t>
  </si>
  <si>
    <t>Pašvaldību pielāgošanās klimata pārmaiņām</t>
  </si>
  <si>
    <t>2.1.3.2.</t>
  </si>
  <si>
    <t xml:space="preserve">Plūdu risku samazināšana </t>
  </si>
  <si>
    <t>2.1.3.3.</t>
  </si>
  <si>
    <t>Katastrofu risku mazināšanas pasākumi</t>
  </si>
  <si>
    <t>2.2.</t>
  </si>
  <si>
    <t>Vides aizsardzība un attīstība</t>
  </si>
  <si>
    <t>2.2.1.</t>
  </si>
  <si>
    <t xml:space="preserve">Ūdenssaimniecība </t>
  </si>
  <si>
    <t>2.2.1.1.</t>
  </si>
  <si>
    <t xml:space="preserve">Notekūdeņu apsaimniekošana </t>
  </si>
  <si>
    <t>2.2.2.</t>
  </si>
  <si>
    <t xml:space="preserve">Aprites ekonomikas veicināšana </t>
  </si>
  <si>
    <t>2.2.2.1.</t>
  </si>
  <si>
    <t>Atkritumu šķirošana, pārstrāde un reģenerācija</t>
  </si>
  <si>
    <t>2.2.2.2.</t>
  </si>
  <si>
    <t>Atkritumu dalītā vākšana</t>
  </si>
  <si>
    <t>2.2.3.</t>
  </si>
  <si>
    <t>Bioloģiskās daudzveidības uzlabošana un piesārņojuma mazināšana</t>
  </si>
  <si>
    <t>2.2.3.2.</t>
  </si>
  <si>
    <t>Vides izglītības veicināšana</t>
  </si>
  <si>
    <t>2.2.3.3.</t>
  </si>
  <si>
    <t>Bioloģiskās daudzveidības veicināšana un saglabāšana</t>
  </si>
  <si>
    <t>2.2.3.4.</t>
  </si>
  <si>
    <t xml:space="preserve">Vides monitorings </t>
  </si>
  <si>
    <t>2.2.3.5.</t>
  </si>
  <si>
    <t xml:space="preserve">Gaisa piesārņojuma samazināšana </t>
  </si>
  <si>
    <t>2.2.3.6.</t>
  </si>
  <si>
    <t>Gaisa piesārņojumu mazinoši pasākumi mājsaimniecībās</t>
  </si>
  <si>
    <t>2.2.3.7.</t>
  </si>
  <si>
    <t>Filtru nomaiņa enerģētikas uzņēmumos</t>
  </si>
  <si>
    <t>2.3.</t>
  </si>
  <si>
    <t>Ilgtspējīga mobilitāte</t>
  </si>
  <si>
    <t>2.3.1.</t>
  </si>
  <si>
    <t>Ilgtspējīga daudzveidu mobilitāte</t>
  </si>
  <si>
    <t>2.3.1.2.</t>
  </si>
  <si>
    <t xml:space="preserve">Multimodāls sabiedriskā transporta tīkls </t>
  </si>
  <si>
    <t>2.3.1.3.</t>
  </si>
  <si>
    <t>Veloinfrastruktūras attīstība</t>
  </si>
  <si>
    <t>2.3.1.4.</t>
  </si>
  <si>
    <t>Transporta digitālie risinājumi</t>
  </si>
  <si>
    <t>2.4.</t>
  </si>
  <si>
    <t>AER izmantošanas transportā veicināšana</t>
  </si>
  <si>
    <t>2.4.1.</t>
  </si>
  <si>
    <t>Elektrotransportlīdzekļi un infrastruktūra</t>
  </si>
  <si>
    <t>2.4.1.2.</t>
  </si>
  <si>
    <t>Bezemisiju vilcienu iegāde - elektrovilcieni</t>
  </si>
  <si>
    <t>2.4.1.3.</t>
  </si>
  <si>
    <t>Bezemisiju (bateriju) vilcieni</t>
  </si>
  <si>
    <t>2.5.</t>
  </si>
  <si>
    <t>Enerģētiskās neatkarības un atjaunīgās enerģijas kapacitātes celšana</t>
  </si>
  <si>
    <t>2.5.1.</t>
  </si>
  <si>
    <t>Atbalsts STEP</t>
  </si>
  <si>
    <t>2.5.1.0.</t>
  </si>
  <si>
    <t>2.6.</t>
  </si>
  <si>
    <t>Enerģētiskās neatkarība stipirnāšana</t>
  </si>
  <si>
    <t>2.6.1.</t>
  </si>
  <si>
    <t>Enerģētiskās neatkarības stiprināšana un biometāns</t>
  </si>
  <si>
    <t>2.6.1.1.</t>
  </si>
  <si>
    <t>AER- biometāns</t>
  </si>
  <si>
    <t xml:space="preserve">2.6.1.2. </t>
  </si>
  <si>
    <t>Enerģētiskā neatkarība</t>
  </si>
  <si>
    <t>3.1.</t>
  </si>
  <si>
    <t>Ilgtspējīga TEN-T infrastruktūra</t>
  </si>
  <si>
    <t>3.1.1.</t>
  </si>
  <si>
    <t>TEN-T infrastruktūras attīstība</t>
  </si>
  <si>
    <t>3.1.1.1.</t>
  </si>
  <si>
    <t>3.1.1.2.</t>
  </si>
  <si>
    <t>Valsts galveno autoceļu attīstība</t>
  </si>
  <si>
    <t>3.1.1.3.</t>
  </si>
  <si>
    <t>Dzelzceļa pasažieru infrastruktūras attīstība</t>
  </si>
  <si>
    <t>3.1.1.4.</t>
  </si>
  <si>
    <t>Rīgas transporta infrastruktūras attīstība</t>
  </si>
  <si>
    <t>3.1.1.5.</t>
  </si>
  <si>
    <t>Nacionālās nozīmes centru ielu infrastruktūras attīstība</t>
  </si>
  <si>
    <t>3.1.1.6.</t>
  </si>
  <si>
    <t>Lielo ostu infrastruktūras attīstība</t>
  </si>
  <si>
    <t>3.1.1.8.</t>
  </si>
  <si>
    <t>Robežšķērsošanas punktu attīstība</t>
  </si>
  <si>
    <t>Duālas izmantojamības infrastruktūra un kiberdrošība</t>
  </si>
  <si>
    <t>3.2.1.</t>
  </si>
  <si>
    <t>3.2.1.1.</t>
  </si>
  <si>
    <t>3.2.1.2.</t>
  </si>
  <si>
    <t>3.2.1.3.</t>
  </si>
  <si>
    <t>3.2.1.4.</t>
  </si>
  <si>
    <t> Divējāda lietojuma infrastruktūra</t>
  </si>
  <si>
    <t>3.2.1.5.</t>
  </si>
  <si>
    <t>Katastrofu pārvaldības centru būvniecība</t>
  </si>
  <si>
    <t>3.3.</t>
  </si>
  <si>
    <t>Militārās mobilitātes stiprināšana - dzelzceļš un ostas</t>
  </si>
  <si>
    <t>3.3.1.</t>
  </si>
  <si>
    <t>Militārās mobilitātes infrastruktūra</t>
  </si>
  <si>
    <t>3.3.1.1.</t>
  </si>
  <si>
    <t>3.3.1.2.</t>
  </si>
  <si>
    <t>4.1.</t>
  </si>
  <si>
    <t>Veselības veicināšana un aprūpe</t>
  </si>
  <si>
    <t>4.1.1.</t>
  </si>
  <si>
    <t>Vienlīdzīga piekļuve veselības aprūpei</t>
  </si>
  <si>
    <t>4.1.1.1.</t>
  </si>
  <si>
    <t>Ārstniecības iestāžu infrastruktūras attīstība</t>
  </si>
  <si>
    <t>4.1.1.3.</t>
  </si>
  <si>
    <t>Primārās veselības aprūpes infrastruktūras attīstība</t>
  </si>
  <si>
    <t>4.1.1.4.</t>
  </si>
  <si>
    <t>Veselības nozares digitalizācija</t>
  </si>
  <si>
    <t>4.1.1.5.</t>
  </si>
  <si>
    <t>Neatliekamās medicīniskās palīdzības dienesta attīstība</t>
  </si>
  <si>
    <t>4.1.2.</t>
  </si>
  <si>
    <t>Uzlabota veselības aprūpes sistēmas efektivitāte un izturētspēja</t>
  </si>
  <si>
    <t>4.1.2.1.</t>
  </si>
  <si>
    <t>Nacionāla mēroga veselības veicināšana un slimību profilakse</t>
  </si>
  <si>
    <t>4.1.2.2.</t>
  </si>
  <si>
    <t>Veselības veicināšana un slimību profilakse pašvaldībās</t>
  </si>
  <si>
    <t>4.1.2.3.</t>
  </si>
  <si>
    <t>Procesu atkarībām profilakse un resocializācija</t>
  </si>
  <si>
    <t>4.1.2.4.</t>
  </si>
  <si>
    <t>Narkotiku lietošanas profilakse</t>
  </si>
  <si>
    <t>4.1.2.5.</t>
  </si>
  <si>
    <t xml:space="preserve">Ārstniecības personu piesaiste </t>
  </si>
  <si>
    <t>4.1.2.6.</t>
  </si>
  <si>
    <t>Ārstniecības personu tālākizglītība</t>
  </si>
  <si>
    <t>4.1.2.7.</t>
  </si>
  <si>
    <t>Pilnveidot pacientu drošību un aprūpes kvalitāti</t>
  </si>
  <si>
    <t>4.1.2.8.</t>
  </si>
  <si>
    <t>NVO iesaiste veselības veicināšanā un slimību profilaksē</t>
  </si>
  <si>
    <t>Izglītība, prasmes un mūžizglītība</t>
  </si>
  <si>
    <t>4.2.1.</t>
  </si>
  <si>
    <t>Infrastruktūra iekļaujošiem un kvalitatīviem pakalpojumiem izglītībā</t>
  </si>
  <si>
    <t>4.2.1.1.</t>
  </si>
  <si>
    <t>Pedagoģiski psiholoģiskā atbalsta dienests</t>
  </si>
  <si>
    <t>4.2.1.2.</t>
  </si>
  <si>
    <t>Tehnisko palīglīdzekļu apmaiņas sistēma</t>
  </si>
  <si>
    <t>4.2.1.3.</t>
  </si>
  <si>
    <t>Speciālā izglītība</t>
  </si>
  <si>
    <t>4.2.1.5.</t>
  </si>
  <si>
    <t>Izglītības iestāžu mācību līdzekļi un aprīkojums</t>
  </si>
  <si>
    <t>4.2.1.6.</t>
  </si>
  <si>
    <t>Profesionālās izglītības iestāžu infrastruktūra</t>
  </si>
  <si>
    <t>4.2.1.7.</t>
  </si>
  <si>
    <t>Pirmsskolas izglītības iestāžu infrastruktūra</t>
  </si>
  <si>
    <t>4.2.1.8.</t>
  </si>
  <si>
    <t>Augstskolu infrastruktūra</t>
  </si>
  <si>
    <t>4.2.2.</t>
  </si>
  <si>
    <t>Izglītības un mācību sistēmas kvalitāte, efektivitāte un atbilstība darba tirgum</t>
  </si>
  <si>
    <t>4.2.2.1.</t>
  </si>
  <si>
    <t>Izglītības iestāžu mācību procesa dažādošana</t>
  </si>
  <si>
    <t>4.2.2.3.</t>
  </si>
  <si>
    <t>Pedagoga profesijas attīstība</t>
  </si>
  <si>
    <t>4.2.2.4.</t>
  </si>
  <si>
    <t>Atbalsts izglītības kvalitātes attīstībai</t>
  </si>
  <si>
    <t>4.2.2.5.</t>
  </si>
  <si>
    <t>Starptautiskie izglītības pētījumi</t>
  </si>
  <si>
    <t>4.2.2.6.</t>
  </si>
  <si>
    <t>Pāreja uz ciklisku institucionālo akreditāciju</t>
  </si>
  <si>
    <t>4.2.2.7.</t>
  </si>
  <si>
    <t>Indukcijas gada ieviešana</t>
  </si>
  <si>
    <t>4.2.2.8.</t>
  </si>
  <si>
    <t>Latviešu valodas kā svešvalodas izglītības satura izstrāde</t>
  </si>
  <si>
    <t>4.2.2.9.</t>
  </si>
  <si>
    <t>Atbalsts profesionālai izglītībai</t>
  </si>
  <si>
    <t>4.2.2.11.</t>
  </si>
  <si>
    <t>Studiju procesa digitalizācija</t>
  </si>
  <si>
    <t>4.2.3.</t>
  </si>
  <si>
    <t>Vienlīdzīga piekļuve kvalitatīvai un iekļaujošai izglītībai un mācībām</t>
  </si>
  <si>
    <t>4.2.3.1.</t>
  </si>
  <si>
    <t xml:space="preserve">Sadarbības programma "Skola-kopiena" </t>
  </si>
  <si>
    <t>4.2.3.3.</t>
  </si>
  <si>
    <t>Kultūras pakalpojumu pieejamība</t>
  </si>
  <si>
    <t>4.2.3.4.</t>
  </si>
  <si>
    <t>Atbalsts NEET jauniešiem</t>
  </si>
  <si>
    <t>4.2.4.</t>
  </si>
  <si>
    <t>Mūžizglītība</t>
  </si>
  <si>
    <t>4.2.4.1.</t>
  </si>
  <si>
    <t>Nozaru vajadzībās balstīta mūžizglītība</t>
  </si>
  <si>
    <t>4.2.4.2.</t>
  </si>
  <si>
    <t>Individuālajās vajadzībās balstīta mūžizglītība</t>
  </si>
  <si>
    <t>4.2.4.3.</t>
  </si>
  <si>
    <t>Digitālo prasmju pilnveide</t>
  </si>
  <si>
    <t>4.3.</t>
  </si>
  <si>
    <t>Nodarbinātība un sociālā iekļaušana</t>
  </si>
  <si>
    <t>4.3.1.</t>
  </si>
  <si>
    <t>Sociālās infrastruktūras nodrošināšana</t>
  </si>
  <si>
    <t>4.3.1.2.</t>
  </si>
  <si>
    <t>Ģimeniskai videi pietuvināti pakalpojumi</t>
  </si>
  <si>
    <t>4.3.1.3.</t>
  </si>
  <si>
    <t>Sociālo mājokļu būvniecība vai atjaunošana</t>
  </si>
  <si>
    <t>4.3.1.5.</t>
  </si>
  <si>
    <t>DI infrastruktūras attīstība</t>
  </si>
  <si>
    <t>4.3.2.</t>
  </si>
  <si>
    <t xml:space="preserve">Kultūras pakalpojumu pieejamība </t>
  </si>
  <si>
    <t>4.3.2.0.</t>
  </si>
  <si>
    <t>4.3.3.</t>
  </si>
  <si>
    <t>Nodarbinātība</t>
  </si>
  <si>
    <t>4.3.3.1.</t>
  </si>
  <si>
    <t>Bezdarbnieku apmācības</t>
  </si>
  <si>
    <t>4.3.3.2.</t>
  </si>
  <si>
    <t>Subsidētās darba vietas</t>
  </si>
  <si>
    <t>4.3.3.3.</t>
  </si>
  <si>
    <t>Sociālā uzņēmējdarbība un sociālā ekonomika</t>
  </si>
  <si>
    <t>4.3.3.4.</t>
  </si>
  <si>
    <t>EURES tīkls</t>
  </si>
  <si>
    <t>4.3.3.5.</t>
  </si>
  <si>
    <t>Ilgāks darba mūžs</t>
  </si>
  <si>
    <t>4.3.3.6.</t>
  </si>
  <si>
    <t>NVA kapacitāte</t>
  </si>
  <si>
    <t>4.3.3.7.</t>
  </si>
  <si>
    <t>VDI kapacitāte</t>
  </si>
  <si>
    <t>4.3.4.</t>
  </si>
  <si>
    <t>Aktīvā iekļaušana</t>
  </si>
  <si>
    <t>4.3.4.1.</t>
  </si>
  <si>
    <t>Vienlīdzīgas iespējas</t>
  </si>
  <si>
    <t>Aktīvā iekļaušana un vienlīdzīgas iespējas</t>
  </si>
  <si>
    <t>4.3.4.2.</t>
  </si>
  <si>
    <t>Atbalsta pasākumi diskriminācijas riskam</t>
  </si>
  <si>
    <t>4.3.4.3.</t>
  </si>
  <si>
    <t>Ģimene un darba dzīve</t>
  </si>
  <si>
    <t>4.3.4.4.</t>
  </si>
  <si>
    <t>Sociālais dialogs</t>
  </si>
  <si>
    <t>4.3.4.5.</t>
  </si>
  <si>
    <t>Atbalsts NVO izaugsmei</t>
  </si>
  <si>
    <t>4.3.4.6.</t>
  </si>
  <si>
    <t>Probācijas klientu resocializācija</t>
  </si>
  <si>
    <t>4.3.4.7.</t>
  </si>
  <si>
    <t>Ieslodzīto resocializācija</t>
  </si>
  <si>
    <t>4.3.4.8.</t>
  </si>
  <si>
    <t>Vienas pieturas aģentūras pakalpojumi jauniebraucējiem</t>
  </si>
  <si>
    <t>4.3.4.9.</t>
  </si>
  <si>
    <t>Pilsoniskā sabiedrība</t>
  </si>
  <si>
    <t>4.3.5.</t>
  </si>
  <si>
    <t>Sociālā iekļaušana</t>
  </si>
  <si>
    <t>4.3.5.1.</t>
  </si>
  <si>
    <t>DI pakalpojumu pieejamība</t>
  </si>
  <si>
    <t>4.3.5.2.</t>
  </si>
  <si>
    <t>Paliatīvās aprūpes pakalpojuma pilnveide</t>
  </si>
  <si>
    <t>4.3.5.3.</t>
  </si>
  <si>
    <t>SPOLIS sistēmas pilnveide</t>
  </si>
  <si>
    <t>4.3.5.4.</t>
  </si>
  <si>
    <t>Sociālā darba attīstība</t>
  </si>
  <si>
    <t>4.3.5.5.</t>
  </si>
  <si>
    <t>Pieeja tiesiskumam</t>
  </si>
  <si>
    <t>4.3.6.</t>
  </si>
  <si>
    <t>Atstumtības riskam pakļauto personu un bērnu integrācija</t>
  </si>
  <si>
    <t>4.3.6.1.</t>
  </si>
  <si>
    <t>Bērnu tiesību aizsardzības sistēmas pilnveide</t>
  </si>
  <si>
    <t>4.3.6.2.</t>
  </si>
  <si>
    <t>Atbalsta pasākumi VDEĀVK klientu apkalpošanas uzlabošanai</t>
  </si>
  <si>
    <t>4.3.6.3.</t>
  </si>
  <si>
    <t>Atbalsts bērniem ar smagu diagnozi/ invaliditāti un viņu ģimenēm</t>
  </si>
  <si>
    <t>4.3.6.4.</t>
  </si>
  <si>
    <t>Atbalsta sistēmas no vardarbības ģimenē cietušām personām pilnveide (LM)</t>
  </si>
  <si>
    <t>Inovatīvi pakalpojumi no vardarbības cietušām personām (NVO)</t>
  </si>
  <si>
    <t>4.3.6.5.</t>
  </si>
  <si>
    <t>Atbalsta pasākumi ģimenēm ar bērniem labklājības veicināšanai</t>
  </si>
  <si>
    <t>4.3.6.6.</t>
  </si>
  <si>
    <t>Bērnu pieskatīšanas pakalpojumi</t>
  </si>
  <si>
    <t>4.3.6.7.</t>
  </si>
  <si>
    <t>Atbalsta sistēmas izveide bērnu veselīgais attīstībai</t>
  </si>
  <si>
    <t>4.3.6.8.</t>
  </si>
  <si>
    <t>IKT sistēmu modernizācija bērnu tiesību aizsardzības nodrošināšanai</t>
  </si>
  <si>
    <t>4.3.6.9.</t>
  </si>
  <si>
    <t>Ģimenei draudzīgas vides veicināšana</t>
  </si>
  <si>
    <t>4.3.6.10.</t>
  </si>
  <si>
    <t>4.4.</t>
  </si>
  <si>
    <t>Sociālās inovācijas</t>
  </si>
  <si>
    <t>4.4.1.</t>
  </si>
  <si>
    <t>4.4.1.1.</t>
  </si>
  <si>
    <t>Sociālo pakalpojumu inovācijas</t>
  </si>
  <si>
    <t>5.1.</t>
  </si>
  <si>
    <t xml:space="preserve">Reģionu līdzsvarota attīstība </t>
  </si>
  <si>
    <t>5.1.1.</t>
  </si>
  <si>
    <t>Integrētās sociālās, ekonomiskās un vides attīstības un kultūras mantojuma, tūrisma un drošības veicināšana pilsētu teritorijās</t>
  </si>
  <si>
    <t>5.1.1.1.</t>
  </si>
  <si>
    <t>Atbalsts uzņēmējdarbības infrastuktūrai</t>
  </si>
  <si>
    <t>5.1.1.2.</t>
  </si>
  <si>
    <t>Pašvaldību un plānošanas reģionu kapacitātes uzlabošana</t>
  </si>
  <si>
    <t>5.1.1.3.</t>
  </si>
  <si>
    <t>Publiskās ārtelpas attīstība</t>
  </si>
  <si>
    <t>5.1.1.4.</t>
  </si>
  <si>
    <t>Viedās pašvaldības</t>
  </si>
  <si>
    <t>5.1.1.5.</t>
  </si>
  <si>
    <t>Kultūras  mantojuma  atjaunošana</t>
  </si>
  <si>
    <t>5.1.1.6.</t>
  </si>
  <si>
    <t>Kultūras mantojuma saglabāšana un jaunu pakalpojumu attīstība</t>
  </si>
  <si>
    <t>5.1.1.7.</t>
  </si>
  <si>
    <t>Reģionālās kultūras infrastruktūras attīstība/ pieejamība</t>
  </si>
  <si>
    <t>5.2.</t>
  </si>
  <si>
    <t>Civilās aizsardzības stiprināšana</t>
  </si>
  <si>
    <t>5.2.1.</t>
  </si>
  <si>
    <t>5.2.1.1.</t>
  </si>
  <si>
    <t>Patvertnes</t>
  </si>
  <si>
    <t>6.1.</t>
  </si>
  <si>
    <t>Pāreja uz klimatneitralitāti</t>
  </si>
  <si>
    <t>6.1.1.</t>
  </si>
  <si>
    <t>Pārejas uz klimatneitralitāti radītoseku mazināšana</t>
  </si>
  <si>
    <t>6.1.1.1.</t>
  </si>
  <si>
    <t>Atteikšanās no kūdras izmantošanas enerģētikā</t>
  </si>
  <si>
    <t>6.1.1.2.</t>
  </si>
  <si>
    <t>Pētniecības attīstība dabas resursu ilgtspējīgai izmantošanai</t>
  </si>
  <si>
    <t>6.1.1.3.</t>
  </si>
  <si>
    <t>Uzņēmējdarbības publiskās infrastruktūras attīstība pārejā uz klimatneitralitāti</t>
  </si>
  <si>
    <t>6.1.1.4.</t>
  </si>
  <si>
    <t>6.1.1.5.</t>
  </si>
  <si>
    <t>Prasmju attīstības (TPF)</t>
  </si>
  <si>
    <t>6.1.1.6.</t>
  </si>
  <si>
    <t xml:space="preserve"> Bezemisiju mobilitātes  veicināšana pašvaldībās </t>
  </si>
  <si>
    <t>6.1.1.7.</t>
  </si>
  <si>
    <t>Purvu ekosistēmu atjaunošana</t>
  </si>
  <si>
    <t>6.1.1.8.</t>
  </si>
  <si>
    <t>Pašvaldību un plānošanas reģionu speciālistu prasmju paaugstināšana</t>
  </si>
  <si>
    <t>7.1.</t>
  </si>
  <si>
    <t>Kapacitātes stiprināšanas pasākumi</t>
  </si>
  <si>
    <t>7.1.1.</t>
  </si>
  <si>
    <t>7.1.1.0.</t>
  </si>
  <si>
    <t>7.1.2.</t>
  </si>
  <si>
    <t>7.1.2.0.</t>
  </si>
  <si>
    <t>Inovāciju laboratorija bērnu un ģimeņu pakalpojumiem</t>
  </si>
  <si>
    <t>1. politikas mērķis "Viedāka Eiropa"</t>
  </si>
  <si>
    <t>1.1.1.1._1 Zinātnes politikas attīstība</t>
  </si>
  <si>
    <t>1.1.1.2._1 RIS3 P&amp;A centri</t>
  </si>
  <si>
    <t>1.1.1.3._1 Praktiskas ievirzes pētījumi</t>
  </si>
  <si>
    <t>1.1.1.3._2 Praktiskas ievirzes pētījumi</t>
  </si>
  <si>
    <t>1.1.1.5._1 Dalība Apvārsnis Eiropa programmā</t>
  </si>
  <si>
    <t>1.1.1.5._2 Dalība Apvārsnis Eiropa programmā</t>
  </si>
  <si>
    <t>1.1.1.5._3 Dalība Apvārsnis Eiropa programmā</t>
  </si>
  <si>
    <t>1.1.1.6._1 Zinātnes digitalizācija</t>
  </si>
  <si>
    <t>1.1.1.7._1 Inovāciju granti studentiem</t>
  </si>
  <si>
    <t>1.1.1.8._1 Doktorantūras granti</t>
  </si>
  <si>
    <t>1.1.1.9._1 Pēcdoktorantūras pētījumi</t>
  </si>
  <si>
    <t>1.1.2.1._1 Prasmju attīstība</t>
  </si>
  <si>
    <t>1.2.1.1._1 Inovāciju klasteri</t>
  </si>
  <si>
    <t>1.2.1.1._2 Inovāciju klasteri</t>
  </si>
  <si>
    <t>1.2.1.1._3 Inovāciju klasteri</t>
  </si>
  <si>
    <t>1.2.1.2._1 Produktivitātes aizdevumi inovācijām</t>
  </si>
  <si>
    <t>1.2.1.3._1 Uzņēmuma atbalsts dalībai kapitāla tirgos</t>
  </si>
  <si>
    <t>1.2.1.4._1  Tehnoloģiju pārnese</t>
  </si>
  <si>
    <t>1.2.2.1._1 Komercdarbības procesu digitalizācija</t>
  </si>
  <si>
    <t xml:space="preserve">1.2.3.1._1 Atbalsts MVU </t>
  </si>
  <si>
    <t>1.2.3.2._1 Iespējkapitāls</t>
  </si>
  <si>
    <t>1.2.3.3._1 Starta, izaugsmes aizdevumi</t>
  </si>
  <si>
    <t>1.2.3.4._1 Aizdevumu garantijas</t>
  </si>
  <si>
    <t>1.2.3.5._1 Aizdevumi</t>
  </si>
  <si>
    <t>1.2.3.6._1 Tūrisma atbalsta programma</t>
  </si>
  <si>
    <t>1.2.3.6._2 Tūrisma atbalsta programma</t>
  </si>
  <si>
    <t>1.3.1.1._1 IKT platformas</t>
  </si>
  <si>
    <t xml:space="preserve">1.3.1.2._1 Inovācijas laboratorija </t>
  </si>
  <si>
    <t>1.4.1.4._1 Kiberdrošības infrastruktūra</t>
  </si>
  <si>
    <t>1.5.1.0._1 Rūpniecisko spēju uzlabošana aizsardzības stiprināšanai</t>
  </si>
  <si>
    <t>1.5.1.0._2 Rūpniecisko spēju uzlabošana aizsardzības stiprināšanai</t>
  </si>
  <si>
    <t>2. politikas mērķis "Zaļāka Eiropa"</t>
  </si>
  <si>
    <t xml:space="preserve">2.1.1.1._1 Energoefektivitātes paaugstināšana </t>
  </si>
  <si>
    <t xml:space="preserve">2.1.1.1._2 Dzīvojamo ēku energoefektivitāte </t>
  </si>
  <si>
    <t>2.1.1.2._1 AER un energoefektivitāte rūpniecībā un komersantos</t>
  </si>
  <si>
    <t xml:space="preserve">2.1.1.3._1 AER un energoefektivitāte siltumapgādē </t>
  </si>
  <si>
    <t xml:space="preserve">2.1.1.3._2 AER un energoefektivitāte siltumapgādē </t>
  </si>
  <si>
    <t xml:space="preserve">2.1.1.4._1 Valsts ēku energoefektivitāte </t>
  </si>
  <si>
    <t xml:space="preserve">2.1.1.5._1 Kilmatneitralitāte profesionālās izglītības iestādēs un koledžās </t>
  </si>
  <si>
    <t xml:space="preserve">2.1.1.6._1 Pašvaldību ēku energoefektivitāte </t>
  </si>
  <si>
    <t xml:space="preserve">2.1.1.6._2 Pašvaldību ēku energoefektivitāte </t>
  </si>
  <si>
    <t xml:space="preserve">2.1.1.6._3 Pašvaldību ēku energoefektivitāte </t>
  </si>
  <si>
    <t>2.1.1.7._1 Valsts iestāžu  infrastruktūras optimizācija</t>
  </si>
  <si>
    <t xml:space="preserve">2.1.1.8._1 Kultūras infrastruktūras energoefektivitāte </t>
  </si>
  <si>
    <t>2.1.2.0._1 _</t>
  </si>
  <si>
    <t>2.1.3.1._1 Pašvaldību pielāgošanās klimata pārmaiņām</t>
  </si>
  <si>
    <t>2.1.3.1._2 Pašvaldību pielāgošanās klimata pārmaiņām</t>
  </si>
  <si>
    <t xml:space="preserve">2.1.3.2._1 Plūdu risku samazināšana </t>
  </si>
  <si>
    <t xml:space="preserve">2.1.3.2._2 Plūdu risku samazināšana </t>
  </si>
  <si>
    <t>2.1.3.3._1 Katastrofu risku mazināšanas pasākumi</t>
  </si>
  <si>
    <t>2.1.3.3._2 Katastrofu risku mazināšanas pasākumi</t>
  </si>
  <si>
    <t>2.1.3.3._3 Katastrofu risku mazināšanas pasākumi</t>
  </si>
  <si>
    <t xml:space="preserve">2.2.1.1._1 Notekūdeņu apsaimniekošana </t>
  </si>
  <si>
    <t xml:space="preserve">2.2.1.1._2 Notekūdeņu apsaimniekošana </t>
  </si>
  <si>
    <t xml:space="preserve">2.2.1.1._3 Ūdenssaimniecība </t>
  </si>
  <si>
    <t xml:space="preserve">2.2.1.1._4 Ūdenssaimniecība </t>
  </si>
  <si>
    <t>2.2.2.1._1 Atkritumu šķirošana, pārstrāde un reģenerācija</t>
  </si>
  <si>
    <t>2.2.2.1._2 Atkritumu šķirošana, pārstrāde un reģenerācija</t>
  </si>
  <si>
    <t>2.2.2.1._3 Atkritumu šķirošana, pārstrāde un reģenerācija</t>
  </si>
  <si>
    <t>2.2.2.2._1 Atkritumu dalītā vākšana</t>
  </si>
  <si>
    <t>2.2.2.2._2 Atkritumu dalītā vākšana</t>
  </si>
  <si>
    <t>2.2.3.2._1 Vides izglītības veicināšana</t>
  </si>
  <si>
    <t>2.2.3.3._1 Bioloģiskās daudzveidības veicināšana un saglabāšana</t>
  </si>
  <si>
    <t>2.2.3.3._2 Bioloģiskās daudzveidības veicināšana un saglabāšana</t>
  </si>
  <si>
    <t>2.2.3.3._3 Bioloģiskās daudzveidības veicināšana un saglabāšana</t>
  </si>
  <si>
    <t>2.2.3.3._4 Bioloģiskās daudzveidības veicināšana un saglabāšana</t>
  </si>
  <si>
    <t xml:space="preserve">2.2.3.4._1 Vides monitorings </t>
  </si>
  <si>
    <t xml:space="preserve">2.2.3.5._1 Gaisa piesārņojuma samazināšana </t>
  </si>
  <si>
    <t xml:space="preserve">2.2.3.5._2 Gaisa piesārņojuma samazināšana </t>
  </si>
  <si>
    <t>2.2.3.6._1 Gaisa piesārņojumu mazinoši pasākumi mājsaimniecībās</t>
  </si>
  <si>
    <t>2.2.3.6._2 Gaisa piesārņojumu mazinoši pasākumi mājsaimniecībās</t>
  </si>
  <si>
    <t>2.2.3.6._3 Gaisa piesārņojumu mazinoši pasākumi mājsaimniecībās</t>
  </si>
  <si>
    <t>2.2.3.6._4 Gaisa piesārņojumu mazinoši pasākumi mājsaimniecībās</t>
  </si>
  <si>
    <t>2.2.3.6._5 Gaisa piesārņojumu mazinoši pasākumi mājsaimniecībās</t>
  </si>
  <si>
    <t>2.2.3.7._1 Filtru nomaiņa enerģētikas uzņēmumos</t>
  </si>
  <si>
    <t xml:space="preserve">2.3.1.2._1 Multimodāls sabiedriskā transporta tīkls </t>
  </si>
  <si>
    <t xml:space="preserve">2.3.1.2._2 Multimodāls sabiedriskā transporta tīkls </t>
  </si>
  <si>
    <t xml:space="preserve">2.3.1.2._3 Multimodāls sabiedriskā transporta tīkls </t>
  </si>
  <si>
    <t>2.3.1.3._1 Veloinfrastruktūras attīstība</t>
  </si>
  <si>
    <t>2.3.1.4._1 Transporta digitālie risinājumi</t>
  </si>
  <si>
    <t>2.4.1.2._1 Bezemisiju vilcienu iegāde - elektrovilcieni</t>
  </si>
  <si>
    <t>2.4.1.2._2 Elektrotransportlīdzekļi un infrastruktūra</t>
  </si>
  <si>
    <t>2.4.1.3._1 Bezemisiju (bateriju) vilcieni</t>
  </si>
  <si>
    <t>2.5.1.0._1 Atbalsts STEP</t>
  </si>
  <si>
    <t>2.6.1.1._1 AER- biometāns</t>
  </si>
  <si>
    <t>2.6.1.2. _1 Enerģētiskā neatkarība</t>
  </si>
  <si>
    <t>3. politikas mērķis "Savienotāka Eiropa"</t>
  </si>
  <si>
    <t>3.1.1.1._1 TEN-T infrastruktūras attīstība</t>
  </si>
  <si>
    <t>3.1.1.2._1 Valsts galveno autoceļu attīstība</t>
  </si>
  <si>
    <t>3.1.1.3._1 Dzelzceļa pasažieru infrastruktūras attīstība</t>
  </si>
  <si>
    <t>3.1.1.4._1 Rīgas transporta infrastruktūras attīstība</t>
  </si>
  <si>
    <t>3.1.1.5._1 Nacionālās nozīmes centru ielu infrastruktūras attīstība</t>
  </si>
  <si>
    <t>3.1.1.6._1 Lielo ostu infrastruktūras attīstība</t>
  </si>
  <si>
    <t>3.1.1.8._1 Robežšķērsošanas punktu attīstība</t>
  </si>
  <si>
    <t>3.2.1.1._1 Duālas izmantojamības infrastruktūra un kiberdrošība</t>
  </si>
  <si>
    <t>3.2.1.2._1 Duālas izmantojamības infrastruktūra un kiberdrošība</t>
  </si>
  <si>
    <t>3.2.1.3._1 Duālas izmantojamības infrastruktūra un kiberdrošība</t>
  </si>
  <si>
    <t>3.2.1.4._1  Divējāda lietojuma infrastruktūra</t>
  </si>
  <si>
    <t>3.2.1.5._1 Katastrofu pārvaldības centru būvniecība</t>
  </si>
  <si>
    <t>3.3.1.1._1 Militārās mobilitātes infrastruktūra</t>
  </si>
  <si>
    <t>3.3.1.2._1 Militārās mobilitātes infrastruktūra</t>
  </si>
  <si>
    <t>4. politikas mērķis "Sociālāka Eiropa"</t>
  </si>
  <si>
    <t>4.1.1.1._1 Ārstniecības iestāžu infrastruktūras attīstība</t>
  </si>
  <si>
    <t>4.1.1.1._2 Ārstniecības iestāžu infrastruktūras attīstība</t>
  </si>
  <si>
    <t>4.1.1.1._3 Ārstniecības iestāžu infrastruktūras attīstība</t>
  </si>
  <si>
    <t>4.1.1.1._4 Ārstniecības iestāžu infrastruktūras attīstība</t>
  </si>
  <si>
    <t>4.1.1.1._5 Ārstniecības iestāžu infrastruktūras attīstība</t>
  </si>
  <si>
    <t>4.1.1.3._1 Primārās veselības aprūpes infrastruktūras attīstība</t>
  </si>
  <si>
    <t>4.1.1.3._2 Primārās veselības aprūpes infrastruktūras attīstība</t>
  </si>
  <si>
    <t>4.1.1.4._1 Veselības nozares digitalizācija</t>
  </si>
  <si>
    <t>4.1.1.4._2 Vienlīdzīga piekļuve veselības aprūpei</t>
  </si>
  <si>
    <t>4.1.1.5._1 Neatliekamās medicīniskās palīdzības dienesta attīstība</t>
  </si>
  <si>
    <t>4.1.2.1._1 Nacionāla mēroga veselības veicināšana un slimību profilakse</t>
  </si>
  <si>
    <t>4.1.2.2._1 Veselības veicināšana un slimību profilakse pašvaldībās</t>
  </si>
  <si>
    <t>4.1.2.3._1 Procesu atkarībām profilakse un resocializācija</t>
  </si>
  <si>
    <t>4.1.2.4._1 Narkotiku lietošanas profilakse</t>
  </si>
  <si>
    <t xml:space="preserve">4.1.2.5._1 Ārstniecības personu piesaiste </t>
  </si>
  <si>
    <t>4.1.2.6._1 Ārstniecības personu tālākizglītība</t>
  </si>
  <si>
    <t>4.1.2.7._1 Pilnveidot pacientu drošību un aprūpes kvalitāti</t>
  </si>
  <si>
    <t>4.1.2.8._1 NVO iesaiste veselības veicināšanā un slimību profilaksē</t>
  </si>
  <si>
    <t>4.2.1.1._1 Pedagoģiski psiholoģiskā atbalsta dienests</t>
  </si>
  <si>
    <t>4.2.1.2._1 Tehnisko palīglīdzekļu apmaiņas sistēma</t>
  </si>
  <si>
    <t>4.2.1.3._1 Speciālā izglītība</t>
  </si>
  <si>
    <t>4.2.1.5._1 Izglītības iestāžu mācību līdzekļi un aprīkojums</t>
  </si>
  <si>
    <t>4.2.1.5._2 Izglītības iestāžu mācību līdzekļi un aprīkojums</t>
  </si>
  <si>
    <t>4.2.1.5._3 Izglītības iestāžu mācību līdzekļi un aprīkojums</t>
  </si>
  <si>
    <t>4.2.1.6._1 Profesionālās izglītības iestāžu infrastruktūra</t>
  </si>
  <si>
    <t>4.2.1.6._2 Profesionālās izglītības iestāžu infrastruktūra</t>
  </si>
  <si>
    <t>4.2.1.6._3 Profesionālās izglītības iestāžu infrastruktūra</t>
  </si>
  <si>
    <t>4.2.1.6._4 Profesionālās izglītības iestāžu infrastruktūra</t>
  </si>
  <si>
    <t>4.2.1.7._1 Pirmsskolas izglītības iestāžu infrastruktūra</t>
  </si>
  <si>
    <t>4.2.1.8._1 Augstskolu infrastruktūra</t>
  </si>
  <si>
    <t>4.2.1.8._2 Augstskolu infrastruktūra</t>
  </si>
  <si>
    <t>4.2.1.8._3 Augstskolu infrastruktūra</t>
  </si>
  <si>
    <t>4.2.2.1._1 Izglītības iestāžu mācību procesa dažādošana</t>
  </si>
  <si>
    <t>4.2.2.3._1 Pedagoga profesijas attīstība</t>
  </si>
  <si>
    <t>4.2.2.4._1 Atbalsts izglītības kvalitātes attīstībai</t>
  </si>
  <si>
    <t>4.2.2.5._1 Starptautiskie izglītības pētījumi</t>
  </si>
  <si>
    <t>4.2.2.6._1 Pāreja uz ciklisku institucionālo akreditāciju</t>
  </si>
  <si>
    <t>4.2.2.7._1 Indukcijas gada ieviešana</t>
  </si>
  <si>
    <t>4.2.2.8._1 Latviešu valodas kā svešvalodas izglītības satura izstrāde</t>
  </si>
  <si>
    <t>4.2.2.9._1 Atbalsts profesionālai izglītībai</t>
  </si>
  <si>
    <t>4.2.2.9._2 Atbalsts profesionālai izglītībai</t>
  </si>
  <si>
    <t>4.2.2.11._1 Studiju procesa digitalizācija</t>
  </si>
  <si>
    <t>4.2.2.11._2 Studiju procesa digitalizācija</t>
  </si>
  <si>
    <t xml:space="preserve">4.2.3.1._1 Sadarbības programma "Skola-kopiena" </t>
  </si>
  <si>
    <t>4.2.3.3._1 Kultūras pakalpojumu pieejamība</t>
  </si>
  <si>
    <t>4.2.3.4._1 Atbalsts NEET jauniešiem</t>
  </si>
  <si>
    <t>4.2.4.1._1 Nozaru vajadzībās balstīta mūžizglītība</t>
  </si>
  <si>
    <t>4.2.4.1._2 Nozaru vajadzībās balstīta mūžizglītība</t>
  </si>
  <si>
    <t>4.2.4.2._1 Individuālajās vajadzībās balstīta mūžizglītība</t>
  </si>
  <si>
    <t>4.2.4.3._1 Digitālo prasmju pilnveide</t>
  </si>
  <si>
    <t>4.3.1.2._1 Ģimeniskai videi pietuvināti pakalpojumi</t>
  </si>
  <si>
    <t>4.3.1.3._1 Sociālo mājokļu būvniecība vai atjaunošana</t>
  </si>
  <si>
    <t>4.3.1.3._2 Sociālo mājokļu būvniecība vai atjaunošana</t>
  </si>
  <si>
    <t>4.3.1.5._1 DI infrastruktūras attīstība</t>
  </si>
  <si>
    <t xml:space="preserve">4.3.2.0._1 Kultūras pakalpojumu pieejamība </t>
  </si>
  <si>
    <t>4.3.3.1._1 Bezdarbnieku apmācības</t>
  </si>
  <si>
    <t>4.3.3.2._1 Subsidētās darba vietas</t>
  </si>
  <si>
    <t>4.3.3.3._1 Sociālā uzņēmējdarbība un sociālā ekonomika</t>
  </si>
  <si>
    <t>4.3.3.4._1 EURES tīkls</t>
  </si>
  <si>
    <t>4.3.3.5._1 Ilgāks darba mūžs</t>
  </si>
  <si>
    <t>4.3.3.6._1 NVA kapacitāte</t>
  </si>
  <si>
    <t>4.3.3.7._1 VDI kapacitāte</t>
  </si>
  <si>
    <t>4.3.4.1._1 Vienlīdzīgas iespējas</t>
  </si>
  <si>
    <t>4.3.4.2._1 Atbalsta pasākumi diskriminācijas riskam</t>
  </si>
  <si>
    <t>4.3.4.2._2 Atbalsta pasākumi diskriminācijas riskam</t>
  </si>
  <si>
    <t>4.3.4.3._1 Ģimene un darba dzīve</t>
  </si>
  <si>
    <t>4.3.4.4._1 Sociālais dialogs</t>
  </si>
  <si>
    <t>4.3.4.5._1 Atbalsts NVO izaugsmei</t>
  </si>
  <si>
    <t>4.3.4.6._1 Probācijas klientu resocializācija</t>
  </si>
  <si>
    <t>4.3.4.7._1 Ieslodzīto resocializācija</t>
  </si>
  <si>
    <t>4.3.4.8._1 Vienas pieturas aģentūras pakalpojumi jauniebraucējiem</t>
  </si>
  <si>
    <t>4.3.4.9._1 Pilsoniskā sabiedrība</t>
  </si>
  <si>
    <t>4.3.5.1._1 DI pakalpojumu pieejamība</t>
  </si>
  <si>
    <t>4.3.5.1._2 DI pakalpojumu pieejamība</t>
  </si>
  <si>
    <t>4.3.5.1._3 DI pakalpojumu pieejamība</t>
  </si>
  <si>
    <t>4.3.5.1._4 DI pakalpojumu pieejamība</t>
  </si>
  <si>
    <t>4.3.5.1._5 DI pakalpojumu pieejamība</t>
  </si>
  <si>
    <t>4.3.5.2._1 Paliatīvās aprūpes pakalpojuma pilnveide</t>
  </si>
  <si>
    <t>4.3.5.3._1 SPOLIS sistēmas pilnveide</t>
  </si>
  <si>
    <t>4.3.5.4._1 Sociālā darba attīstība</t>
  </si>
  <si>
    <t>4.3.5.5._1 Pieeja tiesiskumam</t>
  </si>
  <si>
    <t>4.3.6.1._1 Bērnu tiesību aizsardzības sistēmas pilnveide</t>
  </si>
  <si>
    <t>4.3.6.2._1 Atbalsta pasākumi VDEĀVK klientu apkalpošanas uzlabošanai</t>
  </si>
  <si>
    <t>4.3.6.3._1 Atbalsts bērniem ar smagu diagnozi/ invaliditāti un viņu ģimenēm</t>
  </si>
  <si>
    <t>4.3.6.4._1 Atbalsta sistēmas no vardarbības ģimenē cietušām personām pilnveide (LM)</t>
  </si>
  <si>
    <t>4.3.6.4._2 Inovatīvi pakalpojumi no vardarbības cietušām personām (NVO)</t>
  </si>
  <si>
    <t>4.3.6.5._1 Atbalsta pasākumi ģimenēm ar bērniem labklājības veicināšanai</t>
  </si>
  <si>
    <t>4.3.6.6._1 Bērnu pieskatīšanas pakalpojumi</t>
  </si>
  <si>
    <t>4.3.6.7._1 Atbalsta sistēmas izveide bērnu veselīgais attīstībai</t>
  </si>
  <si>
    <t>4.3.6.7._2 Atbalsta sistēmas izveide bērnu veselīgais attīstībai</t>
  </si>
  <si>
    <t>4.3.6.8._1 IKT sistēmu modernizācija bērnu tiesību aizsardzības nodrošināšanai</t>
  </si>
  <si>
    <t>4.3.6.9._1 Ģimenei draudzīgas vides veicināšana</t>
  </si>
  <si>
    <t>4.3.6.9._2 Ģimenei draudzīgas vides veicināšana</t>
  </si>
  <si>
    <t>4.3.6.10._1 Inovāciju laboratorija bērnu un ģimeņu pakalpojumiem</t>
  </si>
  <si>
    <t>4.4.1.1._1 Sociālo pakalpojumu inovācijas</t>
  </si>
  <si>
    <t>5. politikas mērķis "Iedzīvotājiem tuvāka Eiropa"</t>
  </si>
  <si>
    <t>5.1.1.1._1 Atbalsts uzņēmējdarbības infrastuktūrai</t>
  </si>
  <si>
    <t>5.1.1.1._2 Atbalsts uzņēmējdarbības infrastuktūrai</t>
  </si>
  <si>
    <t>5.1.1.1._3 Atbalsts uzņēmējdarbības infrastuktūrai</t>
  </si>
  <si>
    <t>5.1.1.2._1 Pašvaldību un plānošanas reģionu kapacitātes uzlabošana</t>
  </si>
  <si>
    <t>5.1.1.3._1 Publiskās ārtelpas attīstība</t>
  </si>
  <si>
    <t>5.1.1.4._1 Viedās pašvaldības</t>
  </si>
  <si>
    <t>5.1.1.5._1 Kultūras  mantojuma  atjaunošana</t>
  </si>
  <si>
    <t>5.1.1.5._2 Kultūras  mantojuma  atjaunošana</t>
  </si>
  <si>
    <t>5.1.1.6._1 Kultūras mantojuma saglabāšana un jaunu pakalpojumu attīstība</t>
  </si>
  <si>
    <t>5.1.1.7._1 Reģionālās kultūras infrastruktūras attīstība/ pieejamība</t>
  </si>
  <si>
    <t>5.2.1.1._1 Patvertnes</t>
  </si>
  <si>
    <t>6. politikas mērķis "Taisnīgās pārkārtošanās fonda investīcijas"</t>
  </si>
  <si>
    <t>6.1.1.1._1 Atteikšanās no kūdras izmantošanas enerģētikā</t>
  </si>
  <si>
    <t>6.1.1.1._2 Atteikšanās no kūdras izmantošanas enerģētikā</t>
  </si>
  <si>
    <t>6.1.1.1._3 Atteikšanās no kūdras izmantošanas enerģētikā</t>
  </si>
  <si>
    <t>6.1.1.1._4 Atteikšanās no kūdras izmantošanas enerģētikā</t>
  </si>
  <si>
    <t>6.1.1.1._5 Atteikšanās no kūdras izmantošanas enerģētikā</t>
  </si>
  <si>
    <t>6.1.1.2._1 Pētniecības attīstība dabas resursu ilgtspējīgai izmantošanai</t>
  </si>
  <si>
    <t>6.1.1.3._1 Uzņēmējdarbības publiskās infrastruktūras attīstība pārejā uz klimatneitralitāti</t>
  </si>
  <si>
    <t>6.1.1.3._2 Uzņēmējdarbības publiskās infrastruktūras attīstība pārejā uz klimatneitralitāti</t>
  </si>
  <si>
    <t>6.1.1.4._1 Energoefektivitāte un produktu attīstība uzņēmumos</t>
  </si>
  <si>
    <t>6.1.1.5._1 Prasmju attīstības (TPF)</t>
  </si>
  <si>
    <t xml:space="preserve">6.1.1.6._1  Bezemisiju mobilitātes  veicināšana pašvaldībās </t>
  </si>
  <si>
    <t>6.1.1.7._1 Purvu ekosistēmu atjaunošana</t>
  </si>
  <si>
    <t>6.1.1.8._1 Pašvaldību un plānošanas reģionu speciālistu prasmju paaugstināšana</t>
  </si>
  <si>
    <t xml:space="preserve">7. politikas mērķis Kapacitātes stiprināšanas pasākumi </t>
  </si>
  <si>
    <t>7.1.1.0._1 _</t>
  </si>
  <si>
    <t>7.1.2.0._1 _</t>
  </si>
  <si>
    <t>Kopā: 4 374,4</t>
  </si>
  <si>
    <t>1. "Viedāka Eiropa"</t>
  </si>
  <si>
    <t>2. "Zaļāka Eiropa"</t>
  </si>
  <si>
    <t>3. "Savienotāka Eiropa"</t>
  </si>
  <si>
    <t>4. "Sociālāka Eiropa"</t>
  </si>
  <si>
    <t>5. "Iedzīvotājiem tuvāka Eiropa"</t>
  </si>
  <si>
    <t>6. "Taisnīgās pārkārtošanās fonda investīcijas"</t>
  </si>
  <si>
    <t xml:space="preserve">7. &amp; TP Kapacitātes stiprināšanas pasākumi </t>
  </si>
  <si>
    <t xml:space="preserve">TP Kapacitātes stiprināšanas pasākumi </t>
  </si>
  <si>
    <t>Noslēgti līgumi 3 582,6  (+322,9)</t>
  </si>
  <si>
    <t>Maksājumi finansējuma saņēmējiem 
1 031,8  (+65,2 )</t>
  </si>
  <si>
    <t>No EK saņemti maksājumi 1 465,9</t>
  </si>
  <si>
    <t>ERAF 2 666,4; 61 %</t>
  </si>
  <si>
    <t>KF 864,5; 20 %</t>
  </si>
  <si>
    <t>ESF+ 651,9; 15 %</t>
  </si>
  <si>
    <t>TPF 191,6; 4 %</t>
  </si>
  <si>
    <t>2021.-2027. gada plānošanas perioda ES fondu ieviešanas statuss līdz 31.07.2026. Grafikā dati miljonos eiro un procenti no Eiropas fondu finansējuma aploksnes.</t>
  </si>
  <si>
    <t>2021.-2027. gada plānošanas perioda ES fondu ieviešanas statuss līdz 31.07.2026. Grafikā dati miljonos eiro (procenti no Eiropas fondu un valsts budžeta, kas pārsniedz pasākuma ES fondu finansējumu).</t>
  </si>
  <si>
    <t>2021.-2027. gada plānošanas perioda ES fondu ieviešanas statuss (euro) līdz 31.07.2026</t>
  </si>
  <si>
    <t>2021.-2027. gada plānošanas perioda ES fondu ieviešanas statuss (euro) līdz 31.07.2026 (politiskajos mērķos)</t>
  </si>
  <si>
    <t>2021.-2027. gada plānošanas perioda ES fondu ieviešanas statuss grafiski līdz 31.07.2026 politiskajos mērķos un fondos. Grafikā dati miljonos eiro un procenti no Eiropas fondu finansējuma.</t>
  </si>
  <si>
    <t>2021.-2027. gada plānošanas perioda ES fondu ieviešanas statuss (euro) līdz 31.07.2026 (Atbildīgajās iestādēs)</t>
  </si>
  <si>
    <t>2021.-2027. gada plānošanas perioda ES fondu ieviešanas statuss līdz 31.07.2026 atbildīgajās iestādēs dati miljoni eiro un procenti no Eiropas fondu finansējuma.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</si>
</sst>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70" formatCode="#,##0.0"/>
    <numFmt numFmtId="171" formatCode="_-* #,##0_-;\-* #,##0_-;_-* &quot;-&quot;??_-;_-@_-"/>
  </numFmts>
  <fonts count="47" x14ac:knownFonts="1">
    <font>
      <sz val="11"/>
      <color theme="1"/>
      <name val="Calibri"/>
      <family val="2"/>
      <scheme val="minor"/>
    </font>
    <font>
      <b/>
      <sz val="14"/>
      <color theme="1"/>
      <name val="Times New Roman"/>
      <family val="1"/>
      <charset val="186"/>
    </font>
    <font>
      <sz val="14"/>
      <color theme="1"/>
      <name val="Times New Roman"/>
      <family val="1"/>
      <charset val="186"/>
    </font>
    <font>
      <b/>
      <sz val="20"/>
      <color theme="1"/>
      <name val="Times New Roman"/>
      <family val="1"/>
      <charset val="186"/>
    </font>
    <font>
      <b/>
      <sz val="13"/>
      <name val="Times New Roman"/>
      <family val="1"/>
      <charset val="204"/>
    </font>
    <font>
      <sz val="14"/>
      <color theme="0" tint="-0.14999847407452621"/>
      <name val="Times New Roman"/>
      <family val="1"/>
      <charset val="186"/>
    </font>
    <font>
      <sz val="11"/>
      <color theme="1"/>
      <name val="Calibri"/>
      <family val="2"/>
      <scheme val="minor"/>
    </font>
    <font>
      <sz val="14"/>
      <name val="Times New Roman"/>
      <family val="1"/>
      <charset val="186"/>
    </font>
    <font>
      <sz val="8"/>
      <name val="Calibri"/>
      <family val="2"/>
      <scheme val="minor"/>
    </font>
    <font>
      <sz val="14"/>
      <color theme="1"/>
      <name val="Times New Roman"/>
      <family val="1"/>
    </font>
    <font>
      <strike/>
      <sz val="14"/>
      <color theme="1"/>
      <name val="Times New Roman"/>
      <family val="1"/>
    </font>
    <font>
      <b/>
      <sz val="12"/>
      <color theme="1"/>
      <name val="Times New Roman"/>
      <family val="1"/>
      <charset val="186"/>
    </font>
    <font>
      <b/>
      <sz val="11"/>
      <color theme="1"/>
      <name val="Times New Roman"/>
      <family val="1"/>
      <charset val="186"/>
    </font>
    <font>
      <sz val="14"/>
      <color rgb="FFFF0000"/>
      <name val="Times New Roman"/>
      <family val="1"/>
      <charset val="186"/>
    </font>
    <font>
      <i/>
      <sz val="11"/>
      <color theme="1"/>
      <name val="Times New Roman"/>
      <family val="1"/>
      <charset val="186"/>
    </font>
    <font>
      <sz val="16"/>
      <color theme="1"/>
      <name val="Times New Roman"/>
      <family val="1"/>
      <charset val="186"/>
    </font>
    <font>
      <b/>
      <sz val="14"/>
      <name val="Times New Roman"/>
      <family val="1"/>
      <charset val="186"/>
    </font>
    <font>
      <b/>
      <sz val="14"/>
      <name val="Times New Roman"/>
      <family val="1"/>
      <charset val="204"/>
    </font>
    <font>
      <b/>
      <sz val="16"/>
      <color theme="8" tint="-0.499984740745262"/>
      <name val="Times New Roman"/>
      <family val="1"/>
      <charset val="186"/>
    </font>
    <font>
      <b/>
      <sz val="16"/>
      <color theme="1"/>
      <name val="Times New Roman"/>
      <family val="1"/>
      <charset val="186"/>
    </font>
    <font>
      <b/>
      <i/>
      <sz val="12"/>
      <color theme="1" tint="0.34998626667073579"/>
      <name val="Times New Roman"/>
      <family val="1"/>
      <charset val="186"/>
    </font>
    <font>
      <sz val="10"/>
      <name val="Times New Roman"/>
      <family val="1"/>
    </font>
    <font>
      <u/>
      <sz val="11"/>
      <color theme="10"/>
      <name val="Calibri"/>
      <family val="2"/>
      <scheme val="minor"/>
    </font>
    <font>
      <i/>
      <u/>
      <sz val="8"/>
      <color theme="10"/>
      <name val="Times New Roman"/>
      <family val="1"/>
      <charset val="186"/>
    </font>
    <font>
      <b/>
      <sz val="10"/>
      <name val="Times New Roman"/>
      <family val="1"/>
      <charset val="186"/>
    </font>
    <font>
      <b/>
      <sz val="12"/>
      <color theme="3"/>
      <name val="Times New Roman"/>
      <family val="1"/>
    </font>
    <font>
      <sz val="10"/>
      <color rgb="FF000000"/>
      <name val="Arial"/>
      <family val="2"/>
      <charset val="186"/>
    </font>
    <font>
      <sz val="11"/>
      <color theme="0" tint="-0.14999847407452621"/>
      <name val="Calibri"/>
      <family val="2"/>
      <scheme val="minor"/>
    </font>
    <font>
      <sz val="11"/>
      <color theme="0" tint="-0.34998626667073579"/>
      <name val="Calibri"/>
      <family val="2"/>
      <scheme val="minor"/>
    </font>
    <font>
      <sz val="11"/>
      <name val="Calibri"/>
      <family val="2"/>
      <scheme val="minor"/>
    </font>
    <font>
      <sz val="11"/>
      <color theme="0" tint="-0.499984740745262"/>
      <name val="Calibri"/>
      <family val="2"/>
      <scheme val="minor"/>
    </font>
    <font>
      <b/>
      <sz val="20"/>
      <color theme="0" tint="-0.499984740745262"/>
      <name val="Times New Roman"/>
      <family val="1"/>
      <charset val="186"/>
    </font>
    <font>
      <b/>
      <sz val="14"/>
      <color theme="0" tint="-0.499984740745262"/>
      <name val="Times New Roman"/>
      <family val="1"/>
      <charset val="186"/>
    </font>
    <font>
      <b/>
      <sz val="13"/>
      <color theme="0" tint="-0.499984740745262"/>
      <name val="Times New Roman"/>
      <family val="1"/>
      <charset val="204"/>
    </font>
    <font>
      <b/>
      <sz val="14"/>
      <color theme="0" tint="-0.499984740745262"/>
      <name val="Times New Roman"/>
      <family val="1"/>
      <charset val="204"/>
    </font>
    <font>
      <b/>
      <sz val="16"/>
      <color theme="0" tint="-0.499984740745262"/>
      <name val="Times New Roman"/>
      <family val="1"/>
      <charset val="186"/>
    </font>
    <font>
      <sz val="16"/>
      <color theme="0" tint="-0.499984740745262"/>
      <name val="Times New Roman"/>
      <family val="1"/>
      <charset val="186"/>
    </font>
    <font>
      <sz val="11"/>
      <color theme="1"/>
      <name val="Verdana"/>
      <family val="2"/>
      <charset val="186"/>
    </font>
    <font>
      <sz val="12"/>
      <color rgb="FF000000"/>
      <name val="Verdana"/>
      <family val="2"/>
      <charset val="186"/>
    </font>
    <font>
      <sz val="12"/>
      <color theme="1"/>
      <name val="Verdana"/>
      <family val="2"/>
      <charset val="186"/>
    </font>
    <font>
      <sz val="12"/>
      <color theme="1"/>
      <name val="Calibri"/>
      <family val="2"/>
      <scheme val="minor"/>
    </font>
    <font>
      <sz val="14"/>
      <color theme="1"/>
      <name val="Verdana"/>
      <family val="2"/>
      <charset val="186"/>
    </font>
    <font>
      <b/>
      <sz val="12"/>
      <color theme="1"/>
      <name val="Verdana"/>
      <family val="2"/>
      <charset val="186"/>
    </font>
    <font>
      <sz val="11"/>
      <color theme="1" tint="0.499984740745262"/>
      <name val="Calibri"/>
      <family val="2"/>
      <scheme val="minor"/>
    </font>
    <font>
      <b/>
      <sz val="18"/>
      <color theme="1"/>
      <name val="Times New Roman"/>
      <family val="1"/>
      <charset val="186"/>
    </font>
    <font>
      <sz val="18"/>
      <color theme="1"/>
      <name val="Times New Roman"/>
      <family val="1"/>
      <charset val="186"/>
    </font>
    <font>
      <sz val="11"/>
      <color theme="1" tint="0.499984740745262"/>
      <name val="Verdana"/>
      <family val="2"/>
      <charset val="186"/>
    </font>
  </fonts>
  <fills count="1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8" tint="-0.249977111117893"/>
        <bgColor indexed="64"/>
      </patternFill>
    </fill>
    <fill>
      <patternFill patternType="lightUp">
        <fgColor rgb="FF000000"/>
        <bgColor rgb="FFC0C0C0"/>
      </patternFill>
    </fill>
    <fill>
      <patternFill patternType="solid">
        <fgColor rgb="FFC0C0C0"/>
        <bgColor rgb="FF000000"/>
      </patternFill>
    </fill>
    <fill>
      <patternFill patternType="solid">
        <fgColor rgb="FFCCFFFF"/>
        <bgColor rgb="FF000000"/>
      </patternFill>
    </fill>
    <fill>
      <patternFill patternType="solid">
        <fgColor rgb="FFFFFF00"/>
        <bgColor rgb="FF000000"/>
      </patternFill>
    </fill>
    <fill>
      <patternFill patternType="solid">
        <fgColor theme="0" tint="-0.499984740745262"/>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medium">
        <color indexed="64"/>
      </right>
      <top/>
      <bottom/>
      <diagonal/>
    </border>
    <border>
      <left/>
      <right/>
      <top/>
      <bottom style="medium">
        <color indexed="64"/>
      </bottom>
      <diagonal/>
    </border>
  </borders>
  <cellStyleXfs count="5">
    <xf numFmtId="0" fontId="0" fillId="0" borderId="0"/>
    <xf numFmtId="9" fontId="6" fillId="0" borderId="0" applyFont="0" applyFill="0" applyBorder="0" applyAlignment="0" applyProtection="0"/>
    <xf numFmtId="43" fontId="6" fillId="0" borderId="0" applyFont="0" applyFill="0" applyBorder="0" applyAlignment="0" applyProtection="0"/>
    <xf numFmtId="0" fontId="26" fillId="0" borderId="0"/>
    <xf numFmtId="0" fontId="22" fillId="0" borderId="0" applyNumberFormat="0" applyFill="0" applyBorder="0" applyAlignment="0" applyProtection="0"/>
  </cellStyleXfs>
  <cellXfs count="238">
    <xf numFmtId="0" fontId="0" fillId="0" borderId="0" xfId="0"/>
    <xf numFmtId="4" fontId="24" fillId="0" borderId="10" xfId="0" applyNumberFormat="1" applyFont="1" applyBorder="1" applyAlignment="1">
      <alignment horizontal="center"/>
    </xf>
    <xf numFmtId="0" fontId="23" fillId="0" borderId="0" xfId="4" applyFont="1" applyBorder="1" applyAlignment="1">
      <alignment vertical="center"/>
    </xf>
    <xf numFmtId="0" fontId="22" fillId="0" borderId="0" xfId="4"/>
    <xf numFmtId="0" fontId="21" fillId="0" borderId="0" xfId="0" applyFont="1" applyAlignment="1">
      <alignment horizontal="center"/>
    </xf>
    <xf numFmtId="0" fontId="21" fillId="12" borderId="10" xfId="0" applyFont="1" applyFill="1" applyBorder="1" applyAlignment="1">
      <alignment horizontal="center"/>
    </xf>
    <xf numFmtId="0" fontId="21" fillId="0" borderId="0" xfId="0" applyFont="1"/>
    <xf numFmtId="0" fontId="2" fillId="0" borderId="0" xfId="0" applyFont="1"/>
    <xf numFmtId="0" fontId="3" fillId="0" borderId="0" xfId="0" applyFont="1"/>
    <xf numFmtId="49" fontId="2" fillId="0" borderId="0" xfId="0" applyNumberFormat="1" applyFont="1"/>
    <xf numFmtId="0" fontId="1" fillId="0" borderId="0" xfId="0" applyFont="1"/>
    <xf numFmtId="3" fontId="2" fillId="0" borderId="0" xfId="0" applyNumberFormat="1" applyFont="1"/>
    <xf numFmtId="0" fontId="3" fillId="0" borderId="0" xfId="0" applyFont="1" applyAlignment="1">
      <alignment vertical="center"/>
    </xf>
    <xf numFmtId="3" fontId="5" fillId="0" borderId="0" xfId="0" applyNumberFormat="1" applyFont="1"/>
    <xf numFmtId="0" fontId="7" fillId="0" borderId="0" xfId="0" applyFon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3" fontId="4" fillId="3" borderId="1" xfId="0" applyNumberFormat="1" applyFont="1" applyFill="1" applyBorder="1" applyAlignment="1">
      <alignment horizontal="center" vertical="center" wrapText="1"/>
    </xf>
    <xf numFmtId="0" fontId="1" fillId="4" borderId="1" xfId="0" applyFont="1" applyFill="1" applyBorder="1" applyAlignment="1">
      <alignment horizontal="left" vertical="center"/>
    </xf>
    <xf numFmtId="49" fontId="1" fillId="4" borderId="1" xfId="0" applyNumberFormat="1" applyFont="1" applyFill="1" applyBorder="1" applyAlignment="1">
      <alignment horizontal="center"/>
    </xf>
    <xf numFmtId="0" fontId="1" fillId="4" borderId="1" xfId="0" applyFont="1" applyFill="1" applyBorder="1" applyAlignment="1">
      <alignment horizontal="left"/>
    </xf>
    <xf numFmtId="3" fontId="1" fillId="4" borderId="1" xfId="0" applyNumberFormat="1" applyFont="1" applyFill="1" applyBorder="1" applyAlignment="1">
      <alignment horizontal="center" vertical="center"/>
    </xf>
    <xf numFmtId="164" fontId="3" fillId="0" borderId="0" xfId="0" applyNumberFormat="1" applyFont="1" applyAlignment="1">
      <alignment vertical="center"/>
    </xf>
    <xf numFmtId="164" fontId="5" fillId="0" borderId="0" xfId="0" applyNumberFormat="1" applyFont="1"/>
    <xf numFmtId="164" fontId="4" fillId="3" borderId="1" xfId="0" applyNumberFormat="1" applyFont="1" applyFill="1" applyBorder="1" applyAlignment="1">
      <alignment horizontal="center" vertical="center" wrapText="1"/>
    </xf>
    <xf numFmtId="164" fontId="1" fillId="4" borderId="1" xfId="1" applyNumberFormat="1" applyFont="1" applyFill="1" applyBorder="1" applyAlignment="1">
      <alignment horizontal="center" vertical="center"/>
    </xf>
    <xf numFmtId="164" fontId="2" fillId="0" borderId="0" xfId="0" applyNumberFormat="1" applyFont="1"/>
    <xf numFmtId="0" fontId="3" fillId="0" borderId="0" xfId="0" applyFont="1" applyAlignment="1">
      <alignment horizontal="center" vertical="center"/>
    </xf>
    <xf numFmtId="0" fontId="3" fillId="0" borderId="0" xfId="0" applyFont="1" applyAlignment="1">
      <alignment horizontal="center"/>
    </xf>
    <xf numFmtId="0" fontId="1" fillId="4" borderId="1" xfId="0" applyFont="1" applyFill="1" applyBorder="1" applyAlignment="1">
      <alignment horizontal="center" vertical="center"/>
    </xf>
    <xf numFmtId="0" fontId="1" fillId="4" borderId="1" xfId="0" applyFont="1" applyFill="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vertical="center"/>
    </xf>
    <xf numFmtId="49" fontId="1" fillId="3" borderId="1" xfId="0" applyNumberFormat="1" applyFont="1" applyFill="1" applyBorder="1" applyAlignment="1">
      <alignment horizontal="center" vertical="center"/>
    </xf>
    <xf numFmtId="0" fontId="9" fillId="0" borderId="1" xfId="0" applyFont="1" applyBorder="1"/>
    <xf numFmtId="49" fontId="9" fillId="0" borderId="1" xfId="0" applyNumberFormat="1" applyFont="1" applyBorder="1" applyAlignment="1">
      <alignment horizontal="center" vertical="center"/>
    </xf>
    <xf numFmtId="0" fontId="9" fillId="0" borderId="1" xfId="0" applyFont="1" applyBorder="1" applyAlignment="1">
      <alignment wrapText="1"/>
    </xf>
    <xf numFmtId="0" fontId="9" fillId="0" borderId="1" xfId="0" applyFont="1" applyBorder="1" applyAlignment="1">
      <alignment horizontal="center" wrapText="1"/>
    </xf>
    <xf numFmtId="0" fontId="9" fillId="0" borderId="1" xfId="0" applyFont="1" applyBorder="1" applyAlignment="1">
      <alignment horizontal="center"/>
    </xf>
    <xf numFmtId="2" fontId="9" fillId="0" borderId="1" xfId="0" applyNumberFormat="1" applyFont="1" applyBorder="1"/>
    <xf numFmtId="3" fontId="3" fillId="0" borderId="0" xfId="0" applyNumberFormat="1" applyFont="1" applyAlignment="1">
      <alignment vertical="center"/>
    </xf>
    <xf numFmtId="0" fontId="9" fillId="6" borderId="1" xfId="0" applyFont="1" applyFill="1" applyBorder="1" applyAlignment="1">
      <alignment wrapText="1"/>
    </xf>
    <xf numFmtId="164" fontId="12" fillId="0" borderId="0" xfId="0" applyNumberFormat="1" applyFont="1" applyAlignment="1">
      <alignment vertical="center"/>
    </xf>
    <xf numFmtId="3" fontId="13" fillId="0" borderId="0" xfId="0" applyNumberFormat="1" applyFont="1"/>
    <xf numFmtId="9" fontId="2" fillId="0" borderId="0" xfId="1" applyFont="1"/>
    <xf numFmtId="0" fontId="1" fillId="10" borderId="1" xfId="0" applyFont="1" applyFill="1" applyBorder="1" applyAlignment="1">
      <alignment horizontal="center" vertical="center"/>
    </xf>
    <xf numFmtId="0" fontId="1" fillId="10" borderId="1" xfId="0"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49" fontId="1" fillId="10" borderId="1" xfId="0" applyNumberFormat="1" applyFont="1" applyFill="1" applyBorder="1" applyAlignment="1">
      <alignment horizontal="center"/>
    </xf>
    <xf numFmtId="49" fontId="16" fillId="10" borderId="1" xfId="0" applyNumberFormat="1" applyFont="1" applyFill="1" applyBorder="1" applyAlignment="1">
      <alignment horizontal="center"/>
    </xf>
    <xf numFmtId="0" fontId="16" fillId="10" borderId="1" xfId="0" applyFont="1" applyFill="1" applyBorder="1" applyAlignment="1">
      <alignment horizontal="center" vertical="center" wrapText="1"/>
    </xf>
    <xf numFmtId="164" fontId="17" fillId="10" borderId="1"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 fillId="8" borderId="1" xfId="0" applyFont="1" applyFill="1" applyBorder="1"/>
    <xf numFmtId="0" fontId="18" fillId="8" borderId="1" xfId="0" applyFont="1" applyFill="1" applyBorder="1" applyAlignment="1">
      <alignment horizontal="left" vertical="center"/>
    </xf>
    <xf numFmtId="3" fontId="18" fillId="8" borderId="1" xfId="0" applyNumberFormat="1" applyFont="1" applyFill="1" applyBorder="1" applyAlignment="1">
      <alignment horizontal="center" vertical="center"/>
    </xf>
    <xf numFmtId="0" fontId="1" fillId="11" borderId="1" xfId="0" applyFont="1" applyFill="1" applyBorder="1"/>
    <xf numFmtId="0" fontId="1" fillId="11" borderId="1" xfId="0" applyFont="1" applyFill="1" applyBorder="1" applyAlignment="1">
      <alignment horizontal="left"/>
    </xf>
    <xf numFmtId="3" fontId="19" fillId="11" borderId="1" xfId="0" applyNumberFormat="1" applyFont="1" applyFill="1" applyBorder="1" applyAlignment="1">
      <alignment horizontal="center" vertical="center"/>
    </xf>
    <xf numFmtId="164" fontId="19" fillId="11" borderId="1" xfId="0" applyNumberFormat="1" applyFont="1" applyFill="1" applyBorder="1" applyAlignment="1">
      <alignment horizontal="center" vertical="center"/>
    </xf>
    <xf numFmtId="0" fontId="1" fillId="8" borderId="1" xfId="0" applyFont="1" applyFill="1" applyBorder="1" applyAlignment="1">
      <alignment horizontal="left"/>
    </xf>
    <xf numFmtId="3" fontId="19" fillId="8" borderId="1" xfId="0" applyNumberFormat="1" applyFont="1" applyFill="1" applyBorder="1" applyAlignment="1">
      <alignment horizontal="center" vertical="center"/>
    </xf>
    <xf numFmtId="0" fontId="16" fillId="8" borderId="1" xfId="0" applyFont="1" applyFill="1" applyBorder="1" applyAlignment="1">
      <alignment horizontal="left"/>
    </xf>
    <xf numFmtId="0" fontId="1" fillId="11" borderId="1" xfId="0" applyFont="1" applyFill="1" applyBorder="1" applyAlignment="1">
      <alignment horizontal="center"/>
    </xf>
    <xf numFmtId="0" fontId="2" fillId="8" borderId="1" xfId="0" applyFont="1" applyFill="1" applyBorder="1" applyAlignment="1">
      <alignment horizontal="left" vertical="center"/>
    </xf>
    <xf numFmtId="0" fontId="15" fillId="8" borderId="1" xfId="0" applyFont="1" applyFill="1" applyBorder="1" applyAlignment="1">
      <alignment horizontal="left" vertical="center" wrapText="1"/>
    </xf>
    <xf numFmtId="3" fontId="15" fillId="8" borderId="1" xfId="0" applyNumberFormat="1" applyFont="1" applyFill="1" applyBorder="1" applyAlignment="1">
      <alignment horizontal="center" vertical="center" wrapText="1"/>
    </xf>
    <xf numFmtId="0" fontId="0" fillId="11" borderId="1" xfId="0" applyFill="1" applyBorder="1"/>
    <xf numFmtId="164" fontId="0" fillId="11" borderId="1" xfId="0" applyNumberFormat="1" applyFill="1" applyBorder="1"/>
    <xf numFmtId="9" fontId="18" fillId="8" borderId="1" xfId="1" applyFont="1" applyFill="1" applyBorder="1" applyAlignment="1">
      <alignment horizontal="center" vertical="center"/>
    </xf>
    <xf numFmtId="9" fontId="19" fillId="8" borderId="1" xfId="1" applyFont="1" applyFill="1" applyBorder="1" applyAlignment="1">
      <alignment horizontal="center" vertical="center"/>
    </xf>
    <xf numFmtId="9" fontId="15" fillId="8" borderId="1" xfId="1" applyFont="1" applyFill="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wrapText="1"/>
    </xf>
    <xf numFmtId="164" fontId="9" fillId="0" borderId="1" xfId="1" applyNumberFormat="1" applyFont="1" applyFill="1" applyBorder="1" applyAlignment="1">
      <alignment horizontal="center" wrapText="1"/>
    </xf>
    <xf numFmtId="164" fontId="9" fillId="0" borderId="1" xfId="0" applyNumberFormat="1" applyFont="1" applyBorder="1" applyAlignment="1">
      <alignment horizontal="center"/>
    </xf>
    <xf numFmtId="164" fontId="9" fillId="0" borderId="1" xfId="0" applyNumberFormat="1" applyFont="1" applyBorder="1" applyAlignment="1">
      <alignment horizontal="center" wrapText="1"/>
    </xf>
    <xf numFmtId="0" fontId="10" fillId="0" borderId="1" xfId="0" applyFont="1" applyBorder="1" applyAlignment="1">
      <alignment horizontal="center"/>
    </xf>
    <xf numFmtId="3" fontId="10" fillId="0" borderId="1" xfId="0" applyNumberFormat="1" applyFont="1" applyBorder="1" applyAlignment="1">
      <alignment horizontal="center"/>
    </xf>
    <xf numFmtId="3" fontId="9" fillId="0" borderId="1" xfId="0" applyNumberFormat="1" applyFont="1" applyBorder="1" applyAlignment="1">
      <alignment horizontal="center"/>
    </xf>
    <xf numFmtId="49" fontId="9" fillId="0" borderId="1" xfId="0" applyNumberFormat="1" applyFont="1" applyBorder="1" applyAlignment="1">
      <alignment horizontal="center"/>
    </xf>
    <xf numFmtId="49" fontId="9" fillId="0" borderId="1" xfId="0" applyNumberFormat="1" applyFont="1" applyBorder="1" applyAlignment="1">
      <alignment horizontal="center" wrapText="1"/>
    </xf>
    <xf numFmtId="0" fontId="9" fillId="6" borderId="1" xfId="0" applyFont="1" applyFill="1" applyBorder="1"/>
    <xf numFmtId="0" fontId="9" fillId="6" borderId="1" xfId="0" applyFont="1" applyFill="1" applyBorder="1" applyAlignment="1">
      <alignment horizontal="center" vertical="center"/>
    </xf>
    <xf numFmtId="2" fontId="9" fillId="6" borderId="1" xfId="0" applyNumberFormat="1" applyFont="1" applyFill="1" applyBorder="1"/>
    <xf numFmtId="0" fontId="9" fillId="6" borderId="1" xfId="0" applyFont="1" applyFill="1" applyBorder="1" applyAlignment="1">
      <alignment horizontal="center"/>
    </xf>
    <xf numFmtId="0" fontId="9" fillId="6" borderId="1" xfId="0" applyFont="1" applyFill="1" applyBorder="1" applyAlignment="1">
      <alignment horizontal="center" wrapText="1"/>
    </xf>
    <xf numFmtId="3" fontId="9" fillId="6" borderId="1" xfId="0" applyNumberFormat="1" applyFont="1" applyFill="1" applyBorder="1" applyAlignment="1">
      <alignment horizontal="center" wrapText="1"/>
    </xf>
    <xf numFmtId="164" fontId="9" fillId="6" borderId="1" xfId="1" applyNumberFormat="1" applyFont="1" applyFill="1" applyBorder="1" applyAlignment="1">
      <alignment horizontal="center" wrapText="1"/>
    </xf>
    <xf numFmtId="164" fontId="9" fillId="6" borderId="1" xfId="0" applyNumberFormat="1" applyFont="1" applyFill="1" applyBorder="1" applyAlignment="1">
      <alignment horizontal="center"/>
    </xf>
    <xf numFmtId="164" fontId="9" fillId="6" borderId="1" xfId="0" applyNumberFormat="1" applyFont="1" applyFill="1" applyBorder="1" applyAlignment="1">
      <alignment horizontal="center" wrapText="1"/>
    </xf>
    <xf numFmtId="0" fontId="2" fillId="6" borderId="0" xfId="0" applyFont="1" applyFill="1"/>
    <xf numFmtId="3" fontId="1" fillId="8" borderId="1" xfId="0" applyNumberFormat="1" applyFont="1" applyFill="1" applyBorder="1"/>
    <xf numFmtId="3" fontId="2" fillId="0" borderId="1" xfId="0" applyNumberFormat="1" applyFont="1" applyBorder="1"/>
    <xf numFmtId="164" fontId="2" fillId="0" borderId="1" xfId="0" applyNumberFormat="1" applyFont="1" applyBorder="1"/>
    <xf numFmtId="0" fontId="2" fillId="8" borderId="3" xfId="0" applyFont="1" applyFill="1" applyBorder="1" applyAlignment="1">
      <alignment horizontal="left" vertical="center"/>
    </xf>
    <xf numFmtId="0" fontId="19" fillId="8" borderId="1" xfId="0" applyFont="1" applyFill="1" applyBorder="1" applyAlignment="1">
      <alignment horizontal="right"/>
    </xf>
    <xf numFmtId="0" fontId="20" fillId="8" borderId="1" xfId="0" applyFont="1" applyFill="1" applyBorder="1" applyAlignment="1">
      <alignment horizontal="left"/>
    </xf>
    <xf numFmtId="9" fontId="1" fillId="8" borderId="1" xfId="1" applyFont="1" applyFill="1" applyBorder="1"/>
    <xf numFmtId="9" fontId="2" fillId="0" borderId="1" xfId="1" applyFont="1" applyBorder="1"/>
    <xf numFmtId="0" fontId="1" fillId="10" borderId="1" xfId="0" applyFont="1" applyFill="1" applyBorder="1"/>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4" fontId="24" fillId="13" borderId="11" xfId="0" applyNumberFormat="1" applyFont="1" applyFill="1" applyBorder="1" applyAlignment="1">
      <alignment horizontal="center"/>
    </xf>
    <xf numFmtId="0" fontId="21" fillId="12" borderId="11" xfId="0" applyFont="1" applyFill="1" applyBorder="1" applyAlignment="1">
      <alignment horizontal="center"/>
    </xf>
    <xf numFmtId="0" fontId="21" fillId="14" borderId="2" xfId="0" applyFont="1" applyFill="1" applyBorder="1"/>
    <xf numFmtId="0" fontId="25" fillId="0" borderId="0" xfId="0" applyFont="1"/>
    <xf numFmtId="1" fontId="1" fillId="3" borderId="1" xfId="0" applyNumberFormat="1" applyFont="1" applyFill="1" applyBorder="1" applyAlignment="1">
      <alignment horizontal="center" vertical="center"/>
    </xf>
    <xf numFmtId="0" fontId="2" fillId="0" borderId="0" xfId="0" applyFont="1" applyAlignment="1">
      <alignment horizontal="center" vertical="center"/>
    </xf>
    <xf numFmtId="164" fontId="0" fillId="2" borderId="0" xfId="0" applyNumberFormat="1" applyFill="1"/>
    <xf numFmtId="0" fontId="0" fillId="2" borderId="0" xfId="0" applyFill="1"/>
    <xf numFmtId="49" fontId="15" fillId="2" borderId="0" xfId="0" applyNumberFormat="1" applyFont="1" applyFill="1" applyAlignment="1">
      <alignment vertical="center"/>
    </xf>
    <xf numFmtId="0" fontId="0" fillId="9" borderId="0" xfId="0" applyFill="1"/>
    <xf numFmtId="0" fontId="29" fillId="9" borderId="0" xfId="0" applyFont="1" applyFill="1"/>
    <xf numFmtId="0" fontId="27" fillId="2" borderId="0" xfId="0" applyFont="1" applyFill="1"/>
    <xf numFmtId="0" fontId="29" fillId="2" borderId="0" xfId="0" applyFont="1" applyFill="1"/>
    <xf numFmtId="0" fontId="28" fillId="2" borderId="0" xfId="0" applyFont="1" applyFill="1"/>
    <xf numFmtId="0" fontId="19" fillId="8" borderId="3" xfId="0" applyFont="1" applyFill="1" applyBorder="1" applyAlignment="1">
      <alignment horizontal="right"/>
    </xf>
    <xf numFmtId="0" fontId="0" fillId="16" borderId="0" xfId="0" applyFill="1"/>
    <xf numFmtId="0" fontId="30" fillId="16" borderId="0" xfId="0" applyFont="1" applyFill="1"/>
    <xf numFmtId="164" fontId="0" fillId="16" borderId="0" xfId="0" applyNumberFormat="1" applyFill="1"/>
    <xf numFmtId="0" fontId="31" fillId="16" borderId="0" xfId="0" applyFont="1" applyFill="1" applyAlignment="1">
      <alignment horizontal="center" vertical="center"/>
    </xf>
    <xf numFmtId="164" fontId="30" fillId="16" borderId="0" xfId="0" applyNumberFormat="1" applyFont="1" applyFill="1"/>
    <xf numFmtId="0" fontId="32" fillId="16" borderId="0" xfId="0" applyFont="1" applyFill="1" applyAlignment="1">
      <alignment horizontal="center"/>
    </xf>
    <xf numFmtId="164" fontId="33" fillId="16" borderId="0" xfId="0" applyNumberFormat="1" applyFont="1" applyFill="1" applyAlignment="1">
      <alignment horizontal="center" vertical="center" wrapText="1"/>
    </xf>
    <xf numFmtId="164" fontId="34" fillId="16" borderId="0" xfId="0" applyNumberFormat="1" applyFont="1" applyFill="1" applyAlignment="1">
      <alignment horizontal="center" vertical="center" wrapText="1"/>
    </xf>
    <xf numFmtId="9" fontId="35" fillId="16" borderId="0" xfId="1" applyFont="1" applyFill="1" applyBorder="1" applyAlignment="1">
      <alignment horizontal="center" vertical="center"/>
    </xf>
    <xf numFmtId="164" fontId="35" fillId="16" borderId="0" xfId="0" applyNumberFormat="1" applyFont="1" applyFill="1" applyAlignment="1">
      <alignment horizontal="center" vertical="center"/>
    </xf>
    <xf numFmtId="9" fontId="36" fillId="16" borderId="0" xfId="1" applyFont="1" applyFill="1" applyBorder="1" applyAlignment="1">
      <alignment horizontal="center" vertical="center" wrapText="1"/>
    </xf>
    <xf numFmtId="9" fontId="0" fillId="2" borderId="0" xfId="1" applyFont="1" applyFill="1"/>
    <xf numFmtId="171" fontId="37" fillId="2" borderId="0" xfId="2" applyNumberFormat="1" applyFont="1" applyFill="1" applyBorder="1" applyAlignment="1">
      <alignment horizontal="center" vertical="center"/>
    </xf>
    <xf numFmtId="171" fontId="39" fillId="2" borderId="18" xfId="2" applyNumberFormat="1" applyFont="1" applyFill="1" applyBorder="1" applyAlignment="1">
      <alignment horizontal="center" vertical="center"/>
    </xf>
    <xf numFmtId="43" fontId="39" fillId="2" borderId="21" xfId="2" applyFont="1" applyFill="1" applyBorder="1" applyAlignment="1">
      <alignment horizontal="center" vertical="center"/>
    </xf>
    <xf numFmtId="171" fontId="39" fillId="2" borderId="19" xfId="2" applyNumberFormat="1" applyFont="1" applyFill="1" applyBorder="1" applyAlignment="1">
      <alignment horizontal="center" vertical="center"/>
    </xf>
    <xf numFmtId="43" fontId="39" fillId="2" borderId="0" xfId="2" applyFont="1" applyFill="1" applyBorder="1" applyAlignment="1">
      <alignment horizontal="center" vertical="center"/>
    </xf>
    <xf numFmtId="0" fontId="40" fillId="2" borderId="0" xfId="0" applyFont="1" applyFill="1"/>
    <xf numFmtId="171" fontId="39" fillId="2" borderId="20" xfId="2" applyNumberFormat="1" applyFont="1" applyFill="1" applyBorder="1" applyAlignment="1">
      <alignment horizontal="center" vertical="center"/>
    </xf>
    <xf numFmtId="43" fontId="39" fillId="2" borderId="8" xfId="2" applyFont="1" applyFill="1" applyBorder="1" applyAlignment="1">
      <alignment horizontal="center" vertical="center"/>
    </xf>
    <xf numFmtId="14" fontId="42" fillId="7" borderId="10" xfId="0" applyNumberFormat="1" applyFont="1" applyFill="1" applyBorder="1"/>
    <xf numFmtId="0" fontId="39" fillId="2" borderId="0" xfId="0" applyFont="1" applyFill="1"/>
    <xf numFmtId="0" fontId="39" fillId="2" borderId="0" xfId="0" applyFont="1" applyFill="1" applyAlignment="1">
      <alignment vertical="top"/>
    </xf>
    <xf numFmtId="0" fontId="41" fillId="2" borderId="0" xfId="0" applyFont="1" applyFill="1" applyAlignment="1">
      <alignment horizontal="center"/>
    </xf>
    <xf numFmtId="4" fontId="11" fillId="0" borderId="0" xfId="0" applyNumberFormat="1" applyFont="1" applyAlignment="1">
      <alignment vertical="center"/>
    </xf>
    <xf numFmtId="4" fontId="7" fillId="0" borderId="0" xfId="0" applyNumberFormat="1" applyFont="1"/>
    <xf numFmtId="4" fontId="2" fillId="0" borderId="0" xfId="0" applyNumberFormat="1" applyFont="1"/>
    <xf numFmtId="14" fontId="42" fillId="0" borderId="0" xfId="0" applyNumberFormat="1" applyFont="1"/>
    <xf numFmtId="14" fontId="42" fillId="2" borderId="0" xfId="0" applyNumberFormat="1" applyFont="1" applyFill="1"/>
    <xf numFmtId="0" fontId="43" fillId="17" borderId="0" xfId="0" applyFont="1" applyFill="1"/>
    <xf numFmtId="0" fontId="39" fillId="2" borderId="1" xfId="0" applyFont="1" applyFill="1" applyBorder="1" applyAlignment="1">
      <alignment horizontal="center" vertical="center"/>
    </xf>
    <xf numFmtId="0" fontId="39" fillId="2" borderId="21" xfId="0" applyFont="1" applyFill="1" applyBorder="1" applyAlignment="1">
      <alignment horizontal="center" vertical="center"/>
    </xf>
    <xf numFmtId="0" fontId="39" fillId="2" borderId="0" xfId="0" applyFont="1" applyFill="1" applyAlignment="1">
      <alignment horizontal="center" vertical="center"/>
    </xf>
    <xf numFmtId="0" fontId="39" fillId="2" borderId="8" xfId="0" applyFont="1" applyFill="1" applyBorder="1" applyAlignment="1">
      <alignment horizontal="center" vertical="center"/>
    </xf>
    <xf numFmtId="0" fontId="39" fillId="2" borderId="21" xfId="0" applyFont="1" applyFill="1" applyBorder="1"/>
    <xf numFmtId="9" fontId="39" fillId="2" borderId="9" xfId="1" applyFont="1" applyFill="1" applyBorder="1"/>
    <xf numFmtId="9" fontId="39" fillId="2" borderId="17" xfId="1" applyFont="1" applyFill="1" applyBorder="1"/>
    <xf numFmtId="0" fontId="39" fillId="2" borderId="8" xfId="0" applyFont="1" applyFill="1" applyBorder="1"/>
    <xf numFmtId="9" fontId="39" fillId="2" borderId="13" xfId="1" applyFont="1" applyFill="1" applyBorder="1"/>
    <xf numFmtId="0" fontId="2" fillId="0" borderId="0" xfId="0" applyFont="1" applyAlignment="1">
      <alignment horizontal="left" vertical="top" wrapText="1"/>
    </xf>
    <xf numFmtId="0" fontId="0" fillId="17" borderId="0" xfId="0" applyFill="1"/>
    <xf numFmtId="0" fontId="2" fillId="0" borderId="0" xfId="0" applyFont="1" applyAlignment="1">
      <alignment vertical="top"/>
    </xf>
    <xf numFmtId="0" fontId="39" fillId="2" borderId="2" xfId="0" applyFont="1" applyFill="1" applyBorder="1" applyAlignment="1">
      <alignment horizontal="center" vertical="center"/>
    </xf>
    <xf numFmtId="9" fontId="39" fillId="2" borderId="21" xfId="1" applyFont="1" applyFill="1" applyBorder="1"/>
    <xf numFmtId="9" fontId="39" fillId="2" borderId="0" xfId="1" applyFont="1" applyFill="1" applyBorder="1"/>
    <xf numFmtId="9" fontId="39" fillId="2" borderId="8" xfId="1" applyFont="1" applyFill="1" applyBorder="1"/>
    <xf numFmtId="43" fontId="39" fillId="2" borderId="9" xfId="0" applyNumberFormat="1" applyFont="1" applyFill="1" applyBorder="1"/>
    <xf numFmtId="43" fontId="39" fillId="2" borderId="17" xfId="0" applyNumberFormat="1" applyFont="1" applyFill="1" applyBorder="1"/>
    <xf numFmtId="43" fontId="39" fillId="2" borderId="13" xfId="0" applyNumberFormat="1" applyFont="1" applyFill="1" applyBorder="1"/>
    <xf numFmtId="0" fontId="39" fillId="2" borderId="0" xfId="0" applyFont="1" applyFill="1" applyAlignment="1">
      <alignment horizontal="center"/>
    </xf>
    <xf numFmtId="0" fontId="39" fillId="2" borderId="8" xfId="0" applyFont="1" applyFill="1" applyBorder="1" applyAlignment="1">
      <alignment horizontal="center"/>
    </xf>
    <xf numFmtId="0" fontId="29" fillId="16" borderId="0" xfId="0" applyFont="1" applyFill="1"/>
    <xf numFmtId="0" fontId="41" fillId="2" borderId="0" xfId="0" applyFont="1" applyFill="1"/>
    <xf numFmtId="0" fontId="0" fillId="2" borderId="23" xfId="0" applyFill="1" applyBorder="1"/>
    <xf numFmtId="0" fontId="45" fillId="2" borderId="0" xfId="0" applyFont="1" applyFill="1" applyAlignment="1">
      <alignment horizontal="center" wrapText="1"/>
    </xf>
    <xf numFmtId="0" fontId="5" fillId="0" borderId="0" xfId="0" applyFont="1"/>
    <xf numFmtId="3" fontId="4" fillId="3" borderId="1" xfId="0" applyNumberFormat="1" applyFont="1" applyFill="1" applyBorder="1" applyAlignment="1">
      <alignment horizontal="center" vertical="center"/>
    </xf>
    <xf numFmtId="3" fontId="9" fillId="6" borderId="1" xfId="0" applyNumberFormat="1" applyFont="1" applyFill="1" applyBorder="1" applyAlignment="1">
      <alignment horizontal="center"/>
    </xf>
    <xf numFmtId="0" fontId="2" fillId="0" borderId="0" xfId="0" applyFont="1" applyAlignment="1">
      <alignment horizontal="left" vertical="top"/>
    </xf>
    <xf numFmtId="0" fontId="29" fillId="17" borderId="0" xfId="0" applyFont="1" applyFill="1"/>
    <xf numFmtId="0" fontId="43" fillId="17" borderId="0" xfId="0" applyFont="1" applyFill="1" applyAlignment="1">
      <alignment wrapText="1"/>
    </xf>
    <xf numFmtId="43" fontId="43" fillId="17" borderId="0" xfId="2" applyFont="1" applyFill="1"/>
    <xf numFmtId="43" fontId="43" fillId="17" borderId="0" xfId="0" applyNumberFormat="1" applyFont="1" applyFill="1"/>
    <xf numFmtId="3" fontId="43" fillId="17" borderId="0" xfId="0" applyNumberFormat="1" applyFont="1" applyFill="1" applyAlignment="1">
      <alignment wrapText="1"/>
    </xf>
    <xf numFmtId="9" fontId="43" fillId="17" borderId="0" xfId="0" applyNumberFormat="1" applyFont="1" applyFill="1"/>
    <xf numFmtId="43" fontId="43" fillId="17" borderId="0" xfId="2" applyFont="1" applyFill="1" applyAlignment="1">
      <alignment wrapText="1"/>
    </xf>
    <xf numFmtId="0" fontId="43" fillId="17" borderId="0" xfId="0" applyFont="1" applyFill="1" applyAlignment="1">
      <alignment horizontal="center"/>
    </xf>
    <xf numFmtId="164" fontId="43" fillId="17" borderId="0" xfId="1" applyNumberFormat="1" applyFont="1" applyFill="1" applyBorder="1"/>
    <xf numFmtId="164" fontId="43" fillId="17" borderId="0" xfId="1" applyNumberFormat="1" applyFont="1" applyFill="1"/>
    <xf numFmtId="171" fontId="46" fillId="17" borderId="0" xfId="2" applyNumberFormat="1" applyFont="1" applyFill="1" applyBorder="1" applyAlignment="1">
      <alignment horizontal="center" vertical="center"/>
    </xf>
    <xf numFmtId="3" fontId="43" fillId="17" borderId="0" xfId="0" applyNumberFormat="1" applyFont="1" applyFill="1"/>
    <xf numFmtId="171" fontId="43" fillId="17" borderId="0" xfId="2" applyNumberFormat="1" applyFont="1" applyFill="1"/>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2" xfId="0"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41" fillId="2" borderId="0" xfId="0" applyFont="1" applyFill="1" applyAlignment="1">
      <alignment horizontal="right"/>
    </xf>
    <xf numFmtId="0" fontId="41" fillId="2" borderId="22" xfId="0" applyFont="1" applyFill="1" applyBorder="1" applyAlignment="1">
      <alignment horizontal="right"/>
    </xf>
    <xf numFmtId="0" fontId="44" fillId="2" borderId="0" xfId="0" applyFont="1" applyFill="1" applyAlignment="1">
      <alignment horizontal="center" wrapText="1"/>
    </xf>
    <xf numFmtId="0" fontId="43" fillId="17" borderId="0" xfId="0" applyFont="1" applyFill="1" applyAlignment="1">
      <alignment horizontal="center"/>
    </xf>
    <xf numFmtId="0" fontId="38" fillId="2" borderId="3"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0" fontId="39" fillId="2" borderId="2" xfId="0" applyFont="1" applyFill="1" applyBorder="1" applyAlignment="1">
      <alignment horizontal="center" vertical="center"/>
    </xf>
    <xf numFmtId="0" fontId="44"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 fillId="10" borderId="1" xfId="0" applyFont="1" applyFill="1" applyBorder="1" applyAlignment="1">
      <alignment horizontal="center"/>
    </xf>
    <xf numFmtId="0" fontId="1" fillId="10" borderId="3" xfId="0" applyFont="1" applyFill="1" applyBorder="1" applyAlignment="1">
      <alignment horizontal="center" wrapText="1"/>
    </xf>
    <xf numFmtId="0" fontId="1" fillId="10" borderId="4" xfId="0" applyFont="1" applyFill="1" applyBorder="1" applyAlignment="1">
      <alignment horizontal="center" wrapText="1"/>
    </xf>
    <xf numFmtId="0" fontId="1" fillId="10" borderId="4" xfId="0" applyFont="1" applyFill="1" applyBorder="1" applyAlignment="1">
      <alignment horizontal="center"/>
    </xf>
    <xf numFmtId="0" fontId="1" fillId="10" borderId="2" xfId="0" applyFont="1" applyFill="1" applyBorder="1" applyAlignment="1">
      <alignment horizontal="center" wrapText="1"/>
    </xf>
    <xf numFmtId="0" fontId="1" fillId="10" borderId="3" xfId="0" applyFont="1" applyFill="1" applyBorder="1" applyAlignment="1">
      <alignment horizontal="center"/>
    </xf>
    <xf numFmtId="0" fontId="1" fillId="10" borderId="2" xfId="0" applyFont="1" applyFill="1" applyBorder="1" applyAlignment="1">
      <alignment horizontal="center"/>
    </xf>
    <xf numFmtId="0" fontId="1" fillId="10" borderId="5"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21" fillId="15" borderId="16" xfId="0" applyFont="1" applyFill="1" applyBorder="1" applyAlignment="1">
      <alignment horizontal="center" vertical="center" wrapText="1"/>
    </xf>
    <xf numFmtId="0" fontId="21" fillId="15" borderId="13" xfId="0" applyFont="1" applyFill="1" applyBorder="1" applyAlignment="1">
      <alignment horizontal="center" vertical="center" wrapText="1"/>
    </xf>
    <xf numFmtId="0" fontId="21" fillId="15" borderId="15" xfId="0" applyFont="1" applyFill="1" applyBorder="1" applyAlignment="1">
      <alignment horizontal="center" vertical="center" wrapText="1"/>
    </xf>
    <xf numFmtId="0" fontId="21" fillId="15" borderId="7" xfId="0" applyFont="1" applyFill="1" applyBorder="1" applyAlignment="1">
      <alignment horizontal="center" vertical="center" wrapText="1"/>
    </xf>
    <xf numFmtId="0" fontId="21" fillId="15" borderId="14" xfId="0" applyFont="1" applyFill="1" applyBorder="1" applyAlignment="1">
      <alignment horizontal="center" vertical="center" wrapText="1"/>
    </xf>
    <xf numFmtId="0" fontId="21" fillId="15" borderId="12" xfId="0" applyFont="1" applyFill="1" applyBorder="1" applyAlignment="1">
      <alignment horizontal="center" vertical="center" wrapText="1"/>
    </xf>
    <xf numFmtId="0" fontId="43" fillId="16" borderId="0" xfId="0" applyFont="1" applyFill="1"/>
    <xf numFmtId="0" fontId="43" fillId="16" borderId="0" xfId="0" applyFont="1" applyFill="1" applyAlignment="1">
      <alignment wrapText="1"/>
    </xf>
    <xf numFmtId="170" fontId="43" fillId="16" borderId="0" xfId="0" applyNumberFormat="1" applyFont="1" applyFill="1"/>
    <xf numFmtId="3" fontId="43" fillId="16" borderId="0" xfId="0" applyNumberFormat="1" applyFont="1" applyFill="1"/>
    <xf numFmtId="3" fontId="3" fillId="0" borderId="0" xfId="0" applyNumberFormat="1" applyFont="1" applyFill="1" applyAlignment="1">
      <alignment vertical="center"/>
    </xf>
    <xf numFmtId="14" fontId="3" fillId="0" borderId="0" xfId="0" applyNumberFormat="1" applyFont="1" applyFill="1" applyAlignment="1">
      <alignment vertical="center"/>
    </xf>
    <xf numFmtId="3" fontId="13" fillId="0" borderId="0" xfId="0" applyNumberFormat="1" applyFont="1" applyFill="1"/>
    <xf numFmtId="164" fontId="5" fillId="0" borderId="0" xfId="0" applyNumberFormat="1" applyFont="1" applyFill="1"/>
  </cellXfs>
  <cellStyles count="5">
    <cellStyle name="Comma" xfId="2" builtinId="3"/>
    <cellStyle name="Hyperlink" xfId="4" builtinId="8"/>
    <cellStyle name="Normal" xfId="0" builtinId="0"/>
    <cellStyle name="Normal 2" xfId="3" xr:uid="{260E2AFD-5EC3-49F9-BBEC-5DCF4D379C81}"/>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79646"/>
      <color rgb="FF7F7F7F"/>
      <color rgb="FF4BACC6"/>
      <color rgb="FF2C4D75"/>
      <color rgb="FFD85D58"/>
      <color rgb="FFF68A42"/>
      <color rgb="FF98CA3D"/>
      <color rgb="FF26BAA8"/>
      <color rgb="FF8064A2"/>
      <color rgb="FFC5D2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87441304374987E-2"/>
          <c:y val="9.8333333871026538E-2"/>
          <c:w val="0.62832176565842468"/>
          <c:h val="0.81924007173687707"/>
        </c:manualLayout>
      </c:layout>
      <c:doughnutChart>
        <c:varyColors val="1"/>
        <c:ser>
          <c:idx val="0"/>
          <c:order val="0"/>
          <c:dPt>
            <c:idx val="0"/>
            <c:bubble3D val="0"/>
            <c:spPr>
              <a:solidFill>
                <a:srgbClr val="26BAA8"/>
              </a:solidFill>
              <a:ln w="19050">
                <a:solidFill>
                  <a:schemeClr val="lt1"/>
                </a:solidFill>
              </a:ln>
              <a:effectLst>
                <a:glow>
                  <a:schemeClr val="accent1">
                    <a:alpha val="40000"/>
                  </a:schemeClr>
                </a:glow>
                <a:softEdge rad="0"/>
              </a:effectLst>
            </c:spPr>
            <c:extLst>
              <c:ext xmlns:c16="http://schemas.microsoft.com/office/drawing/2014/chart" uri="{C3380CC4-5D6E-409C-BE32-E72D297353CC}">
                <c16:uniqueId val="{00000007-C66C-4694-A876-74A231C386D7}"/>
              </c:ext>
            </c:extLst>
          </c:dPt>
          <c:dPt>
            <c:idx val="1"/>
            <c:bubble3D val="0"/>
            <c:spPr>
              <a:solidFill>
                <a:srgbClr val="98CA3D"/>
              </a:solidFill>
              <a:ln w="19050">
                <a:solidFill>
                  <a:schemeClr val="lt1"/>
                </a:solidFill>
              </a:ln>
              <a:effectLst/>
            </c:spPr>
            <c:extLst>
              <c:ext xmlns:c16="http://schemas.microsoft.com/office/drawing/2014/chart" uri="{C3380CC4-5D6E-409C-BE32-E72D297353CC}">
                <c16:uniqueId val="{00000006-C66C-4694-A876-74A231C386D7}"/>
              </c:ext>
            </c:extLst>
          </c:dPt>
          <c:dPt>
            <c:idx val="2"/>
            <c:bubble3D val="0"/>
            <c:spPr>
              <a:solidFill>
                <a:srgbClr val="F68A42"/>
              </a:solidFill>
              <a:ln w="19050">
                <a:solidFill>
                  <a:schemeClr val="lt1"/>
                </a:solidFill>
              </a:ln>
              <a:effectLst/>
            </c:spPr>
            <c:extLst>
              <c:ext xmlns:c16="http://schemas.microsoft.com/office/drawing/2014/chart" uri="{C3380CC4-5D6E-409C-BE32-E72D297353CC}">
                <c16:uniqueId val="{00000004-C66C-4694-A876-74A231C386D7}"/>
              </c:ext>
            </c:extLst>
          </c:dPt>
          <c:dPt>
            <c:idx val="3"/>
            <c:bubble3D val="0"/>
            <c:spPr>
              <a:solidFill>
                <a:srgbClr val="D85D58"/>
              </a:solidFill>
              <a:ln w="19050">
                <a:solidFill>
                  <a:schemeClr val="lt1"/>
                </a:solidFill>
              </a:ln>
              <a:effectLst/>
            </c:spPr>
            <c:extLst>
              <c:ext xmlns:c16="http://schemas.microsoft.com/office/drawing/2014/chart" uri="{C3380CC4-5D6E-409C-BE32-E72D297353CC}">
                <c16:uniqueId val="{00000005-C66C-4694-A876-74A231C386D7}"/>
              </c:ext>
            </c:extLst>
          </c:dPt>
          <c:dPt>
            <c:idx val="4"/>
            <c:bubble3D val="0"/>
            <c:spPr>
              <a:solidFill>
                <a:srgbClr val="4BACC6"/>
              </a:solidFill>
              <a:ln w="19050">
                <a:solidFill>
                  <a:schemeClr val="lt1"/>
                </a:solidFill>
              </a:ln>
              <a:effectLst/>
            </c:spPr>
            <c:extLst>
              <c:ext xmlns:c16="http://schemas.microsoft.com/office/drawing/2014/chart" uri="{C3380CC4-5D6E-409C-BE32-E72D297353CC}">
                <c16:uniqueId val="{00000008-C66C-4694-A876-74A231C386D7}"/>
              </c:ext>
            </c:extLst>
          </c:dPt>
          <c:dPt>
            <c:idx val="5"/>
            <c:bubble3D val="0"/>
            <c:spPr>
              <a:solidFill>
                <a:srgbClr val="F79646"/>
              </a:solidFill>
              <a:ln w="19050">
                <a:solidFill>
                  <a:schemeClr val="lt1"/>
                </a:solidFill>
              </a:ln>
              <a:effectLst/>
            </c:spPr>
            <c:extLst>
              <c:ext xmlns:c16="http://schemas.microsoft.com/office/drawing/2014/chart" uri="{C3380CC4-5D6E-409C-BE32-E72D297353CC}">
                <c16:uniqueId val="{00000002-C66C-4694-A876-74A231C386D7}"/>
              </c:ext>
            </c:extLst>
          </c:dPt>
          <c:dPt>
            <c:idx val="6"/>
            <c:bubble3D val="0"/>
            <c:spPr>
              <a:solidFill>
                <a:srgbClr val="2C4D75"/>
              </a:solidFill>
              <a:ln w="19050">
                <a:solidFill>
                  <a:schemeClr val="lt1"/>
                </a:solidFill>
              </a:ln>
              <a:effectLst/>
            </c:spPr>
            <c:extLst>
              <c:ext xmlns:c16="http://schemas.microsoft.com/office/drawing/2014/chart" uri="{C3380CC4-5D6E-409C-BE32-E72D297353CC}">
                <c16:uniqueId val="{00000003-C66C-4694-A876-74A231C386D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1-C66C-4694-A876-74A231C386D7}"/>
              </c:ext>
            </c:extLst>
          </c:dPt>
          <c:dLbls>
            <c:dLbl>
              <c:idx val="0"/>
              <c:layout>
                <c:manualLayout>
                  <c:x val="-5.1614169122331008E-2"/>
                  <c:y val="-9.4101903401694595E-2"/>
                </c:manualLayout>
              </c:layout>
              <c:spPr>
                <a:solidFill>
                  <a:srgbClr val="26BAA8"/>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66C-4694-A876-74A231C386D7}"/>
                </c:ext>
              </c:extLst>
            </c:dLbl>
            <c:dLbl>
              <c:idx val="1"/>
              <c:layout>
                <c:manualLayout>
                  <c:x val="7.5417174264101702E-2"/>
                  <c:y val="-1.6388888978504424E-2"/>
                </c:manualLayout>
              </c:layout>
              <c:spPr>
                <a:solidFill>
                  <a:srgbClr val="98CA3D"/>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66C-4694-A876-74A231C386D7}"/>
                </c:ext>
              </c:extLst>
            </c:dLbl>
            <c:dLbl>
              <c:idx val="2"/>
              <c:layout>
                <c:manualLayout>
                  <c:x val="5.2695077936902986E-2"/>
                  <c:y val="1.8437500100817402E-2"/>
                </c:manualLayout>
              </c:layout>
              <c:spPr>
                <a:solidFill>
                  <a:srgbClr val="F68A42"/>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66C-4694-A876-74A231C386D7}"/>
                </c:ext>
              </c:extLst>
            </c:dLbl>
            <c:dLbl>
              <c:idx val="3"/>
              <c:layout>
                <c:manualLayout>
                  <c:x val="-9.0626106873761061E-2"/>
                  <c:y val="7.3956474595125079E-3"/>
                </c:manualLayout>
              </c:layout>
              <c:spPr>
                <a:solidFill>
                  <a:srgbClr val="D85D58"/>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66C-4694-A876-74A231C386D7}"/>
                </c:ext>
              </c:extLst>
            </c:dLbl>
            <c:dLbl>
              <c:idx val="4"/>
              <c:layout>
                <c:manualLayout>
                  <c:x val="-4.7442209977888193E-2"/>
                  <c:y val="-1.4888724928307428E-3"/>
                </c:manualLayout>
              </c:layout>
              <c:spPr>
                <a:solidFill>
                  <a:srgbClr val="4BACC6"/>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C66C-4694-A876-74A231C386D7}"/>
                </c:ext>
              </c:extLst>
            </c:dLbl>
            <c:dLbl>
              <c:idx val="5"/>
              <c:layout>
                <c:manualLayout>
                  <c:x val="-4.0915683297799967E-2"/>
                  <c:y val="3.7725093163413674E-3"/>
                </c:manualLayout>
              </c:layout>
              <c:spPr>
                <a:solidFill>
                  <a:srgbClr val="F79646"/>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66C-4694-A876-74A231C386D7}"/>
                </c:ext>
              </c:extLst>
            </c:dLbl>
            <c:dLbl>
              <c:idx val="6"/>
              <c:layout>
                <c:manualLayout>
                  <c:x val="-5.734742725268413E-2"/>
                  <c:y val="-1.0589061190885068E-2"/>
                </c:manualLayout>
              </c:layout>
              <c:spPr>
                <a:solidFill>
                  <a:srgbClr val="2C4D75"/>
                </a:solidFill>
                <a:ln>
                  <a:noFill/>
                </a:ln>
                <a:effectLst/>
              </c:spPr>
              <c:txPr>
                <a:bodyPr rot="0" spcFirstLastPara="1" vertOverflow="ellipsis" vert="horz" wrap="square" anchor="ctr" anchorCtr="1"/>
                <a:lstStyle/>
                <a:p>
                  <a:pPr>
                    <a:defRPr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66C-4694-A876-74A231C386D7}"/>
                </c:ext>
              </c:extLst>
            </c:dLbl>
            <c:dLbl>
              <c:idx val="7"/>
              <c:layout>
                <c:manualLayout>
                  <c:x val="4.2496085316188455E-3"/>
                  <c:y val="-2.2949849389631665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66C-4694-A876-74A231C386D7}"/>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Butiskais_grafiski!$Z$7:$Z$13</c:f>
              <c:strCache>
                <c:ptCount val="7"/>
                <c:pt idx="0">
                  <c:v>1. "Viedāka Eiropa"</c:v>
                </c:pt>
                <c:pt idx="1">
                  <c:v>2. "Zaļāka Eiropa"</c:v>
                </c:pt>
                <c:pt idx="2">
                  <c:v>3. "Savienotāka Eiropa"</c:v>
                </c:pt>
                <c:pt idx="3">
                  <c:v>4. "Sociālāka Eiropa"</c:v>
                </c:pt>
                <c:pt idx="4">
                  <c:v>5. "Iedzīvotājiem tuvāka Eiropa"</c:v>
                </c:pt>
                <c:pt idx="5">
                  <c:v>6. "Taisnīgās pārkārtošanās fonda investīcijas"</c:v>
                </c:pt>
                <c:pt idx="6">
                  <c:v>7. &amp; TP Kapacitātes stiprināšanas pasākumi </c:v>
                </c:pt>
              </c:strCache>
            </c:strRef>
          </c:cat>
          <c:val>
            <c:numRef>
              <c:f>Butiskais_grafiski!$AA$7:$AA$13</c:f>
              <c:numCache>
                <c:formatCode>_(* #,##0.00_);_(* \(#,##0.00\);_(* "-"??_);_(@_)</c:formatCode>
                <c:ptCount val="7"/>
                <c:pt idx="0">
                  <c:v>761.26938399999995</c:v>
                </c:pt>
                <c:pt idx="1">
                  <c:v>1098.3269089999999</c:v>
                </c:pt>
                <c:pt idx="2">
                  <c:v>661.65205400000002</c:v>
                </c:pt>
                <c:pt idx="3">
                  <c:v>1265.858205</c:v>
                </c:pt>
                <c:pt idx="4">
                  <c:v>254.70840200000001</c:v>
                </c:pt>
                <c:pt idx="5">
                  <c:v>184.23732699999999</c:v>
                </c:pt>
                <c:pt idx="6">
                  <c:v>4.6438480000000002</c:v>
                </c:pt>
              </c:numCache>
            </c:numRef>
          </c:val>
          <c:extLst>
            <c:ext xmlns:c16="http://schemas.microsoft.com/office/drawing/2014/chart" uri="{C3380CC4-5D6E-409C-BE32-E72D297353CC}">
              <c16:uniqueId val="{00000000-C66C-4694-A876-74A231C386D7}"/>
            </c:ext>
          </c:extLst>
        </c:ser>
        <c:dLbls>
          <c:showLegendKey val="0"/>
          <c:showVal val="0"/>
          <c:showCatName val="0"/>
          <c:showSerName val="0"/>
          <c:showPercent val="0"/>
          <c:showBubbleSize val="0"/>
          <c:showLeaderLines val="1"/>
        </c:dLbls>
        <c:firstSliceAng val="295"/>
        <c:holeSize val="48"/>
      </c:doughnutChart>
      <c:spPr>
        <a:noFill/>
        <a:ln>
          <a:noFill/>
        </a:ln>
        <a:effectLst/>
      </c:spPr>
    </c:plotArea>
    <c:legend>
      <c:legendPos val="b"/>
      <c:legendEntry>
        <c:idx val="1"/>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legendEntry>
      <c:layout>
        <c:manualLayout>
          <c:xMode val="edge"/>
          <c:yMode val="edge"/>
          <c:x val="0.66852253937705008"/>
          <c:y val="1.365310059134172E-2"/>
          <c:w val="0.33087224226319428"/>
          <c:h val="0.98634689940865827"/>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6BA539"/>
            </a:solidFill>
            <a:ln>
              <a:noFill/>
            </a:ln>
            <a:effectLst/>
          </c:spPr>
          <c:invertIfNegative val="0"/>
          <c:cat>
            <c:strRef>
              <c:f>Butiskais_grafiski!$H$58</c:f>
              <c:strCache>
                <c:ptCount val="1"/>
                <c:pt idx="0">
                  <c:v> LM </c:v>
                </c:pt>
              </c:strCache>
            </c:strRef>
          </c:cat>
          <c:val>
            <c:numRef>
              <c:f>Butiskais_grafiski!$M$58</c:f>
              <c:numCache>
                <c:formatCode>0%</c:formatCode>
                <c:ptCount val="1"/>
                <c:pt idx="0">
                  <c:v>0.88503845956171678</c:v>
                </c:pt>
              </c:numCache>
            </c:numRef>
          </c:val>
          <c:extLst>
            <c:ext xmlns:c16="http://schemas.microsoft.com/office/drawing/2014/chart" uri="{C3380CC4-5D6E-409C-BE32-E72D297353CC}">
              <c16:uniqueId val="{00000000-062C-46EC-BAC7-7A95D0C3E551}"/>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012169"/>
            </a:solidFill>
            <a:ln>
              <a:noFill/>
            </a:ln>
            <a:effectLst/>
          </c:spPr>
          <c:invertIfNegative val="0"/>
          <c:cat>
            <c:strRef>
              <c:f>Butiskais_grafiski!$H$59</c:f>
              <c:strCache>
                <c:ptCount val="1"/>
                <c:pt idx="0">
                  <c:v> IeM </c:v>
                </c:pt>
              </c:strCache>
            </c:strRef>
          </c:cat>
          <c:val>
            <c:numRef>
              <c:f>Butiskais_grafiski!$M$59</c:f>
              <c:numCache>
                <c:formatCode>0%</c:formatCode>
                <c:ptCount val="1"/>
                <c:pt idx="0">
                  <c:v>1</c:v>
                </c:pt>
              </c:numCache>
            </c:numRef>
          </c:val>
          <c:extLst>
            <c:ext xmlns:c16="http://schemas.microsoft.com/office/drawing/2014/chart" uri="{C3380CC4-5D6E-409C-BE32-E72D297353CC}">
              <c16:uniqueId val="{00000000-8030-46FE-94CE-42AA04CCA68A}"/>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1F2A44"/>
            </a:solidFill>
            <a:ln>
              <a:noFill/>
            </a:ln>
            <a:effectLst/>
          </c:spPr>
          <c:invertIfNegative val="0"/>
          <c:cat>
            <c:strRef>
              <c:f>Butiskais_grafiski!$H$60</c:f>
              <c:strCache>
                <c:ptCount val="1"/>
                <c:pt idx="0">
                  <c:v> FM </c:v>
                </c:pt>
              </c:strCache>
            </c:strRef>
          </c:cat>
          <c:val>
            <c:numRef>
              <c:f>Butiskais_grafiski!$M$60</c:f>
              <c:numCache>
                <c:formatCode>0%</c:formatCode>
                <c:ptCount val="1"/>
                <c:pt idx="0">
                  <c:v>0.98719415671327326</c:v>
                </c:pt>
              </c:numCache>
            </c:numRef>
          </c:val>
          <c:extLst>
            <c:ext xmlns:c16="http://schemas.microsoft.com/office/drawing/2014/chart" uri="{C3380CC4-5D6E-409C-BE32-E72D297353CC}">
              <c16:uniqueId val="{00000000-E013-4FFD-92CF-821237B856E8}"/>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155452"/>
            </a:solidFill>
            <a:ln>
              <a:noFill/>
            </a:ln>
            <a:effectLst/>
          </c:spPr>
          <c:invertIfNegative val="0"/>
          <c:cat>
            <c:strRef>
              <c:f>Butiskais_grafiski!$H$61</c:f>
              <c:strCache>
                <c:ptCount val="1"/>
                <c:pt idx="0">
                  <c:v> KEM </c:v>
                </c:pt>
              </c:strCache>
            </c:strRef>
          </c:cat>
          <c:val>
            <c:numRef>
              <c:f>Butiskais_grafiski!$M$61</c:f>
              <c:numCache>
                <c:formatCode>0%</c:formatCode>
                <c:ptCount val="1"/>
                <c:pt idx="0">
                  <c:v>0.65238565983582975</c:v>
                </c:pt>
              </c:numCache>
            </c:numRef>
          </c:val>
          <c:extLst>
            <c:ext xmlns:c16="http://schemas.microsoft.com/office/drawing/2014/chart" uri="{C3380CC4-5D6E-409C-BE32-E72D297353CC}">
              <c16:uniqueId val="{00000000-4A0A-42A0-BBEB-13C035E25843}"/>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E4002B"/>
            </a:solidFill>
            <a:ln>
              <a:noFill/>
            </a:ln>
            <a:effectLst/>
          </c:spPr>
          <c:invertIfNegative val="0"/>
          <c:cat>
            <c:strRef>
              <c:f>Butiskais_grafiski!$H$62</c:f>
              <c:strCache>
                <c:ptCount val="1"/>
                <c:pt idx="0">
                  <c:v> KM </c:v>
                </c:pt>
              </c:strCache>
            </c:strRef>
          </c:cat>
          <c:val>
            <c:numRef>
              <c:f>Butiskais_grafiski!$M$62</c:f>
              <c:numCache>
                <c:formatCode>0%</c:formatCode>
                <c:ptCount val="1"/>
                <c:pt idx="0">
                  <c:v>0.88339826366864438</c:v>
                </c:pt>
              </c:numCache>
            </c:numRef>
          </c:val>
          <c:extLst>
            <c:ext xmlns:c16="http://schemas.microsoft.com/office/drawing/2014/chart" uri="{C3380CC4-5D6E-409C-BE32-E72D297353CC}">
              <c16:uniqueId val="{00000000-EA02-4C6C-933A-7181CB225A5B}"/>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9D2235"/>
            </a:solidFill>
            <a:ln>
              <a:noFill/>
            </a:ln>
            <a:effectLst/>
          </c:spPr>
          <c:invertIfNegative val="0"/>
          <c:cat>
            <c:strRef>
              <c:f>Butiskais_grafiski!$H$63</c:f>
              <c:strCache>
                <c:ptCount val="1"/>
                <c:pt idx="0">
                  <c:v> VK </c:v>
                </c:pt>
              </c:strCache>
            </c:strRef>
          </c:cat>
          <c:val>
            <c:numRef>
              <c:f>Butiskais_grafiski!$M$63</c:f>
              <c:numCache>
                <c:formatCode>0%</c:formatCode>
                <c:ptCount val="1"/>
                <c:pt idx="0">
                  <c:v>0.63529707900471677</c:v>
                </c:pt>
              </c:numCache>
            </c:numRef>
          </c:val>
          <c:extLst>
            <c:ext xmlns:c16="http://schemas.microsoft.com/office/drawing/2014/chart" uri="{C3380CC4-5D6E-409C-BE32-E72D297353CC}">
              <c16:uniqueId val="{00000000-5CA6-40E2-8AB6-ECEE7EBA4731}"/>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840B55"/>
            </a:solidFill>
            <a:ln>
              <a:noFill/>
            </a:ln>
            <a:effectLst/>
          </c:spPr>
          <c:invertIfNegative val="0"/>
          <c:cat>
            <c:strRef>
              <c:f>Butiskais_grafiski!$H$64</c:f>
              <c:strCache>
                <c:ptCount val="1"/>
                <c:pt idx="0">
                  <c:v> TM </c:v>
                </c:pt>
              </c:strCache>
            </c:strRef>
          </c:cat>
          <c:val>
            <c:numRef>
              <c:f>Butiskais_grafiski!$M$64</c:f>
              <c:numCache>
                <c:formatCode>0%</c:formatCode>
                <c:ptCount val="1"/>
                <c:pt idx="0">
                  <c:v>1</c:v>
                </c:pt>
              </c:numCache>
            </c:numRef>
          </c:val>
          <c:extLst>
            <c:ext xmlns:c16="http://schemas.microsoft.com/office/drawing/2014/chart" uri="{C3380CC4-5D6E-409C-BE32-E72D297353CC}">
              <c16:uniqueId val="{00000000-023F-4AA8-BDBF-7D9E7135E7F8}"/>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cat>
            <c:strRef>
              <c:f>Butiskais_grafiski!$H$67</c:f>
              <c:strCache>
                <c:ptCount val="1"/>
                <c:pt idx="0">
                  <c:v> VARAM </c:v>
                </c:pt>
              </c:strCache>
            </c:strRef>
          </c:cat>
          <c:val>
            <c:numRef>
              <c:f>Butiskais_grafiski!$F$53</c:f>
              <c:numCache>
                <c:formatCode>0%</c:formatCode>
                <c:ptCount val="1"/>
              </c:numCache>
            </c:numRef>
          </c:val>
          <c:extLst>
            <c:ext xmlns:c16="http://schemas.microsoft.com/office/drawing/2014/chart" uri="{C3380CC4-5D6E-409C-BE32-E72D297353CC}">
              <c16:uniqueId val="{00000000-61FF-4A2C-823E-08B6D1C1D165}"/>
            </c:ext>
          </c:extLst>
        </c:ser>
        <c:ser>
          <c:idx val="1"/>
          <c:order val="1"/>
          <c:spPr>
            <a:solidFill>
              <a:schemeClr val="bg1">
                <a:lumMod val="95000"/>
              </a:schemeClr>
            </a:solidFill>
            <a:ln>
              <a:noFill/>
            </a:ln>
            <a:effectLst/>
          </c:spPr>
          <c:invertIfNegative val="0"/>
          <c:dPt>
            <c:idx val="0"/>
            <c:invertIfNegative val="0"/>
            <c:bubble3D val="0"/>
            <c:spPr>
              <a:solidFill>
                <a:srgbClr val="4A773C"/>
              </a:solidFill>
              <a:ln>
                <a:noFill/>
              </a:ln>
              <a:effectLst/>
            </c:spPr>
            <c:extLst>
              <c:ext xmlns:c16="http://schemas.microsoft.com/office/drawing/2014/chart" uri="{C3380CC4-5D6E-409C-BE32-E72D297353CC}">
                <c16:uniqueId val="{00000002-61FF-4A2C-823E-08B6D1C1D165}"/>
              </c:ext>
            </c:extLst>
          </c:dPt>
          <c:cat>
            <c:strRef>
              <c:f>Butiskais_grafiski!$H$67</c:f>
              <c:strCache>
                <c:ptCount val="1"/>
                <c:pt idx="0">
                  <c:v> VARAM </c:v>
                </c:pt>
              </c:strCache>
            </c:strRef>
          </c:cat>
          <c:val>
            <c:numRef>
              <c:f>Butiskais_grafiski!$M$67</c:f>
              <c:numCache>
                <c:formatCode>0%</c:formatCode>
                <c:ptCount val="1"/>
                <c:pt idx="0">
                  <c:v>0.2011680322634766</c:v>
                </c:pt>
              </c:numCache>
            </c:numRef>
          </c:val>
          <c:extLst>
            <c:ext xmlns:c16="http://schemas.microsoft.com/office/drawing/2014/chart" uri="{C3380CC4-5D6E-409C-BE32-E72D297353CC}">
              <c16:uniqueId val="{00000003-61FF-4A2C-823E-08B6D1C1D165}"/>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425563"/>
            </a:solidFill>
            <a:ln>
              <a:noFill/>
            </a:ln>
            <a:effectLst/>
          </c:spPr>
          <c:invertIfNegative val="0"/>
          <c:cat>
            <c:strRef>
              <c:f>Butiskais_grafiski!$H$68</c:f>
              <c:strCache>
                <c:ptCount val="1"/>
                <c:pt idx="0">
                  <c:v> SM </c:v>
                </c:pt>
              </c:strCache>
            </c:strRef>
          </c:cat>
          <c:val>
            <c:numRef>
              <c:f>Butiskais_grafiski!$M$68</c:f>
              <c:numCache>
                <c:formatCode>0%</c:formatCode>
                <c:ptCount val="1"/>
                <c:pt idx="0">
                  <c:v>0.19105038286649603</c:v>
                </c:pt>
              </c:numCache>
            </c:numRef>
          </c:val>
          <c:extLst>
            <c:ext xmlns:c16="http://schemas.microsoft.com/office/drawing/2014/chart" uri="{C3380CC4-5D6E-409C-BE32-E72D297353CC}">
              <c16:uniqueId val="{00000000-FD47-4BAB-B365-AE8F4A98970B}"/>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dPt>
            <c:idx val="0"/>
            <c:invertIfNegative val="0"/>
            <c:bubble3D val="0"/>
            <c:spPr>
              <a:solidFill>
                <a:srgbClr val="227B8B"/>
              </a:solidFill>
              <a:ln>
                <a:noFill/>
              </a:ln>
              <a:effectLst/>
            </c:spPr>
            <c:extLst>
              <c:ext xmlns:c16="http://schemas.microsoft.com/office/drawing/2014/chart" uri="{C3380CC4-5D6E-409C-BE32-E72D297353CC}">
                <c16:uniqueId val="{00000001-FC49-4B57-BC02-74356A79CB7E}"/>
              </c:ext>
            </c:extLst>
          </c:dPt>
          <c:cat>
            <c:strRef>
              <c:f>Butiskais_grafiski!$H$69</c:f>
              <c:strCache>
                <c:ptCount val="1"/>
                <c:pt idx="0">
                  <c:v> EM </c:v>
                </c:pt>
              </c:strCache>
            </c:strRef>
          </c:cat>
          <c:val>
            <c:numRef>
              <c:f>Butiskais_grafiski!$M$69</c:f>
              <c:numCache>
                <c:formatCode>0%</c:formatCode>
                <c:ptCount val="1"/>
                <c:pt idx="0">
                  <c:v>0.3021025315649602</c:v>
                </c:pt>
              </c:numCache>
            </c:numRef>
          </c:val>
          <c:extLst>
            <c:ext xmlns:c16="http://schemas.microsoft.com/office/drawing/2014/chart" uri="{C3380CC4-5D6E-409C-BE32-E72D297353CC}">
              <c16:uniqueId val="{00000002-FC49-4B57-BC02-74356A79CB7E}"/>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506208316848074E-2"/>
          <c:y val="2.2884943804757037E-2"/>
          <c:w val="0.7493209958846605"/>
          <c:h val="0.99723965199722198"/>
        </c:manualLayout>
      </c:layout>
      <c:doughnutChart>
        <c:varyColors val="1"/>
        <c:ser>
          <c:idx val="0"/>
          <c:order val="0"/>
          <c:dPt>
            <c:idx val="0"/>
            <c:bubble3D val="0"/>
            <c:spPr>
              <a:solidFill>
                <a:srgbClr val="4A773C"/>
              </a:solidFill>
              <a:ln w="19050">
                <a:solidFill>
                  <a:schemeClr val="lt1"/>
                </a:solidFill>
              </a:ln>
              <a:effectLst/>
            </c:spPr>
            <c:extLst>
              <c:ext xmlns:c16="http://schemas.microsoft.com/office/drawing/2014/chart" uri="{C3380CC4-5D6E-409C-BE32-E72D297353CC}">
                <c16:uniqueId val="{00000001-B0C8-4545-85DB-D54A4CB0B981}"/>
              </c:ext>
            </c:extLst>
          </c:dPt>
          <c:dPt>
            <c:idx val="1"/>
            <c:bubble3D val="0"/>
            <c:spPr>
              <a:solidFill>
                <a:srgbClr val="425563"/>
              </a:solidFill>
              <a:ln w="19050">
                <a:solidFill>
                  <a:schemeClr val="lt1"/>
                </a:solidFill>
              </a:ln>
              <a:effectLst/>
            </c:spPr>
            <c:extLst>
              <c:ext xmlns:c16="http://schemas.microsoft.com/office/drawing/2014/chart" uri="{C3380CC4-5D6E-409C-BE32-E72D297353CC}">
                <c16:uniqueId val="{00000003-B0C8-4545-85DB-D54A4CB0B981}"/>
              </c:ext>
            </c:extLst>
          </c:dPt>
          <c:dPt>
            <c:idx val="2"/>
            <c:bubble3D val="0"/>
            <c:spPr>
              <a:solidFill>
                <a:srgbClr val="227B8B"/>
              </a:solidFill>
              <a:ln w="19050">
                <a:solidFill>
                  <a:schemeClr val="lt1"/>
                </a:solidFill>
              </a:ln>
              <a:effectLst>
                <a:glow>
                  <a:schemeClr val="accent1">
                    <a:alpha val="40000"/>
                  </a:schemeClr>
                </a:glow>
              </a:effectLst>
            </c:spPr>
            <c:extLst>
              <c:ext xmlns:c16="http://schemas.microsoft.com/office/drawing/2014/chart" uri="{C3380CC4-5D6E-409C-BE32-E72D297353CC}">
                <c16:uniqueId val="{00000005-B0C8-4545-85DB-D54A4CB0B981}"/>
              </c:ext>
            </c:extLst>
          </c:dPt>
          <c:dPt>
            <c:idx val="3"/>
            <c:bubble3D val="0"/>
            <c:spPr>
              <a:solidFill>
                <a:srgbClr val="68478D"/>
              </a:solidFill>
              <a:ln w="19050">
                <a:solidFill>
                  <a:schemeClr val="lt1"/>
                </a:solidFill>
              </a:ln>
              <a:effectLst/>
            </c:spPr>
            <c:extLst>
              <c:ext xmlns:c16="http://schemas.microsoft.com/office/drawing/2014/chart" uri="{C3380CC4-5D6E-409C-BE32-E72D297353CC}">
                <c16:uniqueId val="{00000007-B0C8-4545-85DB-D54A4CB0B981}"/>
              </c:ext>
            </c:extLst>
          </c:dPt>
          <c:dPt>
            <c:idx val="4"/>
            <c:bubble3D val="0"/>
            <c:spPr>
              <a:solidFill>
                <a:srgbClr val="E57200"/>
              </a:solidFill>
              <a:ln w="19050">
                <a:solidFill>
                  <a:schemeClr val="lt1"/>
                </a:solidFill>
              </a:ln>
              <a:effectLst/>
            </c:spPr>
            <c:extLst>
              <c:ext xmlns:c16="http://schemas.microsoft.com/office/drawing/2014/chart" uri="{C3380CC4-5D6E-409C-BE32-E72D297353CC}">
                <c16:uniqueId val="{00000009-B0C8-4545-85DB-D54A4CB0B981}"/>
              </c:ext>
            </c:extLst>
          </c:dPt>
          <c:dPt>
            <c:idx val="5"/>
            <c:bubble3D val="0"/>
            <c:spPr>
              <a:solidFill>
                <a:srgbClr val="6BA539"/>
              </a:solidFill>
              <a:ln w="19050">
                <a:solidFill>
                  <a:schemeClr val="lt1"/>
                </a:solidFill>
              </a:ln>
              <a:effectLst/>
            </c:spPr>
            <c:extLst>
              <c:ext xmlns:c16="http://schemas.microsoft.com/office/drawing/2014/chart" uri="{C3380CC4-5D6E-409C-BE32-E72D297353CC}">
                <c16:uniqueId val="{0000000B-B0C8-4545-85DB-D54A4CB0B981}"/>
              </c:ext>
            </c:extLst>
          </c:dPt>
          <c:dPt>
            <c:idx val="6"/>
            <c:bubble3D val="0"/>
            <c:spPr>
              <a:solidFill>
                <a:srgbClr val="012169"/>
              </a:solidFill>
              <a:ln w="19050">
                <a:solidFill>
                  <a:schemeClr val="lt1"/>
                </a:solidFill>
              </a:ln>
              <a:effectLst/>
            </c:spPr>
            <c:extLst>
              <c:ext xmlns:c16="http://schemas.microsoft.com/office/drawing/2014/chart" uri="{C3380CC4-5D6E-409C-BE32-E72D297353CC}">
                <c16:uniqueId val="{0000000D-B0C8-4545-85DB-D54A4CB0B981}"/>
              </c:ext>
            </c:extLst>
          </c:dPt>
          <c:dPt>
            <c:idx val="7"/>
            <c:bubble3D val="0"/>
            <c:spPr>
              <a:solidFill>
                <a:srgbClr val="1F2A44"/>
              </a:solidFill>
              <a:ln w="19050">
                <a:solidFill>
                  <a:schemeClr val="lt1"/>
                </a:solidFill>
              </a:ln>
              <a:effectLst/>
            </c:spPr>
            <c:extLst>
              <c:ext xmlns:c16="http://schemas.microsoft.com/office/drawing/2014/chart" uri="{C3380CC4-5D6E-409C-BE32-E72D297353CC}">
                <c16:uniqueId val="{00000004-954E-48DE-BC5C-9E277D1EE382}"/>
              </c:ext>
            </c:extLst>
          </c:dPt>
          <c:dPt>
            <c:idx val="8"/>
            <c:bubble3D val="0"/>
            <c:spPr>
              <a:solidFill>
                <a:srgbClr val="155452"/>
              </a:solidFill>
              <a:ln w="19050">
                <a:solidFill>
                  <a:schemeClr val="lt1"/>
                </a:solidFill>
              </a:ln>
              <a:effectLst/>
            </c:spPr>
            <c:extLst>
              <c:ext xmlns:c16="http://schemas.microsoft.com/office/drawing/2014/chart" uri="{C3380CC4-5D6E-409C-BE32-E72D297353CC}">
                <c16:uniqueId val="{00000011-B0C8-4545-85DB-D54A4CB0B981}"/>
              </c:ext>
            </c:extLst>
          </c:dPt>
          <c:dPt>
            <c:idx val="9"/>
            <c:bubble3D val="0"/>
            <c:spPr>
              <a:solidFill>
                <a:srgbClr val="E4002B"/>
              </a:solidFill>
              <a:ln w="19050">
                <a:solidFill>
                  <a:schemeClr val="lt1"/>
                </a:solidFill>
              </a:ln>
              <a:effectLst/>
            </c:spPr>
            <c:extLst>
              <c:ext xmlns:c16="http://schemas.microsoft.com/office/drawing/2014/chart" uri="{C3380CC4-5D6E-409C-BE32-E72D297353CC}">
                <c16:uniqueId val="{00000003-954E-48DE-BC5C-9E277D1EE382}"/>
              </c:ext>
            </c:extLst>
          </c:dPt>
          <c:dPt>
            <c:idx val="10"/>
            <c:bubble3D val="0"/>
            <c:spPr>
              <a:solidFill>
                <a:srgbClr val="9D2235"/>
              </a:solidFill>
              <a:ln w="19050">
                <a:solidFill>
                  <a:schemeClr val="lt1"/>
                </a:solidFill>
              </a:ln>
              <a:effectLst/>
            </c:spPr>
            <c:extLst>
              <c:ext xmlns:c16="http://schemas.microsoft.com/office/drawing/2014/chart" uri="{C3380CC4-5D6E-409C-BE32-E72D297353CC}">
                <c16:uniqueId val="{00000002-954E-48DE-BC5C-9E277D1EE382}"/>
              </c:ext>
            </c:extLst>
          </c:dPt>
          <c:dPt>
            <c:idx val="11"/>
            <c:bubble3D val="0"/>
            <c:spPr>
              <a:solidFill>
                <a:srgbClr val="840B55"/>
              </a:solidFill>
              <a:ln w="19050">
                <a:solidFill>
                  <a:schemeClr val="lt1"/>
                </a:solidFill>
              </a:ln>
              <a:effectLst/>
            </c:spPr>
            <c:extLst>
              <c:ext xmlns:c16="http://schemas.microsoft.com/office/drawing/2014/chart" uri="{C3380CC4-5D6E-409C-BE32-E72D297353CC}">
                <c16:uniqueId val="{00000001-954E-48DE-BC5C-9E277D1EE382}"/>
              </c:ext>
            </c:extLst>
          </c:dPt>
          <c:dLbls>
            <c:dLbl>
              <c:idx val="4"/>
              <c:layout>
                <c:manualLayout>
                  <c:x val="-2.3371140311385045E-2"/>
                  <c:y val="3.463202872958572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0C8-4545-85DB-D54A4CB0B981}"/>
                </c:ext>
              </c:extLst>
            </c:dLbl>
            <c:dLbl>
              <c:idx val="5"/>
              <c:layout>
                <c:manualLayout>
                  <c:x val="-1.5122502554425633E-2"/>
                  <c:y val="-2.1645017955991075E-3"/>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0C8-4545-85DB-D54A4CB0B981}"/>
                </c:ext>
              </c:extLst>
            </c:dLbl>
            <c:dLbl>
              <c:idx val="6"/>
              <c:layout>
                <c:manualLayout>
                  <c:x val="-1.0998183675945903E-2"/>
                  <c:y val="-2.1645017955991075E-3"/>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B0C8-4545-85DB-D54A4CB0B981}"/>
                </c:ext>
              </c:extLst>
            </c:dLbl>
            <c:dLbl>
              <c:idx val="7"/>
              <c:layout>
                <c:manualLayout>
                  <c:x val="-8.1801565658588857E-2"/>
                  <c:y val="-2.9739188888966693E-3"/>
                </c:manualLayout>
              </c:layout>
              <c:spPr>
                <a:solidFill>
                  <a:srgbClr val="1F2A44"/>
                </a:solid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54E-48DE-BC5C-9E277D1EE382}"/>
                </c:ext>
              </c:extLst>
            </c:dLbl>
            <c:dLbl>
              <c:idx val="8"/>
              <c:layout>
                <c:manualLayout>
                  <c:x val="-8.7385704112888138E-2"/>
                  <c:y val="-1.4069260624594581E-2"/>
                </c:manualLayout>
              </c:layout>
              <c:spPr>
                <a:solidFill>
                  <a:srgbClr val="155452"/>
                </a:solid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15:layout>
                    <c:manualLayout>
                      <c:w val="0.14731600103556125"/>
                      <c:h val="3.1569341787897054E-2"/>
                    </c:manualLayout>
                  </c15:layout>
                </c:ext>
                <c:ext xmlns:c16="http://schemas.microsoft.com/office/drawing/2014/chart" uri="{C3380CC4-5D6E-409C-BE32-E72D297353CC}">
                  <c16:uniqueId val="{00000011-B0C8-4545-85DB-D54A4CB0B981}"/>
                </c:ext>
              </c:extLst>
            </c:dLbl>
            <c:dLbl>
              <c:idx val="9"/>
              <c:layout>
                <c:manualLayout>
                  <c:x val="-9.8201938030149663E-2"/>
                  <c:y val="-3.2395775179561874E-2"/>
                </c:manualLayout>
              </c:layout>
              <c:spPr>
                <a:solidFill>
                  <a:srgbClr val="E4002B"/>
                </a:solid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15:layout>
                    <c:manualLayout>
                      <c:w val="0.14276000987729318"/>
                      <c:h val="2.5219188659799722E-2"/>
                    </c:manualLayout>
                  </c15:layout>
                </c:ext>
                <c:ext xmlns:c16="http://schemas.microsoft.com/office/drawing/2014/chart" uri="{C3380CC4-5D6E-409C-BE32-E72D297353CC}">
                  <c16:uniqueId val="{00000003-954E-48DE-BC5C-9E277D1EE382}"/>
                </c:ext>
              </c:extLst>
            </c:dLbl>
            <c:dLbl>
              <c:idx val="10"/>
              <c:layout>
                <c:manualLayout>
                  <c:x val="-0.10394612158477751"/>
                  <c:y val="-4.2234189594271866E-2"/>
                </c:manualLayout>
              </c:layout>
              <c:spPr>
                <a:solidFill>
                  <a:srgbClr val="9D2235"/>
                </a:solid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15:layout>
                    <c:manualLayout>
                      <c:w val="0.14608710419965903"/>
                      <c:h val="2.7112064465982039E-2"/>
                    </c:manualLayout>
                  </c15:layout>
                </c:ext>
                <c:ext xmlns:c16="http://schemas.microsoft.com/office/drawing/2014/chart" uri="{C3380CC4-5D6E-409C-BE32-E72D297353CC}">
                  <c16:uniqueId val="{00000002-954E-48DE-BC5C-9E277D1EE382}"/>
                </c:ext>
              </c:extLst>
            </c:dLbl>
            <c:dLbl>
              <c:idx val="11"/>
              <c:layout>
                <c:manualLayout>
                  <c:x val="-0.10640157019213647"/>
                  <c:y val="-7.7983012655781309E-2"/>
                </c:manualLayout>
              </c:layout>
              <c:spPr>
                <a:solidFill>
                  <a:srgbClr val="840B55"/>
                </a:solid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extLst>
                <c:ext xmlns:c15="http://schemas.microsoft.com/office/drawing/2012/chart" uri="{CE6537A1-D6FC-4f65-9D91-7224C49458BB}">
                  <c15:layout>
                    <c:manualLayout>
                      <c:w val="0.14574005858215403"/>
                      <c:h val="3.3160301660123737E-2"/>
                    </c:manualLayout>
                  </c15:layout>
                </c:ext>
                <c:ext xmlns:c16="http://schemas.microsoft.com/office/drawing/2014/chart" uri="{C3380CC4-5D6E-409C-BE32-E72D297353CC}">
                  <c16:uniqueId val="{00000001-954E-48DE-BC5C-9E277D1EE382}"/>
                </c:ext>
              </c:extLst>
            </c:dLbl>
            <c:spPr>
              <a:noFill/>
              <a:ln>
                <a:noFill/>
              </a:ln>
              <a:effectLst/>
            </c:spPr>
            <c:txPr>
              <a:bodyPr rot="0" spcFirstLastPara="1" vertOverflow="ellipsis" vert="horz" wrap="square" anchor="ctr" anchorCtr="1"/>
              <a:lstStyle/>
              <a:p>
                <a:pPr>
                  <a:defRPr lang="en-US"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Butiskais_grafiski!$Z$16:$Z$27</c:f>
              <c:strCache>
                <c:ptCount val="12"/>
                <c:pt idx="0">
                  <c:v>VARAM</c:v>
                </c:pt>
                <c:pt idx="1">
                  <c:v>SM</c:v>
                </c:pt>
                <c:pt idx="2">
                  <c:v>EM</c:v>
                </c:pt>
                <c:pt idx="3">
                  <c:v>IZM</c:v>
                </c:pt>
                <c:pt idx="4">
                  <c:v>VM</c:v>
                </c:pt>
                <c:pt idx="5">
                  <c:v>LM</c:v>
                </c:pt>
                <c:pt idx="6">
                  <c:v>FM</c:v>
                </c:pt>
                <c:pt idx="7">
                  <c:v>KEM</c:v>
                </c:pt>
                <c:pt idx="8">
                  <c:v>KM</c:v>
                </c:pt>
                <c:pt idx="9">
                  <c:v>IeM</c:v>
                </c:pt>
                <c:pt idx="10">
                  <c:v>VK</c:v>
                </c:pt>
                <c:pt idx="11">
                  <c:v>TM</c:v>
                </c:pt>
              </c:strCache>
            </c:strRef>
          </c:cat>
          <c:val>
            <c:numRef>
              <c:f>Butiskais_grafiski!$AA$16:$AA$27</c:f>
              <c:numCache>
                <c:formatCode>_(* #,##0.00_);_(* \(#,##0.00\);_(* "-"??_);_(@_)</c:formatCode>
                <c:ptCount val="12"/>
                <c:pt idx="0">
                  <c:v>891.57855700000005</c:v>
                </c:pt>
                <c:pt idx="1">
                  <c:v>841.37082599999997</c:v>
                </c:pt>
                <c:pt idx="2">
                  <c:v>820.60003700000004</c:v>
                </c:pt>
                <c:pt idx="3">
                  <c:v>653.92337099999997</c:v>
                </c:pt>
                <c:pt idx="4">
                  <c:v>374.39567799999998</c:v>
                </c:pt>
                <c:pt idx="5">
                  <c:v>295.08500600000002</c:v>
                </c:pt>
                <c:pt idx="6">
                  <c:v>181.02720360500004</c:v>
                </c:pt>
                <c:pt idx="7">
                  <c:v>100.686295</c:v>
                </c:pt>
                <c:pt idx="8">
                  <c:v>75.410982000000004</c:v>
                </c:pt>
                <c:pt idx="9">
                  <c:v>74.794476000000003</c:v>
                </c:pt>
                <c:pt idx="10">
                  <c:v>58.816425000000002</c:v>
                </c:pt>
                <c:pt idx="11">
                  <c:v>6.7040579999999999</c:v>
                </c:pt>
              </c:numCache>
            </c:numRef>
          </c:val>
          <c:extLst>
            <c:ext xmlns:c16="http://schemas.microsoft.com/office/drawing/2014/chart" uri="{C3380CC4-5D6E-409C-BE32-E72D297353CC}">
              <c16:uniqueId val="{00000000-954E-48DE-BC5C-9E277D1EE382}"/>
            </c:ext>
          </c:extLst>
        </c:ser>
        <c:dLbls>
          <c:showLegendKey val="0"/>
          <c:showVal val="0"/>
          <c:showCatName val="0"/>
          <c:showSerName val="0"/>
          <c:showPercent val="0"/>
          <c:showBubbleSize val="0"/>
          <c:showLeaderLines val="1"/>
        </c:dLbls>
        <c:firstSliceAng val="293"/>
        <c:holeSize val="45"/>
      </c:doughnutChart>
      <c:spPr>
        <a:noFill/>
        <a:ln>
          <a:noFill/>
        </a:ln>
        <a:effectLst/>
      </c:spPr>
    </c:plotArea>
    <c:legend>
      <c:legendPos val="b"/>
      <c:legendEntry>
        <c:idx val="7"/>
        <c:txPr>
          <a:bodyPr rot="0" spcFirstLastPara="1" vertOverflow="ellipsis" vert="horz"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Entry>
      <c:layout>
        <c:manualLayout>
          <c:xMode val="edge"/>
          <c:yMode val="edge"/>
          <c:x val="0.88714680589335182"/>
          <c:y val="6.1590779413443035E-3"/>
          <c:w val="0.11268213728136836"/>
          <c:h val="0.97065251626155402"/>
        </c:manualLayout>
      </c:layout>
      <c:overlay val="0"/>
      <c:spPr>
        <a:noFill/>
        <a:ln>
          <a:noFill/>
        </a:ln>
        <a:effectLst/>
      </c:spPr>
      <c:txPr>
        <a:bodyPr rot="0" spcFirstLastPara="1" vertOverflow="ellipsis" vert="horz"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68478D"/>
            </a:solidFill>
            <a:ln>
              <a:noFill/>
            </a:ln>
            <a:effectLst/>
          </c:spPr>
          <c:invertIfNegative val="0"/>
          <c:cat>
            <c:strRef>
              <c:f>Butiskais_grafiski!$H$70</c:f>
              <c:strCache>
                <c:ptCount val="1"/>
                <c:pt idx="0">
                  <c:v> IZM </c:v>
                </c:pt>
              </c:strCache>
            </c:strRef>
          </c:cat>
          <c:val>
            <c:numRef>
              <c:f>Butiskais_grafiski!$M$70</c:f>
              <c:numCache>
                <c:formatCode>0%</c:formatCode>
                <c:ptCount val="1"/>
                <c:pt idx="0">
                  <c:v>0.17901864961789235</c:v>
                </c:pt>
              </c:numCache>
            </c:numRef>
          </c:val>
          <c:extLst>
            <c:ext xmlns:c16="http://schemas.microsoft.com/office/drawing/2014/chart" uri="{C3380CC4-5D6E-409C-BE32-E72D297353CC}">
              <c16:uniqueId val="{00000000-7937-40FA-8B93-96A2C27F546A}"/>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dPt>
            <c:idx val="0"/>
            <c:invertIfNegative val="0"/>
            <c:bubble3D val="0"/>
            <c:spPr>
              <a:solidFill>
                <a:srgbClr val="E57200"/>
              </a:solidFill>
              <a:ln>
                <a:noFill/>
              </a:ln>
              <a:effectLst/>
            </c:spPr>
            <c:extLst>
              <c:ext xmlns:c16="http://schemas.microsoft.com/office/drawing/2014/chart" uri="{C3380CC4-5D6E-409C-BE32-E72D297353CC}">
                <c16:uniqueId val="{00000001-3053-4446-BD3A-0DD5714D2C18}"/>
              </c:ext>
            </c:extLst>
          </c:dPt>
          <c:cat>
            <c:strRef>
              <c:f>Butiskais_grafiski!$H$71</c:f>
              <c:strCache>
                <c:ptCount val="1"/>
                <c:pt idx="0">
                  <c:v> VM </c:v>
                </c:pt>
              </c:strCache>
            </c:strRef>
          </c:cat>
          <c:val>
            <c:numRef>
              <c:f>Butiskais_grafiski!$M$71</c:f>
              <c:numCache>
                <c:formatCode>0%</c:formatCode>
                <c:ptCount val="1"/>
                <c:pt idx="0">
                  <c:v>0.23928610337750747</c:v>
                </c:pt>
              </c:numCache>
            </c:numRef>
          </c:val>
          <c:extLst>
            <c:ext xmlns:c16="http://schemas.microsoft.com/office/drawing/2014/chart" uri="{C3380CC4-5D6E-409C-BE32-E72D297353CC}">
              <c16:uniqueId val="{00000002-3053-4446-BD3A-0DD5714D2C18}"/>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6BA539"/>
            </a:solidFill>
            <a:ln>
              <a:noFill/>
            </a:ln>
            <a:effectLst/>
          </c:spPr>
          <c:invertIfNegative val="0"/>
          <c:cat>
            <c:strRef>
              <c:f>Butiskais_grafiski!$H$72</c:f>
              <c:strCache>
                <c:ptCount val="1"/>
                <c:pt idx="0">
                  <c:v> LM </c:v>
                </c:pt>
              </c:strCache>
            </c:strRef>
          </c:cat>
          <c:val>
            <c:numRef>
              <c:f>Butiskais_grafiski!$M$72</c:f>
              <c:numCache>
                <c:formatCode>0%</c:formatCode>
                <c:ptCount val="1"/>
                <c:pt idx="0">
                  <c:v>0.17508323022010819</c:v>
                </c:pt>
              </c:numCache>
            </c:numRef>
          </c:val>
          <c:extLst>
            <c:ext xmlns:c16="http://schemas.microsoft.com/office/drawing/2014/chart" uri="{C3380CC4-5D6E-409C-BE32-E72D297353CC}">
              <c16:uniqueId val="{00000000-B5F4-47DC-A415-2681B45F1F5D}"/>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012169"/>
            </a:solidFill>
            <a:ln>
              <a:noFill/>
            </a:ln>
            <a:effectLst/>
          </c:spPr>
          <c:invertIfNegative val="0"/>
          <c:cat>
            <c:strRef>
              <c:f>Butiskais_grafiski!$H$73</c:f>
              <c:strCache>
                <c:ptCount val="1"/>
                <c:pt idx="0">
                  <c:v> IeM </c:v>
                </c:pt>
              </c:strCache>
            </c:strRef>
          </c:cat>
          <c:val>
            <c:numRef>
              <c:f>Butiskais_grafiski!$M$73</c:f>
              <c:numCache>
                <c:formatCode>0%</c:formatCode>
                <c:ptCount val="1"/>
                <c:pt idx="0">
                  <c:v>0.42522781690229478</c:v>
                </c:pt>
              </c:numCache>
            </c:numRef>
          </c:val>
          <c:extLst>
            <c:ext xmlns:c16="http://schemas.microsoft.com/office/drawing/2014/chart" uri="{C3380CC4-5D6E-409C-BE32-E72D297353CC}">
              <c16:uniqueId val="{00000000-9A90-4604-BE60-F457AA921EE2}"/>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1F2A44"/>
            </a:solidFill>
            <a:ln>
              <a:noFill/>
            </a:ln>
            <a:effectLst/>
          </c:spPr>
          <c:invertIfNegative val="0"/>
          <c:cat>
            <c:strRef>
              <c:f>Butiskais_grafiski!$H$74</c:f>
              <c:strCache>
                <c:ptCount val="1"/>
                <c:pt idx="0">
                  <c:v> FM </c:v>
                </c:pt>
              </c:strCache>
            </c:strRef>
          </c:cat>
          <c:val>
            <c:numRef>
              <c:f>Butiskais_grafiski!$M$74</c:f>
              <c:numCache>
                <c:formatCode>0%</c:formatCode>
                <c:ptCount val="1"/>
                <c:pt idx="0">
                  <c:v>0.20694764951097805</c:v>
                </c:pt>
              </c:numCache>
            </c:numRef>
          </c:val>
          <c:extLst>
            <c:ext xmlns:c16="http://schemas.microsoft.com/office/drawing/2014/chart" uri="{C3380CC4-5D6E-409C-BE32-E72D297353CC}">
              <c16:uniqueId val="{00000000-4FE5-4100-9AA8-DCFD32E232F5}"/>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155452"/>
            </a:solidFill>
            <a:ln>
              <a:noFill/>
            </a:ln>
            <a:effectLst/>
          </c:spPr>
          <c:invertIfNegative val="0"/>
          <c:cat>
            <c:strRef>
              <c:f>Butiskais_grafiski!$H$75</c:f>
              <c:strCache>
                <c:ptCount val="1"/>
                <c:pt idx="0">
                  <c:v> KEM </c:v>
                </c:pt>
              </c:strCache>
            </c:strRef>
          </c:cat>
          <c:val>
            <c:numRef>
              <c:f>Butiskais_grafiski!$M$75</c:f>
              <c:numCache>
                <c:formatCode>0%</c:formatCode>
                <c:ptCount val="1"/>
                <c:pt idx="0">
                  <c:v>0.19571570023507173</c:v>
                </c:pt>
              </c:numCache>
            </c:numRef>
          </c:val>
          <c:extLst>
            <c:ext xmlns:c16="http://schemas.microsoft.com/office/drawing/2014/chart" uri="{C3380CC4-5D6E-409C-BE32-E72D297353CC}">
              <c16:uniqueId val="{00000000-B354-4A45-A5A7-6778C2F5FB4B}"/>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E4002B"/>
            </a:solidFill>
            <a:ln>
              <a:noFill/>
            </a:ln>
            <a:effectLst/>
          </c:spPr>
          <c:invertIfNegative val="0"/>
          <c:cat>
            <c:strRef>
              <c:f>Butiskais_grafiski!$H$76</c:f>
              <c:strCache>
                <c:ptCount val="1"/>
                <c:pt idx="0">
                  <c:v> KM </c:v>
                </c:pt>
              </c:strCache>
            </c:strRef>
          </c:cat>
          <c:val>
            <c:numRef>
              <c:f>Butiskais_grafiski!$M$76</c:f>
              <c:numCache>
                <c:formatCode>0%</c:formatCode>
                <c:ptCount val="1"/>
                <c:pt idx="0">
                  <c:v>0.28355815488291453</c:v>
                </c:pt>
              </c:numCache>
            </c:numRef>
          </c:val>
          <c:extLst>
            <c:ext xmlns:c16="http://schemas.microsoft.com/office/drawing/2014/chart" uri="{C3380CC4-5D6E-409C-BE32-E72D297353CC}">
              <c16:uniqueId val="{00000000-C8FC-4258-9672-64964628DE03}"/>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9D2235"/>
            </a:solidFill>
            <a:ln>
              <a:noFill/>
            </a:ln>
            <a:effectLst/>
          </c:spPr>
          <c:invertIfNegative val="0"/>
          <c:cat>
            <c:strRef>
              <c:f>Butiskais_grafiski!$H$77</c:f>
              <c:strCache>
                <c:ptCount val="1"/>
                <c:pt idx="0">
                  <c:v> VK </c:v>
                </c:pt>
              </c:strCache>
            </c:strRef>
          </c:cat>
          <c:val>
            <c:numRef>
              <c:f>Butiskais_grafiski!$M$77</c:f>
              <c:numCache>
                <c:formatCode>0%</c:formatCode>
                <c:ptCount val="1"/>
                <c:pt idx="0">
                  <c:v>0.12516770510958461</c:v>
                </c:pt>
              </c:numCache>
            </c:numRef>
          </c:val>
          <c:extLst>
            <c:ext xmlns:c16="http://schemas.microsoft.com/office/drawing/2014/chart" uri="{C3380CC4-5D6E-409C-BE32-E72D297353CC}">
              <c16:uniqueId val="{00000000-BF61-4C74-A01A-C0D29C3D3E51}"/>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840B55"/>
            </a:solidFill>
            <a:ln>
              <a:noFill/>
            </a:ln>
            <a:effectLst/>
          </c:spPr>
          <c:invertIfNegative val="0"/>
          <c:cat>
            <c:strRef>
              <c:f>Butiskais_grafiski!$H$78</c:f>
              <c:strCache>
                <c:ptCount val="1"/>
                <c:pt idx="0">
                  <c:v> TM </c:v>
                </c:pt>
              </c:strCache>
            </c:strRef>
          </c:cat>
          <c:val>
            <c:numRef>
              <c:f>Butiskais_grafiski!$M$78</c:f>
              <c:numCache>
                <c:formatCode>0%</c:formatCode>
                <c:ptCount val="1"/>
                <c:pt idx="0">
                  <c:v>0.28733710686870551</c:v>
                </c:pt>
              </c:numCache>
            </c:numRef>
          </c:val>
          <c:extLst>
            <c:ext xmlns:c16="http://schemas.microsoft.com/office/drawing/2014/chart" uri="{C3380CC4-5D6E-409C-BE32-E72D297353CC}">
              <c16:uniqueId val="{00000000-0CC4-43A5-9C32-3CBD7B46BBC7}"/>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368083989501313E-2"/>
          <c:y val="4.8369373855025877E-2"/>
          <c:w val="0.71435023622047233"/>
          <c:h val="0.94038564100989996"/>
        </c:manualLayout>
      </c:layout>
      <c:doughnutChart>
        <c:varyColors val="1"/>
        <c:ser>
          <c:idx val="0"/>
          <c:order val="0"/>
          <c:dPt>
            <c:idx val="0"/>
            <c:bubble3D val="0"/>
            <c:spPr>
              <a:solidFill>
                <a:srgbClr val="118DFF"/>
              </a:solidFill>
              <a:ln w="19050">
                <a:solidFill>
                  <a:schemeClr val="lt1"/>
                </a:solidFill>
              </a:ln>
              <a:effectLst/>
            </c:spPr>
            <c:extLst>
              <c:ext xmlns:c16="http://schemas.microsoft.com/office/drawing/2014/chart" uri="{C3380CC4-5D6E-409C-BE32-E72D297353CC}">
                <c16:uniqueId val="{00000001-1DC5-4843-AAB7-7B33412C84C1}"/>
              </c:ext>
            </c:extLst>
          </c:dPt>
          <c:dPt>
            <c:idx val="1"/>
            <c:bubble3D val="0"/>
            <c:spPr>
              <a:solidFill>
                <a:srgbClr val="808080"/>
              </a:solidFill>
              <a:ln w="19050">
                <a:solidFill>
                  <a:schemeClr val="lt1"/>
                </a:solidFill>
              </a:ln>
              <a:effectLst/>
            </c:spPr>
            <c:extLst>
              <c:ext xmlns:c16="http://schemas.microsoft.com/office/drawing/2014/chart" uri="{C3380CC4-5D6E-409C-BE32-E72D297353CC}">
                <c16:uniqueId val="{00000002-1DC5-4843-AAB7-7B33412C84C1}"/>
              </c:ext>
            </c:extLst>
          </c:dPt>
          <c:dPt>
            <c:idx val="2"/>
            <c:bubble3D val="0"/>
            <c:spPr>
              <a:solidFill>
                <a:srgbClr val="12239E"/>
              </a:solidFill>
              <a:ln w="19050">
                <a:solidFill>
                  <a:schemeClr val="lt1"/>
                </a:solidFill>
              </a:ln>
              <a:effectLst/>
            </c:spPr>
            <c:extLst>
              <c:ext xmlns:c16="http://schemas.microsoft.com/office/drawing/2014/chart" uri="{C3380CC4-5D6E-409C-BE32-E72D297353CC}">
                <c16:uniqueId val="{00000003-1DC5-4843-AAB7-7B33412C84C1}"/>
              </c:ext>
            </c:extLst>
          </c:dPt>
          <c:dPt>
            <c:idx val="3"/>
            <c:bubble3D val="0"/>
            <c:spPr>
              <a:solidFill>
                <a:srgbClr val="C5D2E1"/>
              </a:solidFill>
              <a:ln w="19050">
                <a:solidFill>
                  <a:schemeClr val="lt1"/>
                </a:solidFill>
              </a:ln>
              <a:effectLst/>
            </c:spPr>
            <c:extLst>
              <c:ext xmlns:c16="http://schemas.microsoft.com/office/drawing/2014/chart" uri="{C3380CC4-5D6E-409C-BE32-E72D297353CC}">
                <c16:uniqueId val="{00000004-1DC5-4843-AAB7-7B33412C84C1}"/>
              </c:ext>
            </c:extLst>
          </c:dPt>
          <c:dLbls>
            <c:dLbl>
              <c:idx val="0"/>
              <c:layout>
                <c:manualLayout>
                  <c:x val="4.0674878586116806E-2"/>
                  <c:y val="-0.44399550264451537"/>
                </c:manualLayout>
              </c:layout>
              <c:tx>
                <c:rich>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3FEC02FF-25E2-428A-973D-80FD6882084C}" type="CELLRANGE">
                      <a:rPr lang="en-US"/>
                      <a:pPr>
                        <a:defRPr>
                          <a:solidFill>
                            <a:sysClr val="windowText" lastClr="000000"/>
                          </a:solidFill>
                        </a:defRPr>
                      </a:pPr>
                      <a:t>[CELLRANGE]</a:t>
                    </a:fld>
                    <a:endParaRPr lang="lv-LV"/>
                  </a:p>
                </c:rich>
              </c:tx>
              <c:numFmt formatCode="General" sourceLinked="0"/>
              <c:spPr>
                <a:solidFill>
                  <a:srgbClr val="118DFF"/>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39040078157086683"/>
                      <c:h val="8.6743356991186016E-2"/>
                    </c:manualLayout>
                  </c15:layout>
                  <c15:dlblFieldTable/>
                  <c15:showDataLabelsRange val="1"/>
                </c:ext>
                <c:ext xmlns:c16="http://schemas.microsoft.com/office/drawing/2014/chart" uri="{C3380CC4-5D6E-409C-BE32-E72D297353CC}">
                  <c16:uniqueId val="{00000001-1DC5-4843-AAB7-7B33412C84C1}"/>
                </c:ext>
              </c:extLst>
            </c:dLbl>
            <c:dLbl>
              <c:idx val="1"/>
              <c:layout>
                <c:manualLayout>
                  <c:x val="0.1397236978611141"/>
                  <c:y val="5.9047255334912169E-3"/>
                </c:manualLayout>
              </c:layout>
              <c:tx>
                <c:rich>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E40D5AB2-30E7-420B-9400-FC4E7B5B357E}" type="CELLRANGE">
                      <a:rPr lang="en-US"/>
                      <a:pPr>
                        <a:defRPr>
                          <a:solidFill>
                            <a:sysClr val="windowText" lastClr="000000"/>
                          </a:solidFill>
                        </a:defRPr>
                      </a:pPr>
                      <a:t>[CELLRANGE]</a:t>
                    </a:fld>
                    <a:endParaRPr lang="lv-LV"/>
                  </a:p>
                </c:rich>
              </c:tx>
              <c:numFmt formatCode="General" sourceLinked="0"/>
              <c:spPr>
                <a:solidFill>
                  <a:srgbClr val="808080"/>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32472265453282823"/>
                      <c:h val="9.5087742469526004E-2"/>
                    </c:manualLayout>
                  </c15:layout>
                  <c15:dlblFieldTable/>
                  <c15:showDataLabelsRange val="1"/>
                </c:ext>
                <c:ext xmlns:c16="http://schemas.microsoft.com/office/drawing/2014/chart" uri="{C3380CC4-5D6E-409C-BE32-E72D297353CC}">
                  <c16:uniqueId val="{00000002-1DC5-4843-AAB7-7B33412C84C1}"/>
                </c:ext>
              </c:extLst>
            </c:dLbl>
            <c:dLbl>
              <c:idx val="2"/>
              <c:layout>
                <c:manualLayout>
                  <c:x val="0.14085986846501464"/>
                  <c:y val="3.1860754688698929E-2"/>
                </c:manualLayout>
              </c:layout>
              <c:tx>
                <c:rich>
                  <a:bodyPr rot="0" spcFirstLastPara="1" vertOverflow="ellipsis" vert="horz" wrap="square" anchor="ctr" anchorCtr="1"/>
                  <a:lstStyle/>
                  <a:p>
                    <a:pPr>
                      <a:defRPr sz="1400" b="0" i="0" u="none" strike="noStrike" kern="1200" baseline="0">
                        <a:solidFill>
                          <a:schemeClr val="bg1"/>
                        </a:solidFill>
                        <a:latin typeface="Verdana" panose="020B0604030504040204" pitchFamily="34" charset="0"/>
                        <a:ea typeface="Verdana" panose="020B0604030504040204" pitchFamily="34" charset="0"/>
                        <a:cs typeface="+mn-cs"/>
                      </a:defRPr>
                    </a:pPr>
                    <a:fld id="{6FD673C7-C8F6-43CB-802A-6A45E5C3B2BA}" type="CELLRANGE">
                      <a:rPr lang="en-US">
                        <a:solidFill>
                          <a:schemeClr val="bg1"/>
                        </a:solidFill>
                      </a:rPr>
                      <a:pPr>
                        <a:defRPr>
                          <a:solidFill>
                            <a:schemeClr val="bg1"/>
                          </a:solidFill>
                        </a:defRPr>
                      </a:pPr>
                      <a:t>[CELLRANGE]</a:t>
                    </a:fld>
                    <a:endParaRPr lang="lv-LV"/>
                  </a:p>
                </c:rich>
              </c:tx>
              <c:numFmt formatCode="General" sourceLinked="0"/>
              <c:spPr>
                <a:solidFill>
                  <a:srgbClr val="12239E"/>
                </a:solidFill>
                <a:ln>
                  <a:noFill/>
                </a:ln>
                <a:effectLst/>
              </c:spPr>
              <c:txPr>
                <a:bodyPr rot="0" spcFirstLastPara="1" vertOverflow="ellipsis" vert="horz" wrap="square" anchor="ctr" anchorCtr="1"/>
                <a:lstStyle/>
                <a:p>
                  <a:pPr>
                    <a:defRPr sz="1400" b="0" i="0" u="none" strike="noStrike" kern="1200" baseline="0">
                      <a:solidFill>
                        <a:schemeClr val="bg1"/>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3618100645689945"/>
                      <c:h val="7.1386988483123456E-2"/>
                    </c:manualLayout>
                  </c15:layout>
                  <c15:dlblFieldTable/>
                  <c15:showDataLabelsRange val="1"/>
                </c:ext>
                <c:ext xmlns:c16="http://schemas.microsoft.com/office/drawing/2014/chart" uri="{C3380CC4-5D6E-409C-BE32-E72D297353CC}">
                  <c16:uniqueId val="{00000003-1DC5-4843-AAB7-7B33412C84C1}"/>
                </c:ext>
              </c:extLst>
            </c:dLbl>
            <c:dLbl>
              <c:idx val="3"/>
              <c:layout>
                <c:manualLayout>
                  <c:x val="0.16539761108564152"/>
                  <c:y val="5.9973218013132629E-2"/>
                </c:manualLayout>
              </c:layout>
              <c:tx>
                <c:rich>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4BC4D654-E2F7-4F73-ADBC-565DF386E789}" type="CELLRANGE">
                      <a:rPr lang="en-US"/>
                      <a:pPr>
                        <a:defRPr>
                          <a:solidFill>
                            <a:sysClr val="windowText" lastClr="000000"/>
                          </a:solidFill>
                        </a:defRPr>
                      </a:pPr>
                      <a:t>[CELLRANGE]</a:t>
                    </a:fld>
                    <a:endParaRPr lang="lv-LV"/>
                  </a:p>
                </c:rich>
              </c:tx>
              <c:numFmt formatCode="General" sourceLinked="0"/>
              <c:spPr>
                <a:solidFill>
                  <a:srgbClr val="C5D2E1"/>
                </a:solid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33459940383974346"/>
                      <c:h val="7.5135317834978593E-2"/>
                    </c:manualLayout>
                  </c15:layout>
                  <c15:dlblFieldTable/>
                  <c15:showDataLabelsRange val="1"/>
                </c:ext>
                <c:ext xmlns:c16="http://schemas.microsoft.com/office/drawing/2014/chart" uri="{C3380CC4-5D6E-409C-BE32-E72D297353CC}">
                  <c16:uniqueId val="{00000004-1DC5-4843-AAB7-7B33412C84C1}"/>
                </c:ext>
              </c:extLst>
            </c:dLbl>
            <c:numFmt formatCode="General" sourceLinked="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Butiskais_grafiski!$Y$73:$Y$76</c:f>
              <c:strCache>
                <c:ptCount val="4"/>
                <c:pt idx="0">
                  <c:v>ERAF</c:v>
                </c:pt>
                <c:pt idx="1">
                  <c:v>KF</c:v>
                </c:pt>
                <c:pt idx="2">
                  <c:v>ESF+</c:v>
                </c:pt>
                <c:pt idx="3">
                  <c:v>TPF</c:v>
                </c:pt>
              </c:strCache>
            </c:strRef>
          </c:cat>
          <c:val>
            <c:numRef>
              <c:f>Butiskais_grafiski!$Z$73:$Z$76</c:f>
              <c:numCache>
                <c:formatCode>General</c:formatCode>
                <c:ptCount val="4"/>
                <c:pt idx="0">
                  <c:v>2666.4</c:v>
                </c:pt>
                <c:pt idx="1">
                  <c:v>864.5</c:v>
                </c:pt>
                <c:pt idx="2">
                  <c:v>651.9</c:v>
                </c:pt>
                <c:pt idx="3">
                  <c:v>191.6</c:v>
                </c:pt>
              </c:numCache>
            </c:numRef>
          </c:val>
          <c:extLst>
            <c:ext xmlns:c15="http://schemas.microsoft.com/office/drawing/2012/chart" uri="{02D57815-91ED-43cb-92C2-25804820EDAC}">
              <c15:datalabelsRange>
                <c15:f>Butiskais_grafiski!$AA$73:$AA$76</c15:f>
                <c15:dlblRangeCache>
                  <c:ptCount val="4"/>
                  <c:pt idx="0">
                    <c:v>ERAF 2 666,4; 61 %</c:v>
                  </c:pt>
                  <c:pt idx="1">
                    <c:v>KF 864,5; 20 %</c:v>
                  </c:pt>
                  <c:pt idx="2">
                    <c:v>ESF+ 651,9; 15 %</c:v>
                  </c:pt>
                  <c:pt idx="3">
                    <c:v>TPF 191,6; 4 %</c:v>
                  </c:pt>
                </c15:dlblRangeCache>
              </c15:datalabelsRange>
            </c:ext>
            <c:ext xmlns:c16="http://schemas.microsoft.com/office/drawing/2014/chart" uri="{C3380CC4-5D6E-409C-BE32-E72D297353CC}">
              <c16:uniqueId val="{00000000-1DC5-4843-AAB7-7B33412C84C1}"/>
            </c:ext>
          </c:extLst>
        </c:ser>
        <c:dLbls>
          <c:showLegendKey val="0"/>
          <c:showVal val="0"/>
          <c:showCatName val="0"/>
          <c:showSerName val="0"/>
          <c:showPercent val="0"/>
          <c:showBubbleSize val="0"/>
          <c:showLeaderLines val="0"/>
        </c:dLbls>
        <c:firstSliceAng val="155"/>
        <c:holeSize val="66"/>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70647026829551E-2"/>
          <c:y val="7.7312730274912839E-2"/>
          <c:w val="0.88164773207166658"/>
          <c:h val="0.86154769115399032"/>
        </c:manualLayout>
      </c:layout>
      <c:doughnutChart>
        <c:varyColors val="1"/>
        <c:ser>
          <c:idx val="0"/>
          <c:order val="0"/>
          <c:tx>
            <c:strRef>
              <c:f>Butiskais_grafiski!$Z$46:$Z$49</c:f>
              <c:strCache>
                <c:ptCount val="4"/>
                <c:pt idx="0">
                  <c:v>81,89881335</c:v>
                </c:pt>
                <c:pt idx="1">
                  <c:v>0,5</c:v>
                </c:pt>
                <c:pt idx="3">
                  <c:v>117,6011867</c:v>
                </c:pt>
              </c:strCache>
            </c:strRef>
          </c:tx>
          <c:spPr>
            <a:solidFill>
              <a:srgbClr val="0070C0"/>
            </a:solidFill>
            <a:ln>
              <a:noFill/>
            </a:ln>
          </c:spPr>
          <c:dPt>
            <c:idx val="0"/>
            <c:bubble3D val="0"/>
            <c:spPr>
              <a:solidFill>
                <a:srgbClr val="0070C0"/>
              </a:solidFill>
              <a:ln w="19050">
                <a:noFill/>
              </a:ln>
              <a:effectLst/>
            </c:spPr>
            <c:extLst>
              <c:ext xmlns:c16="http://schemas.microsoft.com/office/drawing/2014/chart" uri="{C3380CC4-5D6E-409C-BE32-E72D297353CC}">
                <c16:uniqueId val="{00000001-F0DF-42A9-83BC-F6EDD392B84D}"/>
              </c:ext>
            </c:extLst>
          </c:dPt>
          <c:dPt>
            <c:idx val="1"/>
            <c:bubble3D val="0"/>
            <c:spPr>
              <a:solidFill>
                <a:srgbClr val="0070C0"/>
              </a:solidFill>
              <a:ln w="19050">
                <a:noFill/>
              </a:ln>
              <a:effectLst/>
            </c:spPr>
            <c:extLst>
              <c:ext xmlns:c16="http://schemas.microsoft.com/office/drawing/2014/chart" uri="{C3380CC4-5D6E-409C-BE32-E72D297353CC}">
                <c16:uniqueId val="{00000003-F0DF-42A9-83BC-F6EDD392B84D}"/>
              </c:ext>
            </c:extLst>
          </c:dPt>
          <c:dPt>
            <c:idx val="2"/>
            <c:bubble3D val="0"/>
            <c:spPr>
              <a:solidFill>
                <a:srgbClr val="0070C0"/>
              </a:solidFill>
              <a:ln w="19050">
                <a:noFill/>
              </a:ln>
              <a:effectLst/>
            </c:spPr>
            <c:extLst>
              <c:ext xmlns:c16="http://schemas.microsoft.com/office/drawing/2014/chart" uri="{C3380CC4-5D6E-409C-BE32-E72D297353CC}">
                <c16:uniqueId val="{00000005-F0DF-42A9-83BC-F6EDD392B84D}"/>
              </c:ext>
            </c:extLst>
          </c:dPt>
          <c:dPt>
            <c:idx val="3"/>
            <c:bubble3D val="0"/>
            <c:spPr>
              <a:solidFill>
                <a:srgbClr val="0070C0"/>
              </a:solidFill>
              <a:ln w="19050">
                <a:noFill/>
              </a:ln>
              <a:effectLst/>
            </c:spPr>
            <c:extLst>
              <c:ext xmlns:c16="http://schemas.microsoft.com/office/drawing/2014/chart" uri="{C3380CC4-5D6E-409C-BE32-E72D297353CC}">
                <c16:uniqueId val="{00000007-F0DF-42A9-83BC-F6EDD392B84D}"/>
              </c:ext>
            </c:extLst>
          </c:dPt>
          <c:dPt>
            <c:idx val="4"/>
            <c:bubble3D val="0"/>
            <c:spPr>
              <a:solidFill>
                <a:schemeClr val="bg1">
                  <a:alpha val="0"/>
                </a:schemeClr>
              </a:solidFill>
              <a:ln w="19050">
                <a:noFill/>
              </a:ln>
              <a:effectLst/>
            </c:spPr>
            <c:extLst>
              <c:ext xmlns:c16="http://schemas.microsoft.com/office/drawing/2014/chart" uri="{C3380CC4-5D6E-409C-BE32-E72D297353CC}">
                <c16:uniqueId val="{00000009-F0DF-42A9-83BC-F6EDD392B84D}"/>
              </c:ext>
            </c:extLst>
          </c:dPt>
          <c:dPt>
            <c:idx val="5"/>
            <c:bubble3D val="0"/>
            <c:spPr>
              <a:noFill/>
              <a:ln w="19050">
                <a:noFill/>
              </a:ln>
              <a:effectLst/>
            </c:spPr>
            <c:extLst>
              <c:ext xmlns:c16="http://schemas.microsoft.com/office/drawing/2014/chart" uri="{C3380CC4-5D6E-409C-BE32-E72D297353CC}">
                <c16:uniqueId val="{0000000B-F0DF-42A9-83BC-F6EDD392B84D}"/>
              </c:ext>
            </c:extLst>
          </c:dPt>
          <c:dLbls>
            <c:delete val="1"/>
          </c:dLbls>
          <c:cat>
            <c:numRef>
              <c:f>Butiskais_grafiski!$Z$38:$Z$42</c:f>
              <c:numCache>
                <c:formatCode>General</c:formatCode>
                <c:ptCount val="5"/>
                <c:pt idx="0">
                  <c:v>0</c:v>
                </c:pt>
                <c:pt idx="3">
                  <c:v>100</c:v>
                </c:pt>
                <c:pt idx="4">
                  <c:v>100</c:v>
                </c:pt>
              </c:numCache>
            </c:numRef>
          </c:cat>
          <c:val>
            <c:numRef>
              <c:f>Butiskais_grafiski!$Z$38:$Z$42</c:f>
              <c:numCache>
                <c:formatCode>General</c:formatCode>
                <c:ptCount val="5"/>
                <c:pt idx="0">
                  <c:v>0</c:v>
                </c:pt>
                <c:pt idx="3">
                  <c:v>100</c:v>
                </c:pt>
                <c:pt idx="4">
                  <c:v>100</c:v>
                </c:pt>
              </c:numCache>
            </c:numRef>
          </c:val>
          <c:extLst>
            <c:ext xmlns:c16="http://schemas.microsoft.com/office/drawing/2014/chart" uri="{C3380CC4-5D6E-409C-BE32-E72D297353CC}">
              <c16:uniqueId val="{0000000C-F0DF-42A9-83BC-F6EDD392B84D}"/>
            </c:ext>
          </c:extLst>
        </c:ser>
        <c:dLbls>
          <c:showLegendKey val="0"/>
          <c:showVal val="1"/>
          <c:showCatName val="0"/>
          <c:showSerName val="0"/>
          <c:showPercent val="0"/>
          <c:showBubbleSize val="0"/>
          <c:showLeaderLines val="1"/>
        </c:dLbls>
        <c:firstSliceAng val="270"/>
        <c:holeSize val="71"/>
      </c:doughnutChart>
      <c:pieChart>
        <c:varyColors val="1"/>
        <c:ser>
          <c:idx val="1"/>
          <c:order val="1"/>
          <c:tx>
            <c:strRef>
              <c:f>Butiskais_grafiski!$Y$46</c:f>
              <c:strCache>
                <c:ptCount val="1"/>
                <c:pt idx="0">
                  <c:v>Value</c:v>
                </c:pt>
              </c:strCache>
            </c:strRef>
          </c:tx>
          <c:spPr>
            <a:ln>
              <a:noFill/>
            </a:ln>
          </c:spPr>
          <c:explosion val="11"/>
          <c:dPt>
            <c:idx val="0"/>
            <c:bubble3D val="0"/>
            <c:spPr>
              <a:noFill/>
              <a:ln w="19050">
                <a:noFill/>
              </a:ln>
              <a:effectLst/>
            </c:spPr>
            <c:extLst>
              <c:ext xmlns:c16="http://schemas.microsoft.com/office/drawing/2014/chart" uri="{C3380CC4-5D6E-409C-BE32-E72D297353CC}">
                <c16:uniqueId val="{0000000E-F0DF-42A9-83BC-F6EDD392B84D}"/>
              </c:ext>
            </c:extLst>
          </c:dPt>
          <c:dPt>
            <c:idx val="1"/>
            <c:bubble3D val="0"/>
            <c:spPr>
              <a:solidFill>
                <a:schemeClr val="tx1">
                  <a:lumMod val="95000"/>
                  <a:lumOff val="5000"/>
                </a:schemeClr>
              </a:solidFill>
              <a:ln w="19050">
                <a:noFill/>
              </a:ln>
              <a:effectLst/>
            </c:spPr>
            <c:extLst>
              <c:ext xmlns:c16="http://schemas.microsoft.com/office/drawing/2014/chart" uri="{C3380CC4-5D6E-409C-BE32-E72D297353CC}">
                <c16:uniqueId val="{00000010-F0DF-42A9-83BC-F6EDD392B84D}"/>
              </c:ext>
            </c:extLst>
          </c:dPt>
          <c:dPt>
            <c:idx val="2"/>
            <c:bubble3D val="0"/>
            <c:spPr>
              <a:noFill/>
              <a:ln w="19050">
                <a:noFill/>
              </a:ln>
              <a:effectLst/>
            </c:spPr>
            <c:extLst>
              <c:ext xmlns:c16="http://schemas.microsoft.com/office/drawing/2014/chart" uri="{C3380CC4-5D6E-409C-BE32-E72D297353CC}">
                <c16:uniqueId val="{00000012-F0DF-42A9-83BC-F6EDD392B84D}"/>
              </c:ext>
            </c:extLst>
          </c:dPt>
          <c:dPt>
            <c:idx val="3"/>
            <c:bubble3D val="0"/>
            <c:spPr>
              <a:solidFill>
                <a:srgbClr val="8064A2">
                  <a:alpha val="0"/>
                </a:srgbClr>
              </a:solidFill>
              <a:ln w="19050">
                <a:noFill/>
              </a:ln>
              <a:effectLst/>
            </c:spPr>
            <c:extLst>
              <c:ext xmlns:c16="http://schemas.microsoft.com/office/drawing/2014/chart" uri="{C3380CC4-5D6E-409C-BE32-E72D297353CC}">
                <c16:uniqueId val="{00000013-65B1-4898-877B-7BE3183E2293}"/>
              </c:ext>
            </c:extLst>
          </c:dPt>
          <c:dPt>
            <c:idx val="4"/>
            <c:bubble3D val="0"/>
            <c:spPr>
              <a:solidFill>
                <a:schemeClr val="accent5"/>
              </a:solidFill>
              <a:ln w="19050">
                <a:noFill/>
              </a:ln>
              <a:effectLst/>
            </c:spPr>
            <c:extLst>
              <c:ext xmlns:c16="http://schemas.microsoft.com/office/drawing/2014/chart" uri="{C3380CC4-5D6E-409C-BE32-E72D297353CC}">
                <c16:uniqueId val="{00000014-65B1-4898-877B-7BE3183E2293}"/>
              </c:ext>
            </c:extLst>
          </c:dPt>
          <c:dPt>
            <c:idx val="5"/>
            <c:bubble3D val="0"/>
            <c:spPr>
              <a:solidFill>
                <a:schemeClr val="accent6"/>
              </a:solidFill>
              <a:ln w="19050">
                <a:noFill/>
              </a:ln>
              <a:effectLst/>
            </c:spPr>
            <c:extLst>
              <c:ext xmlns:c16="http://schemas.microsoft.com/office/drawing/2014/chart" uri="{C3380CC4-5D6E-409C-BE32-E72D297353CC}">
                <c16:uniqueId val="{00000015-65B1-4898-877B-7BE3183E2293}"/>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16-65B1-4898-877B-7BE3183E2293}"/>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17-65B1-4898-877B-7BE3183E2293}"/>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8-65B1-4898-877B-7BE3183E2293}"/>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9-65B1-4898-877B-7BE3183E2293}"/>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A-65B1-4898-877B-7BE3183E2293}"/>
              </c:ext>
            </c:extLst>
          </c:dPt>
          <c:dPt>
            <c:idx val="11"/>
            <c:bubble3D val="0"/>
            <c:spPr>
              <a:solidFill>
                <a:schemeClr val="accent6">
                  <a:lumMod val="60000"/>
                </a:schemeClr>
              </a:solidFill>
              <a:ln w="19050">
                <a:noFill/>
              </a:ln>
              <a:effectLst/>
            </c:spPr>
            <c:extLst>
              <c:ext xmlns:c16="http://schemas.microsoft.com/office/drawing/2014/chart" uri="{C3380CC4-5D6E-409C-BE32-E72D297353CC}">
                <c16:uniqueId val="{0000001B-65B1-4898-877B-7BE3183E2293}"/>
              </c:ext>
            </c:extLst>
          </c:dPt>
          <c:dPt>
            <c:idx val="12"/>
            <c:bubble3D val="0"/>
            <c:spPr>
              <a:solidFill>
                <a:schemeClr val="accent1">
                  <a:lumMod val="80000"/>
                  <a:lumOff val="20000"/>
                </a:schemeClr>
              </a:solidFill>
              <a:ln w="19050">
                <a:noFill/>
              </a:ln>
              <a:effectLst/>
            </c:spPr>
            <c:extLst>
              <c:ext xmlns:c16="http://schemas.microsoft.com/office/drawing/2014/chart" uri="{C3380CC4-5D6E-409C-BE32-E72D297353CC}">
                <c16:uniqueId val="{0000001C-65B1-4898-877B-7BE3183E2293}"/>
              </c:ext>
            </c:extLst>
          </c:dPt>
          <c:dPt>
            <c:idx val="13"/>
            <c:bubble3D val="0"/>
            <c:spPr>
              <a:solidFill>
                <a:schemeClr val="accent2">
                  <a:lumMod val="80000"/>
                  <a:lumOff val="20000"/>
                </a:schemeClr>
              </a:solidFill>
              <a:ln w="19050">
                <a:noFill/>
              </a:ln>
              <a:effectLst/>
            </c:spPr>
            <c:extLst>
              <c:ext xmlns:c16="http://schemas.microsoft.com/office/drawing/2014/chart" uri="{C3380CC4-5D6E-409C-BE32-E72D297353CC}">
                <c16:uniqueId val="{0000001D-65B1-4898-877B-7BE3183E2293}"/>
              </c:ext>
            </c:extLst>
          </c:dPt>
          <c:dPt>
            <c:idx val="14"/>
            <c:bubble3D val="0"/>
            <c:spPr>
              <a:solidFill>
                <a:schemeClr val="accent3">
                  <a:lumMod val="80000"/>
                  <a:lumOff val="20000"/>
                </a:schemeClr>
              </a:solidFill>
              <a:ln w="19050">
                <a:noFill/>
              </a:ln>
              <a:effectLst/>
            </c:spPr>
            <c:extLst>
              <c:ext xmlns:c16="http://schemas.microsoft.com/office/drawing/2014/chart" uri="{C3380CC4-5D6E-409C-BE32-E72D297353CC}">
                <c16:uniqueId val="{0000001E-65B1-4898-877B-7BE3183E2293}"/>
              </c:ext>
            </c:extLst>
          </c:dPt>
          <c:dPt>
            <c:idx val="15"/>
            <c:bubble3D val="0"/>
            <c:spPr>
              <a:solidFill>
                <a:schemeClr val="accent4">
                  <a:lumMod val="80000"/>
                  <a:lumOff val="20000"/>
                </a:schemeClr>
              </a:solidFill>
              <a:ln w="19050">
                <a:noFill/>
              </a:ln>
              <a:effectLst/>
            </c:spPr>
            <c:extLst>
              <c:ext xmlns:c16="http://schemas.microsoft.com/office/drawing/2014/chart" uri="{C3380CC4-5D6E-409C-BE32-E72D297353CC}">
                <c16:uniqueId val="{0000001F-65B1-4898-877B-7BE3183E2293}"/>
              </c:ext>
            </c:extLst>
          </c:dPt>
          <c:dPt>
            <c:idx val="16"/>
            <c:bubble3D val="0"/>
            <c:spPr>
              <a:solidFill>
                <a:schemeClr val="accent5">
                  <a:lumMod val="80000"/>
                  <a:lumOff val="20000"/>
                </a:schemeClr>
              </a:solidFill>
              <a:ln w="19050">
                <a:noFill/>
              </a:ln>
              <a:effectLst/>
            </c:spPr>
            <c:extLst>
              <c:ext xmlns:c16="http://schemas.microsoft.com/office/drawing/2014/chart" uri="{C3380CC4-5D6E-409C-BE32-E72D297353CC}">
                <c16:uniqueId val="{00000020-65B1-4898-877B-7BE3183E2293}"/>
              </c:ext>
            </c:extLst>
          </c:dPt>
          <c:dPt>
            <c:idx val="17"/>
            <c:bubble3D val="0"/>
            <c:spPr>
              <a:solidFill>
                <a:schemeClr val="accent6">
                  <a:lumMod val="80000"/>
                  <a:lumOff val="20000"/>
                </a:schemeClr>
              </a:solidFill>
              <a:ln w="19050">
                <a:noFill/>
              </a:ln>
              <a:effectLst/>
            </c:spPr>
            <c:extLst>
              <c:ext xmlns:c16="http://schemas.microsoft.com/office/drawing/2014/chart" uri="{C3380CC4-5D6E-409C-BE32-E72D297353CC}">
                <c16:uniqueId val="{00000021-65B1-4898-877B-7BE3183E2293}"/>
              </c:ext>
            </c:extLst>
          </c:dPt>
          <c:dPt>
            <c:idx val="18"/>
            <c:bubble3D val="0"/>
            <c:spPr>
              <a:solidFill>
                <a:schemeClr val="accent1">
                  <a:lumMod val="80000"/>
                </a:schemeClr>
              </a:solidFill>
              <a:ln w="19050">
                <a:noFill/>
              </a:ln>
              <a:effectLst/>
            </c:spPr>
            <c:extLst>
              <c:ext xmlns:c16="http://schemas.microsoft.com/office/drawing/2014/chart" uri="{C3380CC4-5D6E-409C-BE32-E72D297353CC}">
                <c16:uniqueId val="{00000022-65B1-4898-877B-7BE3183E2293}"/>
              </c:ext>
            </c:extLst>
          </c:dPt>
          <c:dPt>
            <c:idx val="19"/>
            <c:bubble3D val="0"/>
            <c:spPr>
              <a:solidFill>
                <a:schemeClr val="accent2">
                  <a:lumMod val="80000"/>
                </a:schemeClr>
              </a:solidFill>
              <a:ln w="19050">
                <a:noFill/>
              </a:ln>
              <a:effectLst/>
            </c:spPr>
            <c:extLst>
              <c:ext xmlns:c16="http://schemas.microsoft.com/office/drawing/2014/chart" uri="{C3380CC4-5D6E-409C-BE32-E72D297353CC}">
                <c16:uniqueId val="{00000023-65B1-4898-877B-7BE3183E2293}"/>
              </c:ext>
            </c:extLst>
          </c:dPt>
          <c:dPt>
            <c:idx val="20"/>
            <c:bubble3D val="0"/>
            <c:spPr>
              <a:solidFill>
                <a:schemeClr val="accent3">
                  <a:lumMod val="80000"/>
                </a:schemeClr>
              </a:solidFill>
              <a:ln w="19050">
                <a:noFill/>
              </a:ln>
              <a:effectLst/>
            </c:spPr>
            <c:extLst>
              <c:ext xmlns:c16="http://schemas.microsoft.com/office/drawing/2014/chart" uri="{C3380CC4-5D6E-409C-BE32-E72D297353CC}">
                <c16:uniqueId val="{00000024-65B1-4898-877B-7BE3183E2293}"/>
              </c:ext>
            </c:extLst>
          </c:dPt>
          <c:dPt>
            <c:idx val="21"/>
            <c:bubble3D val="0"/>
            <c:spPr>
              <a:solidFill>
                <a:schemeClr val="bg1">
                  <a:alpha val="0"/>
                </a:schemeClr>
              </a:solidFill>
              <a:ln w="19050">
                <a:noFill/>
              </a:ln>
              <a:effectLst/>
            </c:spPr>
            <c:extLst>
              <c:ext xmlns:c16="http://schemas.microsoft.com/office/drawing/2014/chart" uri="{C3380CC4-5D6E-409C-BE32-E72D297353CC}">
                <c16:uniqueId val="{00000012-65B1-4898-877B-7BE3183E2293}"/>
              </c:ext>
            </c:extLst>
          </c:dPt>
          <c:dLbls>
            <c:dLbl>
              <c:idx val="0"/>
              <c:delete val="1"/>
              <c:extLst>
                <c:ext xmlns:c15="http://schemas.microsoft.com/office/drawing/2012/chart" uri="{CE6537A1-D6FC-4f65-9D91-7224C49458BB}"/>
                <c:ext xmlns:c16="http://schemas.microsoft.com/office/drawing/2014/chart" uri="{C3380CC4-5D6E-409C-BE32-E72D297353CC}">
                  <c16:uniqueId val="{0000000E-F0DF-42A9-83BC-F6EDD392B84D}"/>
                </c:ext>
              </c:extLst>
            </c:dLbl>
            <c:dLbl>
              <c:idx val="1"/>
              <c:layout>
                <c:manualLayout>
                  <c:x val="2.6966285772795241E-2"/>
                  <c:y val="-5.7708171093997867E-4"/>
                </c:manualLayout>
              </c:layout>
              <c:tx>
                <c:rich>
                  <a:bodyPr/>
                  <a:lstStyle/>
                  <a:p>
                    <a:fld id="{9C2BD445-52FE-48E9-A56B-6466669AF6E9}"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0DF-42A9-83BC-F6EDD392B84D}"/>
                </c:ext>
              </c:extLst>
            </c:dLbl>
            <c:dLbl>
              <c:idx val="2"/>
              <c:delete val="1"/>
              <c:extLst>
                <c:ext xmlns:c15="http://schemas.microsoft.com/office/drawing/2012/chart" uri="{CE6537A1-D6FC-4f65-9D91-7224C49458BB}"/>
                <c:ext xmlns:c16="http://schemas.microsoft.com/office/drawing/2014/chart" uri="{C3380CC4-5D6E-409C-BE32-E72D297353CC}">
                  <c16:uniqueId val="{00000012-F0DF-42A9-83BC-F6EDD392B84D}"/>
                </c:ext>
              </c:extLst>
            </c:dLbl>
            <c:dLbl>
              <c:idx val="3"/>
              <c:delete val="1"/>
              <c:extLst>
                <c:ext xmlns:c15="http://schemas.microsoft.com/office/drawing/2012/chart" uri="{CE6537A1-D6FC-4f65-9D91-7224C49458BB}"/>
                <c:ext xmlns:c16="http://schemas.microsoft.com/office/drawing/2014/chart" uri="{C3380CC4-5D6E-409C-BE32-E72D297353CC}">
                  <c16:uniqueId val="{00000013-65B1-4898-877B-7BE3183E2293}"/>
                </c:ext>
              </c:extLst>
            </c:dLbl>
            <c:dLbl>
              <c:idx val="21"/>
              <c:delete val="1"/>
              <c:extLst>
                <c:ext xmlns:c15="http://schemas.microsoft.com/office/drawing/2012/chart" uri="{CE6537A1-D6FC-4f65-9D91-7224C49458BB}"/>
                <c:ext xmlns:c16="http://schemas.microsoft.com/office/drawing/2014/chart" uri="{C3380CC4-5D6E-409C-BE32-E72D297353CC}">
                  <c16:uniqueId val="{00000012-65B1-4898-877B-7BE3183E2293}"/>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DataLabelsRange val="1"/>
              </c:ext>
            </c:extLst>
          </c:dLbls>
          <c:val>
            <c:numRef>
              <c:f>Butiskais_grafiski!$Z$46:$Z$49</c:f>
              <c:numCache>
                <c:formatCode>General</c:formatCode>
                <c:ptCount val="4"/>
                <c:pt idx="0">
                  <c:v>81.898813347417374</c:v>
                </c:pt>
                <c:pt idx="1">
                  <c:v>0.5</c:v>
                </c:pt>
                <c:pt idx="3">
                  <c:v>117.60118665258263</c:v>
                </c:pt>
              </c:numCache>
            </c:numRef>
          </c:val>
          <c:extLst>
            <c:ext xmlns:c15="http://schemas.microsoft.com/office/drawing/2012/chart" uri="{02D57815-91ED-43cb-92C2-25804820EDAC}">
              <c15:datalabelsRange>
                <c15:f>Butiskais_grafiski!$AA$46:$AA$49</c15:f>
                <c15:dlblRangeCache>
                  <c:ptCount val="4"/>
                  <c:pt idx="0">
                    <c:v>1</c:v>
                  </c:pt>
                  <c:pt idx="1">
                    <c:v>81,9%</c:v>
                  </c:pt>
                  <c:pt idx="3">
                    <c:v>1</c:v>
                  </c:pt>
                </c15:dlblRangeCache>
              </c15:datalabelsRange>
            </c:ext>
            <c:ext xmlns:c16="http://schemas.microsoft.com/office/drawing/2014/chart" uri="{C3380CC4-5D6E-409C-BE32-E72D297353CC}">
              <c16:uniqueId val="{00000013-F0DF-42A9-83BC-F6EDD392B84D}"/>
            </c:ext>
          </c:extLst>
        </c:ser>
        <c:dLbls>
          <c:showLegendKey val="0"/>
          <c:showVal val="1"/>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400">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22849500211178"/>
          <c:y val="5.9005988095881604E-2"/>
          <c:w val="0.81872639860181107"/>
          <c:h val="0.92236286919831223"/>
        </c:manualLayout>
      </c:layout>
      <c:doughnutChart>
        <c:varyColors val="1"/>
        <c:ser>
          <c:idx val="0"/>
          <c:order val="0"/>
          <c:tx>
            <c:strRef>
              <c:f>Butiskais_grafiski!$AD$41:$AD$43</c:f>
              <c:strCache>
                <c:ptCount val="3"/>
                <c:pt idx="0">
                  <c:v>33,51105996</c:v>
                </c:pt>
                <c:pt idx="1">
                  <c:v>0,5</c:v>
                </c:pt>
                <c:pt idx="2">
                  <c:v>165,98894</c:v>
                </c:pt>
              </c:strCache>
            </c:strRef>
          </c:tx>
          <c:spPr>
            <a:solidFill>
              <a:srgbClr val="0070C0"/>
            </a:solidFill>
            <a:ln>
              <a:noFill/>
            </a:ln>
          </c:spPr>
          <c:dPt>
            <c:idx val="0"/>
            <c:bubble3D val="0"/>
            <c:spPr>
              <a:solidFill>
                <a:srgbClr val="0070C0"/>
              </a:solidFill>
              <a:ln w="19050">
                <a:noFill/>
              </a:ln>
              <a:effectLst/>
            </c:spPr>
            <c:extLst>
              <c:ext xmlns:c16="http://schemas.microsoft.com/office/drawing/2014/chart" uri="{C3380CC4-5D6E-409C-BE32-E72D297353CC}">
                <c16:uniqueId val="{00000001-1C3A-4F6B-8643-8A6653DF6AA3}"/>
              </c:ext>
            </c:extLst>
          </c:dPt>
          <c:dPt>
            <c:idx val="1"/>
            <c:bubble3D val="0"/>
            <c:spPr>
              <a:solidFill>
                <a:srgbClr val="0070C0"/>
              </a:solidFill>
              <a:ln w="19050">
                <a:noFill/>
              </a:ln>
              <a:effectLst/>
            </c:spPr>
            <c:extLst>
              <c:ext xmlns:c16="http://schemas.microsoft.com/office/drawing/2014/chart" uri="{C3380CC4-5D6E-409C-BE32-E72D297353CC}">
                <c16:uniqueId val="{00000003-1C3A-4F6B-8643-8A6653DF6AA3}"/>
              </c:ext>
            </c:extLst>
          </c:dPt>
          <c:dPt>
            <c:idx val="2"/>
            <c:bubble3D val="0"/>
            <c:spPr>
              <a:solidFill>
                <a:srgbClr val="0070C0"/>
              </a:solidFill>
              <a:ln w="19050">
                <a:noFill/>
              </a:ln>
              <a:effectLst/>
            </c:spPr>
            <c:extLst>
              <c:ext xmlns:c16="http://schemas.microsoft.com/office/drawing/2014/chart" uri="{C3380CC4-5D6E-409C-BE32-E72D297353CC}">
                <c16:uniqueId val="{00000005-1C3A-4F6B-8643-8A6653DF6AA3}"/>
              </c:ext>
            </c:extLst>
          </c:dPt>
          <c:dPt>
            <c:idx val="3"/>
            <c:bubble3D val="0"/>
            <c:spPr>
              <a:solidFill>
                <a:srgbClr val="0070C0"/>
              </a:solidFill>
              <a:ln w="19050">
                <a:noFill/>
              </a:ln>
              <a:effectLst/>
            </c:spPr>
            <c:extLst>
              <c:ext xmlns:c16="http://schemas.microsoft.com/office/drawing/2014/chart" uri="{C3380CC4-5D6E-409C-BE32-E72D297353CC}">
                <c16:uniqueId val="{00000007-1C3A-4F6B-8643-8A6653DF6AA3}"/>
              </c:ext>
            </c:extLst>
          </c:dPt>
          <c:dPt>
            <c:idx val="4"/>
            <c:bubble3D val="0"/>
            <c:spPr>
              <a:solidFill>
                <a:schemeClr val="bg1">
                  <a:alpha val="0"/>
                </a:schemeClr>
              </a:solidFill>
              <a:ln w="19050">
                <a:noFill/>
              </a:ln>
              <a:effectLst/>
            </c:spPr>
            <c:extLst>
              <c:ext xmlns:c16="http://schemas.microsoft.com/office/drawing/2014/chart" uri="{C3380CC4-5D6E-409C-BE32-E72D297353CC}">
                <c16:uniqueId val="{00000009-1C3A-4F6B-8643-8A6653DF6AA3}"/>
              </c:ext>
            </c:extLst>
          </c:dPt>
          <c:dPt>
            <c:idx val="5"/>
            <c:bubble3D val="0"/>
            <c:spPr>
              <a:noFill/>
              <a:ln w="19050">
                <a:noFill/>
              </a:ln>
              <a:effectLst/>
            </c:spPr>
            <c:extLst>
              <c:ext xmlns:c16="http://schemas.microsoft.com/office/drawing/2014/chart" uri="{C3380CC4-5D6E-409C-BE32-E72D297353CC}">
                <c16:uniqueId val="{0000000B-1C3A-4F6B-8643-8A6653DF6AA3}"/>
              </c:ext>
            </c:extLst>
          </c:dPt>
          <c:cat>
            <c:numRef>
              <c:f>Butiskais_grafiski!$Z$38:$Z$42</c:f>
              <c:numCache>
                <c:formatCode>General</c:formatCode>
                <c:ptCount val="5"/>
                <c:pt idx="0">
                  <c:v>0</c:v>
                </c:pt>
                <c:pt idx="3">
                  <c:v>100</c:v>
                </c:pt>
                <c:pt idx="4">
                  <c:v>100</c:v>
                </c:pt>
              </c:numCache>
            </c:numRef>
          </c:cat>
          <c:val>
            <c:numRef>
              <c:f>Butiskais_grafiski!$Z$38:$Z$42</c:f>
              <c:numCache>
                <c:formatCode>General</c:formatCode>
                <c:ptCount val="5"/>
                <c:pt idx="0">
                  <c:v>0</c:v>
                </c:pt>
                <c:pt idx="3">
                  <c:v>100</c:v>
                </c:pt>
                <c:pt idx="4">
                  <c:v>100</c:v>
                </c:pt>
              </c:numCache>
            </c:numRef>
          </c:val>
          <c:extLst>
            <c:ext xmlns:c16="http://schemas.microsoft.com/office/drawing/2014/chart" uri="{C3380CC4-5D6E-409C-BE32-E72D297353CC}">
              <c16:uniqueId val="{0000000C-1C3A-4F6B-8643-8A6653DF6AA3}"/>
            </c:ext>
          </c:extLst>
        </c:ser>
        <c:dLbls>
          <c:showLegendKey val="0"/>
          <c:showVal val="0"/>
          <c:showCatName val="0"/>
          <c:showSerName val="0"/>
          <c:showPercent val="0"/>
          <c:showBubbleSize val="0"/>
          <c:showLeaderLines val="1"/>
        </c:dLbls>
        <c:firstSliceAng val="270"/>
        <c:holeSize val="71"/>
      </c:doughnutChart>
      <c:pieChart>
        <c:varyColors val="1"/>
        <c:ser>
          <c:idx val="1"/>
          <c:order val="1"/>
          <c:tx>
            <c:strRef>
              <c:f>Butiskais_grafiski!$AC$41</c:f>
              <c:strCache>
                <c:ptCount val="1"/>
                <c:pt idx="0">
                  <c:v>Value</c:v>
                </c:pt>
              </c:strCache>
            </c:strRef>
          </c:tx>
          <c:spPr>
            <a:ln>
              <a:noFill/>
            </a:ln>
          </c:spPr>
          <c:explosion val="1"/>
          <c:dPt>
            <c:idx val="0"/>
            <c:bubble3D val="0"/>
            <c:spPr>
              <a:noFill/>
              <a:ln w="19050">
                <a:noFill/>
              </a:ln>
              <a:effectLst/>
            </c:spPr>
            <c:extLst>
              <c:ext xmlns:c16="http://schemas.microsoft.com/office/drawing/2014/chart" uri="{C3380CC4-5D6E-409C-BE32-E72D297353CC}">
                <c16:uniqueId val="{0000000E-1C3A-4F6B-8643-8A6653DF6AA3}"/>
              </c:ext>
            </c:extLst>
          </c:dPt>
          <c:dPt>
            <c:idx val="1"/>
            <c:bubble3D val="0"/>
            <c:spPr>
              <a:solidFill>
                <a:schemeClr val="tx1"/>
              </a:solidFill>
              <a:ln w="19050">
                <a:noFill/>
              </a:ln>
              <a:effectLst/>
            </c:spPr>
            <c:extLst>
              <c:ext xmlns:c16="http://schemas.microsoft.com/office/drawing/2014/chart" uri="{C3380CC4-5D6E-409C-BE32-E72D297353CC}">
                <c16:uniqueId val="{00000010-1C3A-4F6B-8643-8A6653DF6AA3}"/>
              </c:ext>
            </c:extLst>
          </c:dPt>
          <c:dPt>
            <c:idx val="2"/>
            <c:bubble3D val="0"/>
            <c:spPr>
              <a:noFill/>
              <a:ln w="19050">
                <a:noFill/>
              </a:ln>
              <a:effectLst/>
            </c:spPr>
            <c:extLst>
              <c:ext xmlns:c16="http://schemas.microsoft.com/office/drawing/2014/chart" uri="{C3380CC4-5D6E-409C-BE32-E72D297353CC}">
                <c16:uniqueId val="{00000012-1C3A-4F6B-8643-8A6653DF6AA3}"/>
              </c:ext>
            </c:extLst>
          </c:dPt>
          <c:dLbls>
            <c:dLbl>
              <c:idx val="0"/>
              <c:delete val="1"/>
              <c:extLst>
                <c:ext xmlns:c15="http://schemas.microsoft.com/office/drawing/2012/chart" uri="{CE6537A1-D6FC-4f65-9D91-7224C49458BB}"/>
                <c:ext xmlns:c16="http://schemas.microsoft.com/office/drawing/2014/chart" uri="{C3380CC4-5D6E-409C-BE32-E72D297353CC}">
                  <c16:uniqueId val="{0000000E-1C3A-4F6B-8643-8A6653DF6AA3}"/>
                </c:ext>
              </c:extLst>
            </c:dLbl>
            <c:dLbl>
              <c:idx val="1"/>
              <c:layout>
                <c:manualLayout>
                  <c:x val="2.8318578808709485E-2"/>
                  <c:y val="9.6532391889301E-3"/>
                </c:manualLayout>
              </c:layout>
              <c:tx>
                <c:rich>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546AEE40-770A-4F50-8D97-102B5458A8BA}" type="CELLRANGE">
                      <a:rPr lang="en-US"/>
                      <a:pPr>
                        <a:defRPr>
                          <a:solidFill>
                            <a:sysClr val="windowText" lastClr="000000"/>
                          </a:solidFill>
                        </a:defRPr>
                      </a:pPr>
                      <a:t>[CELLRANGE]</a:t>
                    </a:fld>
                    <a:endParaRPr lang="lv-LV"/>
                  </a:p>
                </c:rich>
              </c:tx>
              <c:numFmt formatCode="#,##0.00" sourceLinked="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bestFit"/>
              <c:showLegendKey val="0"/>
              <c:showVal val="0"/>
              <c:showCatName val="0"/>
              <c:showSerName val="0"/>
              <c:showPercent val="0"/>
              <c:showBubbleSize val="0"/>
              <c:extLst>
                <c:ext xmlns:c15="http://schemas.microsoft.com/office/drawing/2012/chart" uri="{CE6537A1-D6FC-4f65-9D91-7224C49458BB}">
                  <c15:layout>
                    <c:manualLayout>
                      <c:w val="0.19391221166242323"/>
                      <c:h val="7.0925643110732059E-2"/>
                    </c:manualLayout>
                  </c15:layout>
                  <c15:dlblFieldTable/>
                  <c15:showDataLabelsRange val="1"/>
                </c:ext>
                <c:ext xmlns:c16="http://schemas.microsoft.com/office/drawing/2014/chart" uri="{C3380CC4-5D6E-409C-BE32-E72D297353CC}">
                  <c16:uniqueId val="{00000010-1C3A-4F6B-8643-8A6653DF6AA3}"/>
                </c:ext>
              </c:extLst>
            </c:dLbl>
            <c:dLbl>
              <c:idx val="2"/>
              <c:delete val="1"/>
              <c:extLst>
                <c:ext xmlns:c15="http://schemas.microsoft.com/office/drawing/2012/chart" uri="{CE6537A1-D6FC-4f65-9D91-7224C49458BB}"/>
                <c:ext xmlns:c16="http://schemas.microsoft.com/office/drawing/2014/chart" uri="{C3380CC4-5D6E-409C-BE32-E72D297353CC}">
                  <c16:uniqueId val="{00000012-1C3A-4F6B-8643-8A6653DF6AA3}"/>
                </c:ext>
              </c:extLst>
            </c:dLbl>
            <c:numFmt formatCode="General" sourceLinked="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Butiskais_grafiski!$Z$54:$Z$56</c:f>
              <c:numCache>
                <c:formatCode>General</c:formatCode>
                <c:ptCount val="3"/>
                <c:pt idx="0">
                  <c:v>23.58835875690362</c:v>
                </c:pt>
                <c:pt idx="1">
                  <c:v>0.5</c:v>
                </c:pt>
                <c:pt idx="2">
                  <c:v>175.91164124309637</c:v>
                </c:pt>
              </c:numCache>
            </c:numRef>
          </c:val>
          <c:extLst>
            <c:ext xmlns:c15="http://schemas.microsoft.com/office/drawing/2012/chart" uri="{02D57815-91ED-43cb-92C2-25804820EDAC}">
              <c15:datalabelsRange>
                <c15:f>Butiskais_grafiski!$AE$41:$AE$43</c15:f>
                <c15:dlblRangeCache>
                  <c:ptCount val="3"/>
                  <c:pt idx="0">
                    <c:v>1</c:v>
                  </c:pt>
                  <c:pt idx="1">
                    <c:v>33,5%</c:v>
                  </c:pt>
                  <c:pt idx="2">
                    <c:v>1</c:v>
                  </c:pt>
                </c15:dlblRangeCache>
              </c15:datalabelsRange>
            </c:ext>
            <c:ext xmlns:c16="http://schemas.microsoft.com/office/drawing/2014/chart" uri="{C3380CC4-5D6E-409C-BE32-E72D297353CC}">
              <c16:uniqueId val="{00000013-1C3A-4F6B-8643-8A6653DF6AA3}"/>
            </c:ext>
          </c:extLst>
        </c:ser>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400">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600250630257367"/>
          <c:y val="0"/>
          <c:w val="0.75967871511332496"/>
          <c:h val="0.99867908634548463"/>
        </c:manualLayout>
      </c:layout>
      <c:barChart>
        <c:barDir val="bar"/>
        <c:grouping val="clustered"/>
        <c:varyColors val="0"/>
        <c:ser>
          <c:idx val="0"/>
          <c:order val="0"/>
          <c:tx>
            <c:strRef>
              <c:f>'Politikas mērķi'!$V$12</c:f>
              <c:strCache>
                <c:ptCount val="1"/>
                <c:pt idx="0">
                  <c:v>Maksājumi 1 031,8 (24%)</c:v>
                </c:pt>
              </c:strCache>
            </c:strRef>
          </c:tx>
          <c:spPr>
            <a:solidFill>
              <a:schemeClr val="tx1">
                <a:lumMod val="50000"/>
                <a:lumOff val="50000"/>
                <a:alpha val="40000"/>
              </a:schemeClr>
            </a:solidFill>
            <a:ln>
              <a:noFill/>
            </a:ln>
            <a:effectLst/>
          </c:spPr>
          <c:invertIfNegative val="0"/>
          <c:dPt>
            <c:idx val="2"/>
            <c:invertIfNegative val="0"/>
            <c:bubble3D val="0"/>
            <c:spPr>
              <a:solidFill>
                <a:srgbClr val="D9B828">
                  <a:alpha val="40000"/>
                </a:srgbClr>
              </a:solidFill>
              <a:ln>
                <a:noFill/>
              </a:ln>
              <a:effectLst/>
            </c:spPr>
            <c:extLst>
              <c:ext xmlns:c16="http://schemas.microsoft.com/office/drawing/2014/chart" uri="{C3380CC4-5D6E-409C-BE32-E72D297353CC}">
                <c16:uniqueId val="{00000010-8256-4ABB-99E2-EB949E400A54}"/>
              </c:ext>
            </c:extLst>
          </c:dPt>
          <c:dPt>
            <c:idx val="3"/>
            <c:invertIfNegative val="0"/>
            <c:bubble3D val="0"/>
            <c:spPr>
              <a:solidFill>
                <a:srgbClr val="00ACDB">
                  <a:alpha val="40000"/>
                </a:srgbClr>
              </a:solidFill>
              <a:ln>
                <a:noFill/>
              </a:ln>
              <a:effectLst/>
            </c:spPr>
            <c:extLst>
              <c:ext xmlns:c16="http://schemas.microsoft.com/office/drawing/2014/chart" uri="{C3380CC4-5D6E-409C-BE32-E72D297353CC}">
                <c16:uniqueId val="{00000011-8256-4ABB-99E2-EB949E400A54}"/>
              </c:ext>
            </c:extLst>
          </c:dPt>
          <c:dPt>
            <c:idx val="4"/>
            <c:invertIfNegative val="0"/>
            <c:bubble3D val="0"/>
            <c:spPr>
              <a:solidFill>
                <a:srgbClr val="D85D58">
                  <a:alpha val="40000"/>
                </a:srgbClr>
              </a:solidFill>
              <a:ln>
                <a:noFill/>
              </a:ln>
              <a:effectLst/>
            </c:spPr>
            <c:extLst>
              <c:ext xmlns:c16="http://schemas.microsoft.com/office/drawing/2014/chart" uri="{C3380CC4-5D6E-409C-BE32-E72D297353CC}">
                <c16:uniqueId val="{00000012-8256-4ABB-99E2-EB949E400A54}"/>
              </c:ext>
            </c:extLst>
          </c:dPt>
          <c:dPt>
            <c:idx val="5"/>
            <c:invertIfNegative val="0"/>
            <c:bubble3D val="0"/>
            <c:spPr>
              <a:solidFill>
                <a:srgbClr val="F68A42">
                  <a:alpha val="40000"/>
                </a:srgbClr>
              </a:solidFill>
              <a:ln>
                <a:noFill/>
              </a:ln>
              <a:effectLst/>
            </c:spPr>
            <c:extLst>
              <c:ext xmlns:c16="http://schemas.microsoft.com/office/drawing/2014/chart" uri="{C3380CC4-5D6E-409C-BE32-E72D297353CC}">
                <c16:uniqueId val="{00000013-8256-4ABB-99E2-EB949E400A54}"/>
              </c:ext>
            </c:extLst>
          </c:dPt>
          <c:dPt>
            <c:idx val="6"/>
            <c:invertIfNegative val="0"/>
            <c:bubble3D val="0"/>
            <c:spPr>
              <a:solidFill>
                <a:srgbClr val="98CA3D">
                  <a:alpha val="40000"/>
                </a:srgbClr>
              </a:solidFill>
              <a:ln>
                <a:noFill/>
              </a:ln>
              <a:effectLst/>
            </c:spPr>
            <c:extLst>
              <c:ext xmlns:c16="http://schemas.microsoft.com/office/drawing/2014/chart" uri="{C3380CC4-5D6E-409C-BE32-E72D297353CC}">
                <c16:uniqueId val="{00000014-8256-4ABB-99E2-EB949E400A54}"/>
              </c:ext>
            </c:extLst>
          </c:dPt>
          <c:dPt>
            <c:idx val="7"/>
            <c:invertIfNegative val="0"/>
            <c:bubble3D val="0"/>
            <c:spPr>
              <a:solidFill>
                <a:srgbClr val="26BAA8">
                  <a:alpha val="40000"/>
                </a:srgbClr>
              </a:solidFill>
              <a:ln>
                <a:noFill/>
              </a:ln>
              <a:effectLst/>
            </c:spPr>
            <c:extLst>
              <c:ext xmlns:c16="http://schemas.microsoft.com/office/drawing/2014/chart" uri="{C3380CC4-5D6E-409C-BE32-E72D297353CC}">
                <c16:uniqueId val="{00000015-8256-4ABB-99E2-EB949E400A54}"/>
              </c:ext>
            </c:extLst>
          </c:dPt>
          <c:dLbls>
            <c:dLbl>
              <c:idx val="0"/>
              <c:tx>
                <c:rich>
                  <a:bodyPr/>
                  <a:lstStyle/>
                  <a:p>
                    <a:fld id="{C67DE326-E45C-4494-8744-27E8A9B49EEA}"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8256-4ABB-99E2-EB949E400A54}"/>
                </c:ext>
              </c:extLst>
            </c:dLbl>
            <c:dLbl>
              <c:idx val="1"/>
              <c:tx>
                <c:rich>
                  <a:bodyPr/>
                  <a:lstStyle/>
                  <a:p>
                    <a:fld id="{84F4F4C4-4824-404F-9E1A-139488DECD3F}"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8256-4ABB-99E2-EB949E400A54}"/>
                </c:ext>
              </c:extLst>
            </c:dLbl>
            <c:dLbl>
              <c:idx val="2"/>
              <c:tx>
                <c:rich>
                  <a:bodyPr/>
                  <a:lstStyle/>
                  <a:p>
                    <a:fld id="{BE533748-69BD-4DC5-8050-9CEFAC114F46}"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256-4ABB-99E2-EB949E400A54}"/>
                </c:ext>
              </c:extLst>
            </c:dLbl>
            <c:dLbl>
              <c:idx val="3"/>
              <c:tx>
                <c:rich>
                  <a:bodyPr/>
                  <a:lstStyle/>
                  <a:p>
                    <a:fld id="{7A1CC1BB-0BFC-4596-9D09-DFE8F7196CE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256-4ABB-99E2-EB949E400A54}"/>
                </c:ext>
              </c:extLst>
            </c:dLbl>
            <c:dLbl>
              <c:idx val="4"/>
              <c:tx>
                <c:rich>
                  <a:bodyPr/>
                  <a:lstStyle/>
                  <a:p>
                    <a:fld id="{0B801247-4449-43EE-BB4D-6777F7CA8E2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256-4ABB-99E2-EB949E400A54}"/>
                </c:ext>
              </c:extLst>
            </c:dLbl>
            <c:dLbl>
              <c:idx val="5"/>
              <c:tx>
                <c:rich>
                  <a:bodyPr/>
                  <a:lstStyle/>
                  <a:p>
                    <a:fld id="{2311A2EE-F2B8-4869-8934-CFAB1F871B70}"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256-4ABB-99E2-EB949E400A54}"/>
                </c:ext>
              </c:extLst>
            </c:dLbl>
            <c:dLbl>
              <c:idx val="6"/>
              <c:tx>
                <c:rich>
                  <a:bodyPr/>
                  <a:lstStyle/>
                  <a:p>
                    <a:fld id="{ACACE73C-ACCC-4DB2-A117-AC83E8CA066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256-4ABB-99E2-EB949E400A54}"/>
                </c:ext>
              </c:extLst>
            </c:dLbl>
            <c:dLbl>
              <c:idx val="7"/>
              <c:tx>
                <c:rich>
                  <a:bodyPr/>
                  <a:lstStyle/>
                  <a:p>
                    <a:fld id="{56B46414-E361-41B9-BECB-12F60F6C343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256-4ABB-99E2-EB949E400A54}"/>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mērķi'!$V$13:$V$20</c:f>
              <c:numCache>
                <c:formatCode>#\ ##0.0</c:formatCode>
                <c:ptCount val="8"/>
                <c:pt idx="0">
                  <c:v>33965635.623600006</c:v>
                </c:pt>
                <c:pt idx="1">
                  <c:v>1975647.35</c:v>
                </c:pt>
                <c:pt idx="2">
                  <c:v>44701863.970000006</c:v>
                </c:pt>
                <c:pt idx="3">
                  <c:v>82523108.479999974</c:v>
                </c:pt>
                <c:pt idx="4">
                  <c:v>260445421.11000001</c:v>
                </c:pt>
                <c:pt idx="5">
                  <c:v>99458545.829999998</c:v>
                </c:pt>
                <c:pt idx="6">
                  <c:v>308208880.55000007</c:v>
                </c:pt>
                <c:pt idx="7">
                  <c:v>200568391.22000003</c:v>
                </c:pt>
              </c:numCache>
            </c:numRef>
          </c:val>
          <c:extLst>
            <c:ext xmlns:c15="http://schemas.microsoft.com/office/drawing/2012/chart" uri="{02D57815-91ED-43cb-92C2-25804820EDAC}">
              <c15:datalabelsRange>
                <c15:f>'Politikas mērķi'!$AE$13:$AE$20</c15:f>
                <c15:dlblRangeCache>
                  <c:ptCount val="8"/>
                  <c:pt idx="0">
                    <c:v>34,0;  23,6%</c:v>
                  </c:pt>
                  <c:pt idx="1">
                    <c:v>2,0;  42,5%</c:v>
                  </c:pt>
                  <c:pt idx="2">
                    <c:v>44,7;  24,3%</c:v>
                  </c:pt>
                  <c:pt idx="3">
                    <c:v>82,5;  32,4%</c:v>
                  </c:pt>
                  <c:pt idx="4">
                    <c:v>260,4;  20,6%</c:v>
                  </c:pt>
                  <c:pt idx="5">
                    <c:v>99,5;  15,0%</c:v>
                  </c:pt>
                  <c:pt idx="6">
                    <c:v>308,2;  28,1%</c:v>
                  </c:pt>
                  <c:pt idx="7">
                    <c:v>200,6;  26,3%</c:v>
                  </c:pt>
                </c15:dlblRangeCache>
              </c15:datalabelsRange>
            </c:ext>
            <c:ext xmlns:c16="http://schemas.microsoft.com/office/drawing/2014/chart" uri="{C3380CC4-5D6E-409C-BE32-E72D297353CC}">
              <c16:uniqueId val="{00000000-8256-4ABB-99E2-EB949E400A54}"/>
            </c:ext>
          </c:extLst>
        </c:ser>
        <c:ser>
          <c:idx val="1"/>
          <c:order val="1"/>
          <c:tx>
            <c:strRef>
              <c:f>'Politikas mērķi'!$W$12</c:f>
              <c:strCache>
                <c:ptCount val="1"/>
                <c:pt idx="0">
                  <c:v>Līgums 3 582,6 (82%)</c:v>
                </c:pt>
              </c:strCache>
            </c:strRef>
          </c:tx>
          <c:spPr>
            <a:solidFill>
              <a:schemeClr val="tx1">
                <a:lumMod val="50000"/>
                <a:lumOff val="50000"/>
                <a:alpha val="60000"/>
              </a:schemeClr>
            </a:solidFill>
            <a:ln>
              <a:noFill/>
            </a:ln>
            <a:effectLst/>
          </c:spPr>
          <c:invertIfNegative val="0"/>
          <c:dPt>
            <c:idx val="2"/>
            <c:invertIfNegative val="0"/>
            <c:bubble3D val="0"/>
            <c:spPr>
              <a:solidFill>
                <a:srgbClr val="D9B828">
                  <a:alpha val="60000"/>
                </a:srgbClr>
              </a:solidFill>
              <a:ln>
                <a:noFill/>
              </a:ln>
              <a:effectLst/>
            </c:spPr>
            <c:extLst>
              <c:ext xmlns:c16="http://schemas.microsoft.com/office/drawing/2014/chart" uri="{C3380CC4-5D6E-409C-BE32-E72D297353CC}">
                <c16:uniqueId val="{00000018-8256-4ABB-99E2-EB949E400A54}"/>
              </c:ext>
            </c:extLst>
          </c:dPt>
          <c:dPt>
            <c:idx val="3"/>
            <c:invertIfNegative val="0"/>
            <c:bubble3D val="0"/>
            <c:spPr>
              <a:solidFill>
                <a:srgbClr val="00ACDB">
                  <a:alpha val="60000"/>
                </a:srgbClr>
              </a:solidFill>
              <a:ln>
                <a:noFill/>
              </a:ln>
              <a:effectLst/>
            </c:spPr>
            <c:extLst>
              <c:ext xmlns:c16="http://schemas.microsoft.com/office/drawing/2014/chart" uri="{C3380CC4-5D6E-409C-BE32-E72D297353CC}">
                <c16:uniqueId val="{00000019-8256-4ABB-99E2-EB949E400A54}"/>
              </c:ext>
            </c:extLst>
          </c:dPt>
          <c:dPt>
            <c:idx val="4"/>
            <c:invertIfNegative val="0"/>
            <c:bubble3D val="0"/>
            <c:spPr>
              <a:solidFill>
                <a:srgbClr val="D85D58">
                  <a:alpha val="60000"/>
                </a:srgbClr>
              </a:solidFill>
              <a:ln>
                <a:noFill/>
              </a:ln>
              <a:effectLst/>
            </c:spPr>
            <c:extLst>
              <c:ext xmlns:c16="http://schemas.microsoft.com/office/drawing/2014/chart" uri="{C3380CC4-5D6E-409C-BE32-E72D297353CC}">
                <c16:uniqueId val="{0000000B-8256-4ABB-99E2-EB949E400A54}"/>
              </c:ext>
            </c:extLst>
          </c:dPt>
          <c:dPt>
            <c:idx val="5"/>
            <c:invertIfNegative val="0"/>
            <c:bubble3D val="0"/>
            <c:spPr>
              <a:solidFill>
                <a:srgbClr val="F68A42">
                  <a:alpha val="60000"/>
                </a:srgbClr>
              </a:solidFill>
              <a:ln>
                <a:noFill/>
              </a:ln>
              <a:effectLst/>
            </c:spPr>
            <c:extLst>
              <c:ext xmlns:c16="http://schemas.microsoft.com/office/drawing/2014/chart" uri="{C3380CC4-5D6E-409C-BE32-E72D297353CC}">
                <c16:uniqueId val="{0000001A-8256-4ABB-99E2-EB949E400A54}"/>
              </c:ext>
            </c:extLst>
          </c:dPt>
          <c:dPt>
            <c:idx val="6"/>
            <c:invertIfNegative val="0"/>
            <c:bubble3D val="0"/>
            <c:spPr>
              <a:solidFill>
                <a:srgbClr val="98CA3D">
                  <a:alpha val="60000"/>
                </a:srgbClr>
              </a:solidFill>
              <a:ln>
                <a:noFill/>
              </a:ln>
              <a:effectLst/>
            </c:spPr>
            <c:extLst>
              <c:ext xmlns:c16="http://schemas.microsoft.com/office/drawing/2014/chart" uri="{C3380CC4-5D6E-409C-BE32-E72D297353CC}">
                <c16:uniqueId val="{0000001B-8256-4ABB-99E2-EB949E400A54}"/>
              </c:ext>
            </c:extLst>
          </c:dPt>
          <c:dPt>
            <c:idx val="7"/>
            <c:invertIfNegative val="0"/>
            <c:bubble3D val="0"/>
            <c:spPr>
              <a:solidFill>
                <a:srgbClr val="26BAA8">
                  <a:alpha val="60000"/>
                </a:srgbClr>
              </a:solidFill>
              <a:ln>
                <a:noFill/>
              </a:ln>
              <a:effectLst/>
            </c:spPr>
            <c:extLst>
              <c:ext xmlns:c16="http://schemas.microsoft.com/office/drawing/2014/chart" uri="{C3380CC4-5D6E-409C-BE32-E72D297353CC}">
                <c16:uniqueId val="{0000001C-8256-4ABB-99E2-EB949E400A54}"/>
              </c:ext>
            </c:extLst>
          </c:dPt>
          <c:dLbls>
            <c:dLbl>
              <c:idx val="0"/>
              <c:tx>
                <c:rich>
                  <a:bodyPr/>
                  <a:lstStyle/>
                  <a:p>
                    <a:fld id="{76F90F22-91FD-400B-989B-25329B93C74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8256-4ABB-99E2-EB949E400A54}"/>
                </c:ext>
              </c:extLst>
            </c:dLbl>
            <c:dLbl>
              <c:idx val="1"/>
              <c:tx>
                <c:rich>
                  <a:bodyPr/>
                  <a:lstStyle/>
                  <a:p>
                    <a:fld id="{F4DB3B5C-D776-4ABF-AB82-ED9C19421FD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256-4ABB-99E2-EB949E400A54}"/>
                </c:ext>
              </c:extLst>
            </c:dLbl>
            <c:dLbl>
              <c:idx val="2"/>
              <c:tx>
                <c:rich>
                  <a:bodyPr/>
                  <a:lstStyle/>
                  <a:p>
                    <a:fld id="{7136177E-5875-4CE3-9922-AEBB661D4E56}"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256-4ABB-99E2-EB949E400A54}"/>
                </c:ext>
              </c:extLst>
            </c:dLbl>
            <c:dLbl>
              <c:idx val="3"/>
              <c:tx>
                <c:rich>
                  <a:bodyPr/>
                  <a:lstStyle/>
                  <a:p>
                    <a:fld id="{68F47FEA-5CC4-4577-9FBA-E817DD8B9A2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8256-4ABB-99E2-EB949E400A54}"/>
                </c:ext>
              </c:extLst>
            </c:dLbl>
            <c:dLbl>
              <c:idx val="4"/>
              <c:layout>
                <c:manualLayout>
                  <c:x val="0"/>
                  <c:y val="1.6537463931726056E-3"/>
                </c:manualLayout>
              </c:layout>
              <c:tx>
                <c:rich>
                  <a:bodyPr/>
                  <a:lstStyle/>
                  <a:p>
                    <a:fld id="{837DA9EC-2290-4CA5-8774-052AD1AAD3D2}"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8256-4ABB-99E2-EB949E400A54}"/>
                </c:ext>
              </c:extLst>
            </c:dLbl>
            <c:dLbl>
              <c:idx val="5"/>
              <c:tx>
                <c:rich>
                  <a:bodyPr/>
                  <a:lstStyle/>
                  <a:p>
                    <a:fld id="{2261CB69-C119-4AE4-A4CD-D4B4496CC32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256-4ABB-99E2-EB949E400A54}"/>
                </c:ext>
              </c:extLst>
            </c:dLbl>
            <c:dLbl>
              <c:idx val="6"/>
              <c:tx>
                <c:rich>
                  <a:bodyPr/>
                  <a:lstStyle/>
                  <a:p>
                    <a:fld id="{1FD806F6-4FD1-4BD3-9BCD-C6A7A653BDD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8256-4ABB-99E2-EB949E400A54}"/>
                </c:ext>
              </c:extLst>
            </c:dLbl>
            <c:dLbl>
              <c:idx val="7"/>
              <c:tx>
                <c:rich>
                  <a:bodyPr/>
                  <a:lstStyle/>
                  <a:p>
                    <a:fld id="{FE5C63D1-70BE-4212-8F87-C05B082EE40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8256-4ABB-99E2-EB949E400A54}"/>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mērķi'!$W$13:$W$20</c:f>
              <c:numCache>
                <c:formatCode>General</c:formatCode>
                <c:ptCount val="8"/>
                <c:pt idx="0">
                  <c:v>143696785.60500002</c:v>
                </c:pt>
                <c:pt idx="1">
                  <c:v>4643848</c:v>
                </c:pt>
                <c:pt idx="2">
                  <c:v>119341888.55</c:v>
                </c:pt>
                <c:pt idx="3">
                  <c:v>195050121.77000001</c:v>
                </c:pt>
                <c:pt idx="4">
                  <c:v>1159228522.9200001</c:v>
                </c:pt>
                <c:pt idx="5">
                  <c:v>455450271.97000003</c:v>
                </c:pt>
                <c:pt idx="6">
                  <c:v>961987231.28999984</c:v>
                </c:pt>
                <c:pt idx="7">
                  <c:v>543177218.11000001</c:v>
                </c:pt>
              </c:numCache>
            </c:numRef>
          </c:val>
          <c:extLst>
            <c:ext xmlns:c15="http://schemas.microsoft.com/office/drawing/2012/chart" uri="{02D57815-91ED-43cb-92C2-25804820EDAC}">
              <c15:datalabelsRange>
                <c15:f>'Politikas mērķi'!$AF$13:$AF$20</c15:f>
                <c15:dlblRangeCache>
                  <c:ptCount val="8"/>
                  <c:pt idx="0">
                    <c:v>143,7;  100,0%</c:v>
                  </c:pt>
                  <c:pt idx="1">
                    <c:v>4,6;  100,0%</c:v>
                  </c:pt>
                  <c:pt idx="2">
                    <c:v>119,3;  64,8%</c:v>
                  </c:pt>
                  <c:pt idx="3">
                    <c:v>195,1;  76,6%</c:v>
                  </c:pt>
                  <c:pt idx="4">
                    <c:v>1 159,2;  91,6%</c:v>
                  </c:pt>
                  <c:pt idx="5">
                    <c:v>455,5;  68,8%</c:v>
                  </c:pt>
                  <c:pt idx="6">
                    <c:v>962,0;  87,6%</c:v>
                  </c:pt>
                  <c:pt idx="7">
                    <c:v>543,2;  71,4%</c:v>
                  </c:pt>
                </c15:dlblRangeCache>
              </c15:datalabelsRange>
            </c:ext>
            <c:ext xmlns:c16="http://schemas.microsoft.com/office/drawing/2014/chart" uri="{C3380CC4-5D6E-409C-BE32-E72D297353CC}">
              <c16:uniqueId val="{00000001-8256-4ABB-99E2-EB949E400A54}"/>
            </c:ext>
          </c:extLst>
        </c:ser>
        <c:ser>
          <c:idx val="2"/>
          <c:order val="2"/>
          <c:tx>
            <c:strRef>
              <c:f>'Politikas mērķi'!$X$12</c:f>
              <c:strCache>
                <c:ptCount val="1"/>
                <c:pt idx="0">
                  <c:v>Iesniegti 4 240,0 (97%)</c:v>
                </c:pt>
              </c:strCache>
            </c:strRef>
          </c:tx>
          <c:spPr>
            <a:solidFill>
              <a:schemeClr val="tx1">
                <a:lumMod val="50000"/>
                <a:lumOff val="50000"/>
                <a:alpha val="80000"/>
              </a:schemeClr>
            </a:solidFill>
            <a:ln>
              <a:noFill/>
            </a:ln>
            <a:effectLst/>
          </c:spPr>
          <c:invertIfNegative val="0"/>
          <c:dPt>
            <c:idx val="2"/>
            <c:invertIfNegative val="0"/>
            <c:bubble3D val="0"/>
            <c:spPr>
              <a:solidFill>
                <a:srgbClr val="D9B828">
                  <a:alpha val="80000"/>
                </a:srgbClr>
              </a:solidFill>
              <a:ln>
                <a:noFill/>
              </a:ln>
              <a:effectLst/>
            </c:spPr>
            <c:extLst>
              <c:ext xmlns:c16="http://schemas.microsoft.com/office/drawing/2014/chart" uri="{C3380CC4-5D6E-409C-BE32-E72D297353CC}">
                <c16:uniqueId val="{0000001F-8256-4ABB-99E2-EB949E400A54}"/>
              </c:ext>
            </c:extLst>
          </c:dPt>
          <c:dPt>
            <c:idx val="3"/>
            <c:invertIfNegative val="0"/>
            <c:bubble3D val="0"/>
            <c:spPr>
              <a:solidFill>
                <a:srgbClr val="00ACDB">
                  <a:alpha val="80000"/>
                </a:srgbClr>
              </a:solidFill>
              <a:ln>
                <a:noFill/>
              </a:ln>
              <a:effectLst/>
            </c:spPr>
            <c:extLst>
              <c:ext xmlns:c16="http://schemas.microsoft.com/office/drawing/2014/chart" uri="{C3380CC4-5D6E-409C-BE32-E72D297353CC}">
                <c16:uniqueId val="{00000020-8256-4ABB-99E2-EB949E400A54}"/>
              </c:ext>
            </c:extLst>
          </c:dPt>
          <c:dPt>
            <c:idx val="4"/>
            <c:invertIfNegative val="0"/>
            <c:bubble3D val="0"/>
            <c:spPr>
              <a:solidFill>
                <a:srgbClr val="D85D58">
                  <a:alpha val="80000"/>
                </a:srgbClr>
              </a:solidFill>
              <a:ln>
                <a:noFill/>
              </a:ln>
              <a:effectLst/>
            </c:spPr>
            <c:extLst>
              <c:ext xmlns:c16="http://schemas.microsoft.com/office/drawing/2014/chart" uri="{C3380CC4-5D6E-409C-BE32-E72D297353CC}">
                <c16:uniqueId val="{0000000D-8256-4ABB-99E2-EB949E400A54}"/>
              </c:ext>
            </c:extLst>
          </c:dPt>
          <c:dPt>
            <c:idx val="5"/>
            <c:invertIfNegative val="0"/>
            <c:bubble3D val="0"/>
            <c:spPr>
              <a:solidFill>
                <a:srgbClr val="F68A42">
                  <a:alpha val="80000"/>
                </a:srgbClr>
              </a:solidFill>
              <a:ln>
                <a:noFill/>
              </a:ln>
              <a:effectLst/>
            </c:spPr>
            <c:extLst>
              <c:ext xmlns:c16="http://schemas.microsoft.com/office/drawing/2014/chart" uri="{C3380CC4-5D6E-409C-BE32-E72D297353CC}">
                <c16:uniqueId val="{00000021-8256-4ABB-99E2-EB949E400A54}"/>
              </c:ext>
            </c:extLst>
          </c:dPt>
          <c:dPt>
            <c:idx val="6"/>
            <c:invertIfNegative val="0"/>
            <c:bubble3D val="0"/>
            <c:spPr>
              <a:solidFill>
                <a:srgbClr val="98CA3D">
                  <a:alpha val="80000"/>
                </a:srgbClr>
              </a:solidFill>
              <a:ln>
                <a:noFill/>
              </a:ln>
              <a:effectLst/>
            </c:spPr>
            <c:extLst>
              <c:ext xmlns:c16="http://schemas.microsoft.com/office/drawing/2014/chart" uri="{C3380CC4-5D6E-409C-BE32-E72D297353CC}">
                <c16:uniqueId val="{0000000C-8256-4ABB-99E2-EB949E400A54}"/>
              </c:ext>
            </c:extLst>
          </c:dPt>
          <c:dPt>
            <c:idx val="7"/>
            <c:invertIfNegative val="0"/>
            <c:bubble3D val="0"/>
            <c:spPr>
              <a:solidFill>
                <a:srgbClr val="26BAA8">
                  <a:alpha val="80000"/>
                </a:srgbClr>
              </a:solidFill>
              <a:ln>
                <a:noFill/>
              </a:ln>
              <a:effectLst/>
            </c:spPr>
            <c:extLst>
              <c:ext xmlns:c16="http://schemas.microsoft.com/office/drawing/2014/chart" uri="{C3380CC4-5D6E-409C-BE32-E72D297353CC}">
                <c16:uniqueId val="{00000022-8256-4ABB-99E2-EB949E400A54}"/>
              </c:ext>
            </c:extLst>
          </c:dPt>
          <c:dLbls>
            <c:dLbl>
              <c:idx val="0"/>
              <c:tx>
                <c:rich>
                  <a:bodyPr/>
                  <a:lstStyle/>
                  <a:p>
                    <a:fld id="{4E9D585D-5773-4CD2-AB4B-11693ECA78E4}"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8256-4ABB-99E2-EB949E400A54}"/>
                </c:ext>
              </c:extLst>
            </c:dLbl>
            <c:dLbl>
              <c:idx val="1"/>
              <c:tx>
                <c:rich>
                  <a:bodyPr/>
                  <a:lstStyle/>
                  <a:p>
                    <a:fld id="{A94252FD-AC59-4731-84CF-AFA6FBC4F5B6}"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8256-4ABB-99E2-EB949E400A54}"/>
                </c:ext>
              </c:extLst>
            </c:dLbl>
            <c:dLbl>
              <c:idx val="2"/>
              <c:tx>
                <c:rich>
                  <a:bodyPr/>
                  <a:lstStyle/>
                  <a:p>
                    <a:fld id="{A30D4581-31FD-470D-8890-6BE4D07AD2C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256-4ABB-99E2-EB949E400A54}"/>
                </c:ext>
              </c:extLst>
            </c:dLbl>
            <c:dLbl>
              <c:idx val="3"/>
              <c:tx>
                <c:rich>
                  <a:bodyPr/>
                  <a:lstStyle/>
                  <a:p>
                    <a:fld id="{607B70CE-FB03-4ACC-B2BE-9BEEBDA6EA3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8256-4ABB-99E2-EB949E400A54}"/>
                </c:ext>
              </c:extLst>
            </c:dLbl>
            <c:dLbl>
              <c:idx val="4"/>
              <c:layout>
                <c:manualLayout>
                  <c:x val="8.4254868189880601E-4"/>
                  <c:y val="4.9612391795177567E-3"/>
                </c:manualLayout>
              </c:layout>
              <c:tx>
                <c:rich>
                  <a:bodyPr/>
                  <a:lstStyle/>
                  <a:p>
                    <a:fld id="{73C1467E-99F1-4EFE-B31F-B0AD0AFCCBCF}"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8256-4ABB-99E2-EB949E400A54}"/>
                </c:ext>
              </c:extLst>
            </c:dLbl>
            <c:dLbl>
              <c:idx val="5"/>
              <c:tx>
                <c:rich>
                  <a:bodyPr/>
                  <a:lstStyle/>
                  <a:p>
                    <a:fld id="{78086237-FEF5-4D64-9786-6123138081E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8256-4ABB-99E2-EB949E400A54}"/>
                </c:ext>
              </c:extLst>
            </c:dLbl>
            <c:dLbl>
              <c:idx val="6"/>
              <c:layout>
                <c:manualLayout>
                  <c:x val="-5.775997512506059E-3"/>
                  <c:y val="-1.6536161769211747E-3"/>
                </c:manualLayout>
              </c:layout>
              <c:tx>
                <c:rich>
                  <a:bodyPr/>
                  <a:lstStyle/>
                  <a:p>
                    <a:fld id="{1A0C74D0-0151-4488-A21B-606B186A7A55}"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layout>
                    <c:manualLayout>
                      <c:w val="0.16034119373756783"/>
                      <c:h val="4.4932289502499695E-2"/>
                    </c:manualLayout>
                  </c15:layout>
                  <c15:dlblFieldTable/>
                  <c15:showDataLabelsRange val="1"/>
                </c:ext>
                <c:ext xmlns:c16="http://schemas.microsoft.com/office/drawing/2014/chart" uri="{C3380CC4-5D6E-409C-BE32-E72D297353CC}">
                  <c16:uniqueId val="{0000000C-8256-4ABB-99E2-EB949E400A54}"/>
                </c:ext>
              </c:extLst>
            </c:dLbl>
            <c:dLbl>
              <c:idx val="7"/>
              <c:tx>
                <c:rich>
                  <a:bodyPr/>
                  <a:lstStyle/>
                  <a:p>
                    <a:fld id="{E87C60AF-0F0D-4BFC-AD97-B4A834B4EFB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8256-4ABB-99E2-EB949E400A54}"/>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mērķi'!$X$13:$X$20</c:f>
              <c:numCache>
                <c:formatCode>General</c:formatCode>
                <c:ptCount val="8"/>
                <c:pt idx="0">
                  <c:v>143696785.60500002</c:v>
                </c:pt>
                <c:pt idx="1">
                  <c:v>4643848</c:v>
                </c:pt>
                <c:pt idx="2">
                  <c:v>141236037.44</c:v>
                </c:pt>
                <c:pt idx="3">
                  <c:v>273944872.47000003</c:v>
                </c:pt>
                <c:pt idx="4">
                  <c:v>1218103136.3600001</c:v>
                </c:pt>
                <c:pt idx="5">
                  <c:v>725125649.97000003</c:v>
                </c:pt>
                <c:pt idx="6">
                  <c:v>1098867262.0699997</c:v>
                </c:pt>
                <c:pt idx="7">
                  <c:v>634399562.25999999</c:v>
                </c:pt>
              </c:numCache>
            </c:numRef>
          </c:val>
          <c:extLst>
            <c:ext xmlns:c15="http://schemas.microsoft.com/office/drawing/2012/chart" uri="{02D57815-91ED-43cb-92C2-25804820EDAC}">
              <c15:datalabelsRange>
                <c15:f>'Politikas mērķi'!$AG$13:$AG$20</c15:f>
                <c15:dlblRangeCache>
                  <c:ptCount val="8"/>
                  <c:pt idx="0">
                    <c:v>143,7;  100,0%</c:v>
                  </c:pt>
                  <c:pt idx="1">
                    <c:v>4,6;  100,0%</c:v>
                  </c:pt>
                  <c:pt idx="2">
                    <c:v>141,2;  76,7%</c:v>
                  </c:pt>
                  <c:pt idx="3">
                    <c:v>273,9;  107,6%</c:v>
                  </c:pt>
                  <c:pt idx="4">
                    <c:v>1 218,1;  96,2%</c:v>
                  </c:pt>
                  <c:pt idx="5">
                    <c:v>725,1;  109,6%</c:v>
                  </c:pt>
                  <c:pt idx="6">
                    <c:v>1 098,9;  100,0%</c:v>
                  </c:pt>
                  <c:pt idx="7">
                    <c:v>634,4;  83,3%</c:v>
                  </c:pt>
                </c15:dlblRangeCache>
              </c15:datalabelsRange>
            </c:ext>
            <c:ext xmlns:c16="http://schemas.microsoft.com/office/drawing/2014/chart" uri="{C3380CC4-5D6E-409C-BE32-E72D297353CC}">
              <c16:uniqueId val="{00000002-8256-4ABB-99E2-EB949E400A54}"/>
            </c:ext>
          </c:extLst>
        </c:ser>
        <c:ser>
          <c:idx val="3"/>
          <c:order val="3"/>
          <c:tx>
            <c:strRef>
              <c:f>'Politikas mērķi'!$Y$12</c:f>
              <c:strCache>
                <c:ptCount val="1"/>
                <c:pt idx="0">
                  <c:v>Piešķīrums 4 374,4</c:v>
                </c:pt>
              </c:strCache>
            </c:strRef>
          </c:tx>
          <c:spPr>
            <a:solidFill>
              <a:schemeClr val="tx1">
                <a:lumMod val="50000"/>
                <a:lumOff val="50000"/>
              </a:schemeClr>
            </a:solidFill>
            <a:ln>
              <a:noFill/>
            </a:ln>
            <a:effectLst/>
          </c:spPr>
          <c:invertIfNegative val="0"/>
          <c:dPt>
            <c:idx val="2"/>
            <c:invertIfNegative val="0"/>
            <c:bubble3D val="0"/>
            <c:spPr>
              <a:solidFill>
                <a:srgbClr val="D9B828"/>
              </a:solidFill>
              <a:ln>
                <a:noFill/>
              </a:ln>
              <a:effectLst/>
            </c:spPr>
            <c:extLst>
              <c:ext xmlns:c16="http://schemas.microsoft.com/office/drawing/2014/chart" uri="{C3380CC4-5D6E-409C-BE32-E72D297353CC}">
                <c16:uniqueId val="{00000025-8256-4ABB-99E2-EB949E400A54}"/>
              </c:ext>
            </c:extLst>
          </c:dPt>
          <c:dPt>
            <c:idx val="3"/>
            <c:invertIfNegative val="0"/>
            <c:bubble3D val="0"/>
            <c:spPr>
              <a:solidFill>
                <a:srgbClr val="00ACDB"/>
              </a:solidFill>
              <a:ln>
                <a:noFill/>
              </a:ln>
              <a:effectLst/>
            </c:spPr>
            <c:extLst>
              <c:ext xmlns:c16="http://schemas.microsoft.com/office/drawing/2014/chart" uri="{C3380CC4-5D6E-409C-BE32-E72D297353CC}">
                <c16:uniqueId val="{00000026-8256-4ABB-99E2-EB949E400A54}"/>
              </c:ext>
            </c:extLst>
          </c:dPt>
          <c:dPt>
            <c:idx val="4"/>
            <c:invertIfNegative val="0"/>
            <c:bubble3D val="0"/>
            <c:spPr>
              <a:solidFill>
                <a:srgbClr val="D85D58"/>
              </a:solidFill>
              <a:ln>
                <a:noFill/>
              </a:ln>
              <a:effectLst/>
            </c:spPr>
            <c:extLst>
              <c:ext xmlns:c16="http://schemas.microsoft.com/office/drawing/2014/chart" uri="{C3380CC4-5D6E-409C-BE32-E72D297353CC}">
                <c16:uniqueId val="{0000000A-8256-4ABB-99E2-EB949E400A54}"/>
              </c:ext>
            </c:extLst>
          </c:dPt>
          <c:dPt>
            <c:idx val="5"/>
            <c:invertIfNegative val="0"/>
            <c:bubble3D val="0"/>
            <c:spPr>
              <a:solidFill>
                <a:srgbClr val="F68A42"/>
              </a:solidFill>
              <a:ln>
                <a:noFill/>
              </a:ln>
              <a:effectLst/>
            </c:spPr>
            <c:extLst>
              <c:ext xmlns:c16="http://schemas.microsoft.com/office/drawing/2014/chart" uri="{C3380CC4-5D6E-409C-BE32-E72D297353CC}">
                <c16:uniqueId val="{00000027-8256-4ABB-99E2-EB949E400A54}"/>
              </c:ext>
            </c:extLst>
          </c:dPt>
          <c:dPt>
            <c:idx val="6"/>
            <c:invertIfNegative val="0"/>
            <c:bubble3D val="0"/>
            <c:spPr>
              <a:solidFill>
                <a:srgbClr val="98CA3D"/>
              </a:solidFill>
              <a:ln>
                <a:noFill/>
              </a:ln>
              <a:effectLst/>
            </c:spPr>
            <c:extLst>
              <c:ext xmlns:c16="http://schemas.microsoft.com/office/drawing/2014/chart" uri="{C3380CC4-5D6E-409C-BE32-E72D297353CC}">
                <c16:uniqueId val="{00000009-8256-4ABB-99E2-EB949E400A54}"/>
              </c:ext>
            </c:extLst>
          </c:dPt>
          <c:dPt>
            <c:idx val="7"/>
            <c:invertIfNegative val="0"/>
            <c:bubble3D val="0"/>
            <c:spPr>
              <a:solidFill>
                <a:srgbClr val="26BAA8"/>
              </a:solidFill>
              <a:ln>
                <a:noFill/>
              </a:ln>
              <a:effectLst/>
            </c:spPr>
            <c:extLst>
              <c:ext xmlns:c16="http://schemas.microsoft.com/office/drawing/2014/chart" uri="{C3380CC4-5D6E-409C-BE32-E72D297353CC}">
                <c16:uniqueId val="{00000028-8256-4ABB-99E2-EB949E400A54}"/>
              </c:ext>
            </c:extLst>
          </c:dPt>
          <c:dLbls>
            <c:dLbl>
              <c:idx val="0"/>
              <c:tx>
                <c:rich>
                  <a:bodyPr/>
                  <a:lstStyle/>
                  <a:p>
                    <a:fld id="{9B4EBA55-539A-4CEB-8BAD-5A81D1025830}"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8256-4ABB-99E2-EB949E400A54}"/>
                </c:ext>
              </c:extLst>
            </c:dLbl>
            <c:dLbl>
              <c:idx val="1"/>
              <c:tx>
                <c:rich>
                  <a:bodyPr/>
                  <a:lstStyle/>
                  <a:p>
                    <a:fld id="{FA959A08-54F7-4F66-83E5-74F5D76959D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8256-4ABB-99E2-EB949E400A54}"/>
                </c:ext>
              </c:extLst>
            </c:dLbl>
            <c:dLbl>
              <c:idx val="2"/>
              <c:tx>
                <c:rich>
                  <a:bodyPr/>
                  <a:lstStyle/>
                  <a:p>
                    <a:fld id="{95474F79-BCD2-49FC-8508-6D5DFEB60150}"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8256-4ABB-99E2-EB949E400A54}"/>
                </c:ext>
              </c:extLst>
            </c:dLbl>
            <c:dLbl>
              <c:idx val="3"/>
              <c:tx>
                <c:rich>
                  <a:bodyPr/>
                  <a:lstStyle/>
                  <a:p>
                    <a:fld id="{7C957DC6-17CF-4125-9962-FD6E10CFAED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8256-4ABB-99E2-EB949E400A54}"/>
                </c:ext>
              </c:extLst>
            </c:dLbl>
            <c:dLbl>
              <c:idx val="4"/>
              <c:layout>
                <c:manualLayout>
                  <c:x val="1.7649289621121448E-3"/>
                  <c:y val="1.1482033561587286E-3"/>
                </c:manualLayout>
              </c:layout>
              <c:tx>
                <c:rich>
                  <a:bodyPr/>
                  <a:lstStyle/>
                  <a:p>
                    <a:fld id="{F8BBA4BE-1C5D-48D5-95FA-3887865E2720}"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8256-4ABB-99E2-EB949E400A54}"/>
                </c:ext>
              </c:extLst>
            </c:dLbl>
            <c:dLbl>
              <c:idx val="5"/>
              <c:layout>
                <c:manualLayout>
                  <c:x val="4.1968068205222711E-2"/>
                  <c:y val="-4.8769841549217196E-3"/>
                </c:manualLayout>
              </c:layout>
              <c:tx>
                <c:rich>
                  <a:bodyPr/>
                  <a:lstStyle/>
                  <a:p>
                    <a:fld id="{4F2C481F-EB62-444C-8A16-91271B3AE637}"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8256-4ABB-99E2-EB949E400A54}"/>
                </c:ext>
              </c:extLst>
            </c:dLbl>
            <c:dLbl>
              <c:idx val="6"/>
              <c:layout>
                <c:manualLayout>
                  <c:x val="2.341397232075874E-3"/>
                  <c:y val="-9.7469280440029419E-4"/>
                </c:manualLayout>
              </c:layout>
              <c:tx>
                <c:rich>
                  <a:bodyPr/>
                  <a:lstStyle/>
                  <a:p>
                    <a:fld id="{D93D5AFA-401D-48F9-BC5D-12D002DB1AF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layout>
                    <c:manualLayout>
                      <c:w val="0.16540386875658245"/>
                      <c:h val="8.3654870807921694E-2"/>
                    </c:manualLayout>
                  </c15:layout>
                  <c15:dlblFieldTable/>
                  <c15:showDataLabelsRange val="1"/>
                </c:ext>
                <c:ext xmlns:c16="http://schemas.microsoft.com/office/drawing/2014/chart" uri="{C3380CC4-5D6E-409C-BE32-E72D297353CC}">
                  <c16:uniqueId val="{00000009-8256-4ABB-99E2-EB949E400A54}"/>
                </c:ext>
              </c:extLst>
            </c:dLbl>
            <c:dLbl>
              <c:idx val="7"/>
              <c:tx>
                <c:rich>
                  <a:bodyPr/>
                  <a:lstStyle/>
                  <a:p>
                    <a:fld id="{9E588A2C-2F63-456B-91F7-571AC6ACAF16}"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8256-4ABB-99E2-EB949E400A54}"/>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mērķi'!$Y$13:$Y$20</c:f>
              <c:numCache>
                <c:formatCode>General</c:formatCode>
                <c:ptCount val="8"/>
                <c:pt idx="0">
                  <c:v>143696785.60500002</c:v>
                </c:pt>
                <c:pt idx="1">
                  <c:v>4643848</c:v>
                </c:pt>
                <c:pt idx="2">
                  <c:v>184237327</c:v>
                </c:pt>
                <c:pt idx="3">
                  <c:v>254708402</c:v>
                </c:pt>
                <c:pt idx="4">
                  <c:v>1265858205</c:v>
                </c:pt>
                <c:pt idx="5">
                  <c:v>661652054</c:v>
                </c:pt>
                <c:pt idx="6">
                  <c:v>1098326909</c:v>
                </c:pt>
                <c:pt idx="7">
                  <c:v>761269384</c:v>
                </c:pt>
              </c:numCache>
            </c:numRef>
          </c:val>
          <c:extLst>
            <c:ext xmlns:c15="http://schemas.microsoft.com/office/drawing/2012/chart" uri="{02D57815-91ED-43cb-92C2-25804820EDAC}">
              <c15:datalabelsRange>
                <c15:f>'Politikas mērķi'!$AH$13:$AH$20</c15:f>
                <c15:dlblRangeCache>
                  <c:ptCount val="8"/>
                  <c:pt idx="0">
                    <c:v>143,7 </c:v>
                  </c:pt>
                  <c:pt idx="1">
                    <c:v>4,6 </c:v>
                  </c:pt>
                  <c:pt idx="2">
                    <c:v>184,2 </c:v>
                  </c:pt>
                  <c:pt idx="3">
                    <c:v>254,7+ 2,5 </c:v>
                  </c:pt>
                  <c:pt idx="4">
                    <c:v>1 265,9 </c:v>
                  </c:pt>
                  <c:pt idx="5">
                    <c:v>661,7+ 65,8 </c:v>
                  </c:pt>
                  <c:pt idx="6">
                    <c:v>1 098,3+ 87,4 </c:v>
                  </c:pt>
                  <c:pt idx="7">
                    <c:v>761,3 </c:v>
                  </c:pt>
                </c15:dlblRangeCache>
              </c15:datalabelsRange>
            </c:ext>
            <c:ext xmlns:c16="http://schemas.microsoft.com/office/drawing/2014/chart" uri="{C3380CC4-5D6E-409C-BE32-E72D297353CC}">
              <c16:uniqueId val="{00000003-8256-4ABB-99E2-EB949E400A54}"/>
            </c:ext>
          </c:extLst>
        </c:ser>
        <c:ser>
          <c:idx val="4"/>
          <c:order val="4"/>
          <c:tx>
            <c:strRef>
              <c:f>'Politikas mērķi'!$Z$12</c:f>
              <c:strCache>
                <c:ptCount val="1"/>
              </c:strCache>
            </c:strRef>
          </c:tx>
          <c:spPr>
            <a:solidFill>
              <a:schemeClr val="accent5"/>
            </a:solidFill>
            <a:ln>
              <a:noFill/>
            </a:ln>
            <a:effectLst/>
          </c:spPr>
          <c:invertIfNegative val="0"/>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mērķi'!$Z$13:$Z$20</c:f>
              <c:numCache>
                <c:formatCode>General</c:formatCode>
                <c:ptCount val="8"/>
              </c:numCache>
            </c:numRef>
          </c:val>
          <c:extLst>
            <c:ext xmlns:c16="http://schemas.microsoft.com/office/drawing/2014/chart" uri="{C3380CC4-5D6E-409C-BE32-E72D297353CC}">
              <c16:uniqueId val="{00000004-8256-4ABB-99E2-EB949E400A54}"/>
            </c:ext>
          </c:extLst>
        </c:ser>
        <c:dLbls>
          <c:showLegendKey val="0"/>
          <c:showVal val="0"/>
          <c:showCatName val="0"/>
          <c:showSerName val="0"/>
          <c:showPercent val="0"/>
          <c:showBubbleSize val="0"/>
        </c:dLbls>
        <c:gapWidth val="6"/>
        <c:overlap val="-5"/>
        <c:axId val="94328368"/>
        <c:axId val="94328848"/>
        <c:extLst>
          <c:ext xmlns:c15="http://schemas.microsoft.com/office/drawing/2012/chart" uri="{02D57815-91ED-43cb-92C2-25804820EDAC}">
            <c15:filteredBarSeries>
              <c15:ser>
                <c:idx val="5"/>
                <c:order val="5"/>
                <c:tx>
                  <c:strRef>
                    <c:extLst>
                      <c:ext uri="{02D57815-91ED-43cb-92C2-25804820EDAC}">
                        <c15:formulaRef>
                          <c15:sqref>'Politikas mērķi'!$AA$12</c15:sqref>
                        </c15:formulaRef>
                      </c:ext>
                    </c:extLst>
                    <c:strCache>
                      <c:ptCount val="1"/>
                    </c:strCache>
                  </c:strRef>
                </c:tx>
                <c:spPr>
                  <a:solidFill>
                    <a:schemeClr val="accent6"/>
                  </a:solidFill>
                  <a:ln>
                    <a:noFill/>
                  </a:ln>
                  <a:effectLst/>
                </c:spPr>
                <c:invertIfNegative val="0"/>
                <c:cat>
                  <c:strRef>
                    <c:extLst>
                      <c:ext uri="{02D57815-91ED-43cb-92C2-25804820EDAC}">
                        <c15:formulaRef>
                          <c15:sqref>'Politikas mērķi'!$U$13:$U$20</c15:sqref>
                        </c15:formulaRef>
                      </c:ext>
                    </c:extLst>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extLst>
                      <c:ext uri="{02D57815-91ED-43cb-92C2-25804820EDAC}">
                        <c15:formulaRef>
                          <c15:sqref>'Politikas mērķi'!$AA$13:$AA$20</c15:sqref>
                        </c15:formulaRef>
                      </c:ext>
                    </c:extLst>
                    <c:numCache>
                      <c:formatCode>General</c:formatCode>
                      <c:ptCount val="8"/>
                    </c:numCache>
                  </c:numRef>
                </c:val>
                <c:extLst>
                  <c:ext xmlns:c16="http://schemas.microsoft.com/office/drawing/2014/chart" uri="{C3380CC4-5D6E-409C-BE32-E72D297353CC}">
                    <c16:uniqueId val="{00000005-8256-4ABB-99E2-EB949E400A54}"/>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'Politikas mērķi'!$AB$12</c15:sqref>
                        </c15:formulaRef>
                      </c:ext>
                    </c:extLst>
                    <c:strCache>
                      <c:ptCount val="1"/>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'Politikas mērķi'!$U$13:$U$20</c15:sqref>
                        </c15:formulaRef>
                      </c:ext>
                    </c:extLst>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extLst xmlns:c15="http://schemas.microsoft.com/office/drawing/2012/chart">
                      <c:ext xmlns:c15="http://schemas.microsoft.com/office/drawing/2012/chart" uri="{02D57815-91ED-43cb-92C2-25804820EDAC}">
                        <c15:formulaRef>
                          <c15:sqref>'Politikas mērķi'!$AB$13:$AB$20</c15:sqref>
                        </c15:formulaRef>
                      </c:ext>
                    </c:extLst>
                    <c:numCache>
                      <c:formatCode>General</c:formatCode>
                      <c:ptCount val="8"/>
                    </c:numCache>
                  </c:numRef>
                </c:val>
                <c:extLst xmlns:c15="http://schemas.microsoft.com/office/drawing/2012/chart">
                  <c:ext xmlns:c16="http://schemas.microsoft.com/office/drawing/2014/chart" uri="{C3380CC4-5D6E-409C-BE32-E72D297353CC}">
                    <c16:uniqueId val="{00000006-8256-4ABB-99E2-EB949E400A54}"/>
                  </c:ext>
                </c:extLst>
              </c15:ser>
            </c15:filteredBarSeries>
          </c:ext>
        </c:extLst>
      </c:barChart>
      <c:barChart>
        <c:barDir val="bar"/>
        <c:grouping val="stacked"/>
        <c:varyColors val="0"/>
        <c:ser>
          <c:idx val="7"/>
          <c:order val="7"/>
          <c:tx>
            <c:strRef>
              <c:f>'Politikas mērķi'!$AC$12</c:f>
              <c:strCache>
                <c:ptCount val="1"/>
                <c:pt idx="0">
                  <c:v>Piešķīrums 2</c:v>
                </c:pt>
              </c:strCache>
            </c:strRef>
          </c:tx>
          <c:spPr>
            <a:noFill/>
            <a:ln>
              <a:noFill/>
            </a:ln>
            <a:effectLst/>
          </c:spPr>
          <c:invertIfNegative val="0"/>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mērķi'!$AC$13:$AC$20</c:f>
              <c:numCache>
                <c:formatCode>General</c:formatCode>
                <c:ptCount val="8"/>
                <c:pt idx="0">
                  <c:v>143696785.60500002</c:v>
                </c:pt>
                <c:pt idx="1">
                  <c:v>4643848</c:v>
                </c:pt>
                <c:pt idx="2">
                  <c:v>184237327</c:v>
                </c:pt>
                <c:pt idx="3">
                  <c:v>254708402</c:v>
                </c:pt>
                <c:pt idx="4">
                  <c:v>1265858205</c:v>
                </c:pt>
                <c:pt idx="5">
                  <c:v>661652054</c:v>
                </c:pt>
                <c:pt idx="6">
                  <c:v>1098326909</c:v>
                </c:pt>
                <c:pt idx="7">
                  <c:v>761269384</c:v>
                </c:pt>
              </c:numCache>
            </c:numRef>
          </c:val>
          <c:extLst>
            <c:ext xmlns:c16="http://schemas.microsoft.com/office/drawing/2014/chart" uri="{C3380CC4-5D6E-409C-BE32-E72D297353CC}">
              <c16:uniqueId val="{00000007-8256-4ABB-99E2-EB949E400A54}"/>
            </c:ext>
          </c:extLst>
        </c:ser>
        <c:ser>
          <c:idx val="8"/>
          <c:order val="8"/>
          <c:tx>
            <c:strRef>
              <c:f>'Politikas mērķi'!$AD$12</c:f>
              <c:strCache>
                <c:ptCount val="1"/>
                <c:pt idx="0">
                  <c:v>Valsts budžets, kas pārsniedz pasākuma ES fondu finansējumu 155,8 </c:v>
                </c:pt>
              </c:strCache>
            </c:strRef>
          </c:tx>
          <c:spPr>
            <a:pattFill prst="pct75">
              <a:fgClr>
                <a:srgbClr val="98CA3D"/>
              </a:fgClr>
              <a:bgClr>
                <a:schemeClr val="bg1"/>
              </a:bgClr>
            </a:pattFill>
            <a:ln>
              <a:noFill/>
            </a:ln>
            <a:effectLst/>
          </c:spPr>
          <c:invertIfNegative val="0"/>
          <c:dPt>
            <c:idx val="3"/>
            <c:invertIfNegative val="0"/>
            <c:bubble3D val="0"/>
            <c:spPr>
              <a:pattFill prst="pct75">
                <a:fgClr>
                  <a:srgbClr val="00ACDB"/>
                </a:fgClr>
                <a:bgClr>
                  <a:schemeClr val="bg1"/>
                </a:bgClr>
              </a:pattFill>
              <a:ln>
                <a:noFill/>
              </a:ln>
              <a:effectLst/>
            </c:spPr>
            <c:extLst>
              <c:ext xmlns:c16="http://schemas.microsoft.com/office/drawing/2014/chart" uri="{C3380CC4-5D6E-409C-BE32-E72D297353CC}">
                <c16:uniqueId val="{00000029-8256-4ABB-99E2-EB949E400A54}"/>
              </c:ext>
            </c:extLst>
          </c:dPt>
          <c:dPt>
            <c:idx val="5"/>
            <c:invertIfNegative val="0"/>
            <c:bubble3D val="0"/>
            <c:spPr>
              <a:pattFill prst="pct75">
                <a:fgClr>
                  <a:srgbClr val="F79646"/>
                </a:fgClr>
                <a:bgClr>
                  <a:schemeClr val="bg1"/>
                </a:bgClr>
              </a:pattFill>
              <a:ln>
                <a:noFill/>
              </a:ln>
              <a:effectLst/>
            </c:spPr>
            <c:extLst>
              <c:ext xmlns:c16="http://schemas.microsoft.com/office/drawing/2014/chart" uri="{C3380CC4-5D6E-409C-BE32-E72D297353CC}">
                <c16:uniqueId val="{00000032-21AE-4004-AFD2-097B560386FE}"/>
              </c:ext>
            </c:extLst>
          </c:dPt>
          <c:cat>
            <c:strRef>
              <c:f>'Politikas mērķi'!$U$13:$U$20</c:f>
              <c:strCache>
                <c:ptCount val="8"/>
                <c:pt idx="0">
                  <c:v>TP Kapacitātes stiprināšanas pasākumi </c:v>
                </c:pt>
                <c:pt idx="1">
                  <c:v>7. Kapacitātes stiprināšanas pasākumi </c:v>
                </c:pt>
                <c:pt idx="2">
                  <c:v>6. "Taisnīgās pārkārtošanās fonda investīcijas"</c:v>
                </c:pt>
                <c:pt idx="3">
                  <c:v>5. "Iedzīvotājiem tuvāka Eiropa"</c:v>
                </c:pt>
                <c:pt idx="4">
                  <c:v>4. "Sociālāka Eiropa"</c:v>
                </c:pt>
                <c:pt idx="5">
                  <c:v>3. "Savienotāka Eiropa"</c:v>
                </c:pt>
                <c:pt idx="6">
                  <c:v>2. "Zaļāka Eiropa"</c:v>
                </c:pt>
                <c:pt idx="7">
                  <c:v>1. "Viedāka Eiropa"</c:v>
                </c:pt>
              </c:strCache>
            </c:strRef>
          </c:cat>
          <c:val>
            <c:numRef>
              <c:f>'Politikas mērķi'!$AD$13:$AD$20</c:f>
              <c:numCache>
                <c:formatCode>General</c:formatCode>
                <c:ptCount val="8"/>
                <c:pt idx="0">
                  <c:v>0</c:v>
                </c:pt>
                <c:pt idx="1">
                  <c:v>0</c:v>
                </c:pt>
                <c:pt idx="2">
                  <c:v>0</c:v>
                </c:pt>
                <c:pt idx="3">
                  <c:v>2526446</c:v>
                </c:pt>
                <c:pt idx="4">
                  <c:v>0</c:v>
                </c:pt>
                <c:pt idx="5">
                  <c:v>65791802</c:v>
                </c:pt>
                <c:pt idx="6">
                  <c:v>87449480</c:v>
                </c:pt>
                <c:pt idx="7">
                  <c:v>0</c:v>
                </c:pt>
              </c:numCache>
            </c:numRef>
          </c:val>
          <c:extLst>
            <c:ext xmlns:c16="http://schemas.microsoft.com/office/drawing/2014/chart" uri="{C3380CC4-5D6E-409C-BE32-E72D297353CC}">
              <c16:uniqueId val="{00000008-8256-4ABB-99E2-EB949E400A54}"/>
            </c:ext>
          </c:extLst>
        </c:ser>
        <c:dLbls>
          <c:showLegendKey val="0"/>
          <c:showVal val="0"/>
          <c:showCatName val="0"/>
          <c:showSerName val="0"/>
          <c:showPercent val="0"/>
          <c:showBubbleSize val="0"/>
        </c:dLbls>
        <c:gapWidth val="210"/>
        <c:overlap val="-100"/>
        <c:axId val="1994931184"/>
        <c:axId val="1994914384"/>
      </c:barChart>
      <c:catAx>
        <c:axId val="943283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94328848"/>
        <c:crosses val="autoZero"/>
        <c:auto val="1"/>
        <c:lblAlgn val="ctr"/>
        <c:lblOffset val="100"/>
        <c:noMultiLvlLbl val="0"/>
      </c:catAx>
      <c:valAx>
        <c:axId val="94328848"/>
        <c:scaling>
          <c:orientation val="minMax"/>
        </c:scaling>
        <c:delete val="1"/>
        <c:axPos val="b"/>
        <c:numFmt formatCode="#\ ##0.0" sourceLinked="1"/>
        <c:majorTickMark val="none"/>
        <c:minorTickMark val="none"/>
        <c:tickLblPos val="nextTo"/>
        <c:crossAx val="94328368"/>
        <c:crosses val="autoZero"/>
        <c:crossBetween val="between"/>
      </c:valAx>
      <c:valAx>
        <c:axId val="1994914384"/>
        <c:scaling>
          <c:orientation val="minMax"/>
        </c:scaling>
        <c:delete val="1"/>
        <c:axPos val="t"/>
        <c:numFmt formatCode="General" sourceLinked="1"/>
        <c:majorTickMark val="out"/>
        <c:minorTickMark val="none"/>
        <c:tickLblPos val="nextTo"/>
        <c:crossAx val="1994931184"/>
        <c:crosses val="max"/>
        <c:crossBetween val="between"/>
      </c:valAx>
      <c:catAx>
        <c:axId val="1994931184"/>
        <c:scaling>
          <c:orientation val="minMax"/>
        </c:scaling>
        <c:delete val="1"/>
        <c:axPos val="l"/>
        <c:numFmt formatCode="General" sourceLinked="1"/>
        <c:majorTickMark val="out"/>
        <c:minorTickMark val="none"/>
        <c:tickLblPos val="nextTo"/>
        <c:crossAx val="199491438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59569464455383E-2"/>
          <c:y val="0"/>
          <c:w val="0.79624578211099473"/>
          <c:h val="1"/>
        </c:manualLayout>
      </c:layout>
      <c:barChart>
        <c:barDir val="bar"/>
        <c:grouping val="clustered"/>
        <c:varyColors val="0"/>
        <c:ser>
          <c:idx val="0"/>
          <c:order val="0"/>
          <c:tx>
            <c:strRef>
              <c:f>'Politikas mērķi'!$V$12</c:f>
              <c:strCache>
                <c:ptCount val="1"/>
                <c:pt idx="0">
                  <c:v>Maksājumi 1 031,8 (24%)</c:v>
                </c:pt>
              </c:strCache>
            </c:strRef>
          </c:tx>
          <c:spPr>
            <a:solidFill>
              <a:schemeClr val="tx1">
                <a:lumMod val="50000"/>
                <a:lumOff val="50000"/>
                <a:alpha val="40000"/>
              </a:schemeClr>
            </a:solidFill>
            <a:ln>
              <a:noFill/>
            </a:ln>
            <a:effectLst/>
          </c:spPr>
          <c:invertIfNegative val="0"/>
          <c:dPt>
            <c:idx val="0"/>
            <c:invertIfNegative val="0"/>
            <c:bubble3D val="0"/>
            <c:spPr>
              <a:solidFill>
                <a:srgbClr val="C5D2E1">
                  <a:alpha val="40000"/>
                </a:srgbClr>
              </a:solidFill>
              <a:ln>
                <a:noFill/>
              </a:ln>
              <a:effectLst/>
            </c:spPr>
            <c:extLst>
              <c:ext xmlns:c16="http://schemas.microsoft.com/office/drawing/2014/chart" uri="{C3380CC4-5D6E-409C-BE32-E72D297353CC}">
                <c16:uniqueId val="{0000000C-B1C8-4D0A-A596-EDB3236DA32C}"/>
              </c:ext>
            </c:extLst>
          </c:dPt>
          <c:dPt>
            <c:idx val="1"/>
            <c:invertIfNegative val="0"/>
            <c:bubble3D val="0"/>
            <c:spPr>
              <a:solidFill>
                <a:srgbClr val="12239E">
                  <a:alpha val="40000"/>
                </a:srgbClr>
              </a:solidFill>
              <a:ln>
                <a:noFill/>
              </a:ln>
              <a:effectLst/>
            </c:spPr>
            <c:extLst>
              <c:ext xmlns:c16="http://schemas.microsoft.com/office/drawing/2014/chart" uri="{C3380CC4-5D6E-409C-BE32-E72D297353CC}">
                <c16:uniqueId val="{0000000D-B1C8-4D0A-A596-EDB3236DA32C}"/>
              </c:ext>
            </c:extLst>
          </c:dPt>
          <c:dPt>
            <c:idx val="2"/>
            <c:invertIfNegative val="0"/>
            <c:bubble3D val="0"/>
            <c:spPr>
              <a:solidFill>
                <a:srgbClr val="808080">
                  <a:alpha val="40000"/>
                </a:srgbClr>
              </a:solidFill>
              <a:ln>
                <a:noFill/>
              </a:ln>
              <a:effectLst/>
            </c:spPr>
            <c:extLst>
              <c:ext xmlns:c16="http://schemas.microsoft.com/office/drawing/2014/chart" uri="{C3380CC4-5D6E-409C-BE32-E72D297353CC}">
                <c16:uniqueId val="{00000001-B1C8-4D0A-A596-EDB3236DA32C}"/>
              </c:ext>
            </c:extLst>
          </c:dPt>
          <c:dPt>
            <c:idx val="3"/>
            <c:invertIfNegative val="0"/>
            <c:bubble3D val="0"/>
            <c:spPr>
              <a:solidFill>
                <a:srgbClr val="118DFF">
                  <a:alpha val="40000"/>
                </a:srgbClr>
              </a:solidFill>
              <a:ln>
                <a:noFill/>
              </a:ln>
              <a:effectLst/>
            </c:spPr>
            <c:extLst>
              <c:ext xmlns:c16="http://schemas.microsoft.com/office/drawing/2014/chart" uri="{C3380CC4-5D6E-409C-BE32-E72D297353CC}">
                <c16:uniqueId val="{00000003-B1C8-4D0A-A596-EDB3236DA32C}"/>
              </c:ext>
            </c:extLst>
          </c:dPt>
          <c:dPt>
            <c:idx val="4"/>
            <c:invertIfNegative val="0"/>
            <c:bubble3D val="0"/>
            <c:spPr>
              <a:solidFill>
                <a:srgbClr val="D85D58">
                  <a:alpha val="40000"/>
                </a:srgbClr>
              </a:solidFill>
              <a:ln>
                <a:noFill/>
              </a:ln>
              <a:effectLst/>
            </c:spPr>
            <c:extLst>
              <c:ext xmlns:c16="http://schemas.microsoft.com/office/drawing/2014/chart" uri="{C3380CC4-5D6E-409C-BE32-E72D297353CC}">
                <c16:uniqueId val="{00000005-B1C8-4D0A-A596-EDB3236DA32C}"/>
              </c:ext>
            </c:extLst>
          </c:dPt>
          <c:dPt>
            <c:idx val="5"/>
            <c:invertIfNegative val="0"/>
            <c:bubble3D val="0"/>
            <c:spPr>
              <a:solidFill>
                <a:srgbClr val="F68A42">
                  <a:alpha val="40000"/>
                </a:srgbClr>
              </a:solidFill>
              <a:ln>
                <a:noFill/>
              </a:ln>
              <a:effectLst/>
            </c:spPr>
            <c:extLst>
              <c:ext xmlns:c16="http://schemas.microsoft.com/office/drawing/2014/chart" uri="{C3380CC4-5D6E-409C-BE32-E72D297353CC}">
                <c16:uniqueId val="{00000007-B1C8-4D0A-A596-EDB3236DA32C}"/>
              </c:ext>
            </c:extLst>
          </c:dPt>
          <c:dPt>
            <c:idx val="6"/>
            <c:invertIfNegative val="0"/>
            <c:bubble3D val="0"/>
            <c:spPr>
              <a:solidFill>
                <a:srgbClr val="98CA3D">
                  <a:alpha val="40000"/>
                </a:srgbClr>
              </a:solidFill>
              <a:ln>
                <a:noFill/>
              </a:ln>
              <a:effectLst/>
            </c:spPr>
            <c:extLst>
              <c:ext xmlns:c16="http://schemas.microsoft.com/office/drawing/2014/chart" uri="{C3380CC4-5D6E-409C-BE32-E72D297353CC}">
                <c16:uniqueId val="{00000009-B1C8-4D0A-A596-EDB3236DA32C}"/>
              </c:ext>
            </c:extLst>
          </c:dPt>
          <c:dPt>
            <c:idx val="7"/>
            <c:invertIfNegative val="0"/>
            <c:bubble3D val="0"/>
            <c:spPr>
              <a:solidFill>
                <a:srgbClr val="26BAA8">
                  <a:alpha val="40000"/>
                </a:srgbClr>
              </a:solidFill>
              <a:ln>
                <a:noFill/>
              </a:ln>
              <a:effectLst/>
            </c:spPr>
            <c:extLst>
              <c:ext xmlns:c16="http://schemas.microsoft.com/office/drawing/2014/chart" uri="{C3380CC4-5D6E-409C-BE32-E72D297353CC}">
                <c16:uniqueId val="{0000000B-B1C8-4D0A-A596-EDB3236DA32C}"/>
              </c:ext>
            </c:extLst>
          </c:dPt>
          <c:dLbls>
            <c:dLbl>
              <c:idx val="0"/>
              <c:tx>
                <c:rich>
                  <a:bodyPr/>
                  <a:lstStyle/>
                  <a:p>
                    <a:fld id="{AF4FA456-9939-4F62-958B-C4F7BADCAC6E}"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B1C8-4D0A-A596-EDB3236DA32C}"/>
                </c:ext>
              </c:extLst>
            </c:dLbl>
            <c:dLbl>
              <c:idx val="1"/>
              <c:tx>
                <c:rich>
                  <a:bodyPr/>
                  <a:lstStyle/>
                  <a:p>
                    <a:fld id="{F9AD2B1B-AC19-49C0-A6AF-D26588738CD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1C8-4D0A-A596-EDB3236DA32C}"/>
                </c:ext>
              </c:extLst>
            </c:dLbl>
            <c:dLbl>
              <c:idx val="2"/>
              <c:tx>
                <c:rich>
                  <a:bodyPr/>
                  <a:lstStyle/>
                  <a:p>
                    <a:fld id="{6E41FE1B-735B-4111-A5BC-FFAFE58C5A3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1C8-4D0A-A596-EDB3236DA32C}"/>
                </c:ext>
              </c:extLst>
            </c:dLbl>
            <c:dLbl>
              <c:idx val="3"/>
              <c:tx>
                <c:rich>
                  <a:bodyPr/>
                  <a:lstStyle/>
                  <a:p>
                    <a:fld id="{A4C3128F-8FCB-45C2-8C7B-8D4D3787065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1C8-4D0A-A596-EDB3236DA32C}"/>
                </c:ext>
              </c:extLst>
            </c:dLbl>
            <c:dLbl>
              <c:idx val="4"/>
              <c:tx>
                <c:rich>
                  <a:bodyPr/>
                  <a:lstStyle/>
                  <a:p>
                    <a:fld id="{E5ADD512-2804-4F17-B4B3-D95C78410012}"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B1C8-4D0A-A596-EDB3236DA32C}"/>
                </c:ext>
              </c:extLst>
            </c:dLbl>
            <c:dLbl>
              <c:idx val="5"/>
              <c:tx>
                <c:rich>
                  <a:bodyPr/>
                  <a:lstStyle/>
                  <a:p>
                    <a:fld id="{A3C121B6-0A8A-40DA-A628-34205DBC73E0}"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1C8-4D0A-A596-EDB3236DA32C}"/>
                </c:ext>
              </c:extLst>
            </c:dLbl>
            <c:dLbl>
              <c:idx val="6"/>
              <c:tx>
                <c:rich>
                  <a:bodyPr/>
                  <a:lstStyle/>
                  <a:p>
                    <a:fld id="{D3309245-6D6D-4518-8E05-5DE74D8B8B55}"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1C8-4D0A-A596-EDB3236DA32C}"/>
                </c:ext>
              </c:extLst>
            </c:dLbl>
            <c:dLbl>
              <c:idx val="7"/>
              <c:tx>
                <c:rich>
                  <a:bodyPr/>
                  <a:lstStyle/>
                  <a:p>
                    <a:fld id="{91F0964E-C3B0-4D44-AD44-C7F897F3D5B9}"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1C8-4D0A-A596-EDB3236DA32C}"/>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mērķi'!$U$27:$U$30</c:f>
              <c:strCache>
                <c:ptCount val="4"/>
                <c:pt idx="0">
                  <c:v>TPF</c:v>
                </c:pt>
                <c:pt idx="1">
                  <c:v>ESF+</c:v>
                </c:pt>
                <c:pt idx="2">
                  <c:v>KF</c:v>
                </c:pt>
                <c:pt idx="3">
                  <c:v>ERAF</c:v>
                </c:pt>
              </c:strCache>
            </c:strRef>
          </c:cat>
          <c:val>
            <c:numRef>
              <c:f>'Politikas mērķi'!$V$27:$V$30</c:f>
              <c:numCache>
                <c:formatCode>#\ ##0.0</c:formatCode>
                <c:ptCount val="4"/>
                <c:pt idx="0">
                  <c:v>46489938.528800003</c:v>
                </c:pt>
                <c:pt idx="1">
                  <c:v>114705085.7888</c:v>
                </c:pt>
                <c:pt idx="2">
                  <c:v>173033324.50799999</c:v>
                </c:pt>
                <c:pt idx="3">
                  <c:v>697619145.30800021</c:v>
                </c:pt>
              </c:numCache>
            </c:numRef>
          </c:val>
          <c:extLst>
            <c:ext xmlns:c15="http://schemas.microsoft.com/office/drawing/2012/chart" uri="{02D57815-91ED-43cb-92C2-25804820EDAC}">
              <c15:datalabelsRange>
                <c15:f>'Politikas mērķi'!$AE$27:$AE$30</c15:f>
                <c15:dlblRangeCache>
                  <c:ptCount val="4"/>
                  <c:pt idx="0">
                    <c:v>46,5;  24,3%</c:v>
                  </c:pt>
                  <c:pt idx="1">
                    <c:v>114,7;  17,6%</c:v>
                  </c:pt>
                  <c:pt idx="2">
                    <c:v>173,0;  20,0%</c:v>
                  </c:pt>
                  <c:pt idx="3">
                    <c:v>697,6;  26,2%</c:v>
                  </c:pt>
                </c15:dlblRangeCache>
              </c15:datalabelsRange>
            </c:ext>
            <c:ext xmlns:c16="http://schemas.microsoft.com/office/drawing/2014/chart" uri="{C3380CC4-5D6E-409C-BE32-E72D297353CC}">
              <c16:uniqueId val="{0000000E-B1C8-4D0A-A596-EDB3236DA32C}"/>
            </c:ext>
          </c:extLst>
        </c:ser>
        <c:ser>
          <c:idx val="1"/>
          <c:order val="1"/>
          <c:tx>
            <c:strRef>
              <c:f>'Politikas mērķi'!$W$12</c:f>
              <c:strCache>
                <c:ptCount val="1"/>
                <c:pt idx="0">
                  <c:v>Līgums 3 582,6 (82%)</c:v>
                </c:pt>
              </c:strCache>
            </c:strRef>
          </c:tx>
          <c:spPr>
            <a:solidFill>
              <a:schemeClr val="tx1">
                <a:lumMod val="50000"/>
                <a:lumOff val="50000"/>
                <a:alpha val="60000"/>
              </a:schemeClr>
            </a:solidFill>
            <a:ln>
              <a:noFill/>
            </a:ln>
            <a:effectLst/>
          </c:spPr>
          <c:invertIfNegative val="0"/>
          <c:dPt>
            <c:idx val="0"/>
            <c:invertIfNegative val="0"/>
            <c:bubble3D val="0"/>
            <c:spPr>
              <a:solidFill>
                <a:srgbClr val="C5D2E1">
                  <a:alpha val="60000"/>
                </a:srgbClr>
              </a:solidFill>
              <a:ln>
                <a:noFill/>
              </a:ln>
              <a:effectLst/>
            </c:spPr>
            <c:extLst>
              <c:ext xmlns:c16="http://schemas.microsoft.com/office/drawing/2014/chart" uri="{C3380CC4-5D6E-409C-BE32-E72D297353CC}">
                <c16:uniqueId val="{0000001B-B1C8-4D0A-A596-EDB3236DA32C}"/>
              </c:ext>
            </c:extLst>
          </c:dPt>
          <c:dPt>
            <c:idx val="1"/>
            <c:invertIfNegative val="0"/>
            <c:bubble3D val="0"/>
            <c:spPr>
              <a:solidFill>
                <a:srgbClr val="12239E">
                  <a:alpha val="60000"/>
                </a:srgbClr>
              </a:solidFill>
              <a:ln>
                <a:noFill/>
              </a:ln>
              <a:effectLst/>
            </c:spPr>
            <c:extLst>
              <c:ext xmlns:c16="http://schemas.microsoft.com/office/drawing/2014/chart" uri="{C3380CC4-5D6E-409C-BE32-E72D297353CC}">
                <c16:uniqueId val="{0000001C-B1C8-4D0A-A596-EDB3236DA32C}"/>
              </c:ext>
            </c:extLst>
          </c:dPt>
          <c:dPt>
            <c:idx val="2"/>
            <c:invertIfNegative val="0"/>
            <c:bubble3D val="0"/>
            <c:spPr>
              <a:solidFill>
                <a:srgbClr val="808080">
                  <a:alpha val="60000"/>
                </a:srgbClr>
              </a:solidFill>
              <a:ln>
                <a:noFill/>
              </a:ln>
              <a:effectLst/>
            </c:spPr>
            <c:extLst>
              <c:ext xmlns:c16="http://schemas.microsoft.com/office/drawing/2014/chart" uri="{C3380CC4-5D6E-409C-BE32-E72D297353CC}">
                <c16:uniqueId val="{00000010-B1C8-4D0A-A596-EDB3236DA32C}"/>
              </c:ext>
            </c:extLst>
          </c:dPt>
          <c:dPt>
            <c:idx val="3"/>
            <c:invertIfNegative val="0"/>
            <c:bubble3D val="0"/>
            <c:spPr>
              <a:solidFill>
                <a:srgbClr val="118DFF">
                  <a:alpha val="60000"/>
                </a:srgbClr>
              </a:solidFill>
              <a:ln>
                <a:noFill/>
              </a:ln>
              <a:effectLst/>
            </c:spPr>
            <c:extLst>
              <c:ext xmlns:c16="http://schemas.microsoft.com/office/drawing/2014/chart" uri="{C3380CC4-5D6E-409C-BE32-E72D297353CC}">
                <c16:uniqueId val="{00000012-B1C8-4D0A-A596-EDB3236DA32C}"/>
              </c:ext>
            </c:extLst>
          </c:dPt>
          <c:dPt>
            <c:idx val="4"/>
            <c:invertIfNegative val="0"/>
            <c:bubble3D val="0"/>
            <c:spPr>
              <a:solidFill>
                <a:srgbClr val="D85D58">
                  <a:alpha val="60000"/>
                </a:srgbClr>
              </a:solidFill>
              <a:ln>
                <a:noFill/>
              </a:ln>
              <a:effectLst/>
            </c:spPr>
            <c:extLst>
              <c:ext xmlns:c16="http://schemas.microsoft.com/office/drawing/2014/chart" uri="{C3380CC4-5D6E-409C-BE32-E72D297353CC}">
                <c16:uniqueId val="{00000014-B1C8-4D0A-A596-EDB3236DA32C}"/>
              </c:ext>
            </c:extLst>
          </c:dPt>
          <c:dPt>
            <c:idx val="5"/>
            <c:invertIfNegative val="0"/>
            <c:bubble3D val="0"/>
            <c:spPr>
              <a:solidFill>
                <a:srgbClr val="F68A42">
                  <a:alpha val="60000"/>
                </a:srgbClr>
              </a:solidFill>
              <a:ln>
                <a:noFill/>
              </a:ln>
              <a:effectLst/>
            </c:spPr>
            <c:extLst>
              <c:ext xmlns:c16="http://schemas.microsoft.com/office/drawing/2014/chart" uri="{C3380CC4-5D6E-409C-BE32-E72D297353CC}">
                <c16:uniqueId val="{00000016-B1C8-4D0A-A596-EDB3236DA32C}"/>
              </c:ext>
            </c:extLst>
          </c:dPt>
          <c:dPt>
            <c:idx val="6"/>
            <c:invertIfNegative val="0"/>
            <c:bubble3D val="0"/>
            <c:spPr>
              <a:solidFill>
                <a:srgbClr val="98CA3D">
                  <a:alpha val="60000"/>
                </a:srgbClr>
              </a:solidFill>
              <a:ln>
                <a:noFill/>
              </a:ln>
              <a:effectLst/>
            </c:spPr>
            <c:extLst>
              <c:ext xmlns:c16="http://schemas.microsoft.com/office/drawing/2014/chart" uri="{C3380CC4-5D6E-409C-BE32-E72D297353CC}">
                <c16:uniqueId val="{00000018-B1C8-4D0A-A596-EDB3236DA32C}"/>
              </c:ext>
            </c:extLst>
          </c:dPt>
          <c:dPt>
            <c:idx val="7"/>
            <c:invertIfNegative val="0"/>
            <c:bubble3D val="0"/>
            <c:spPr>
              <a:solidFill>
                <a:srgbClr val="26BAA8">
                  <a:alpha val="60000"/>
                </a:srgbClr>
              </a:solidFill>
              <a:ln>
                <a:noFill/>
              </a:ln>
              <a:effectLst/>
            </c:spPr>
            <c:extLst>
              <c:ext xmlns:c16="http://schemas.microsoft.com/office/drawing/2014/chart" uri="{C3380CC4-5D6E-409C-BE32-E72D297353CC}">
                <c16:uniqueId val="{0000001A-B1C8-4D0A-A596-EDB3236DA32C}"/>
              </c:ext>
            </c:extLst>
          </c:dPt>
          <c:dLbls>
            <c:dLbl>
              <c:idx val="0"/>
              <c:tx>
                <c:rich>
                  <a:bodyPr/>
                  <a:lstStyle/>
                  <a:p>
                    <a:fld id="{E9C7FC9A-EB9B-43AF-B9E1-3D6D26EB722B}"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B1C8-4D0A-A596-EDB3236DA32C}"/>
                </c:ext>
              </c:extLst>
            </c:dLbl>
            <c:dLbl>
              <c:idx val="1"/>
              <c:tx>
                <c:rich>
                  <a:bodyPr/>
                  <a:lstStyle/>
                  <a:p>
                    <a:fld id="{397A5B66-75B5-405A-B233-7B638563425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1C8-4D0A-A596-EDB3236DA32C}"/>
                </c:ext>
              </c:extLst>
            </c:dLbl>
            <c:dLbl>
              <c:idx val="2"/>
              <c:tx>
                <c:rich>
                  <a:bodyPr/>
                  <a:lstStyle/>
                  <a:p>
                    <a:fld id="{A36A838F-CD26-4C08-9C50-55B2B3BC13C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1C8-4D0A-A596-EDB3236DA32C}"/>
                </c:ext>
              </c:extLst>
            </c:dLbl>
            <c:dLbl>
              <c:idx val="3"/>
              <c:tx>
                <c:rich>
                  <a:bodyPr/>
                  <a:lstStyle/>
                  <a:p>
                    <a:fld id="{40CDA2F2-A72F-4E17-9272-1FD6590799E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1C8-4D0A-A596-EDB3236DA32C}"/>
                </c:ext>
              </c:extLst>
            </c:dLbl>
            <c:dLbl>
              <c:idx val="4"/>
              <c:layout>
                <c:manualLayout>
                  <c:x val="0"/>
                  <c:y val="1.6537463931726056E-3"/>
                </c:manualLayout>
              </c:layout>
              <c:tx>
                <c:rich>
                  <a:bodyPr/>
                  <a:lstStyle/>
                  <a:p>
                    <a:fld id="{16FD76B8-95CD-48D2-A44D-7EA3C76225A1}"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B1C8-4D0A-A596-EDB3236DA32C}"/>
                </c:ext>
              </c:extLst>
            </c:dLbl>
            <c:dLbl>
              <c:idx val="5"/>
              <c:tx>
                <c:rich>
                  <a:bodyPr/>
                  <a:lstStyle/>
                  <a:p>
                    <a:fld id="{C75FD4F0-094A-4103-AF64-DE4CCF5426A7}"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B1C8-4D0A-A596-EDB3236DA32C}"/>
                </c:ext>
              </c:extLst>
            </c:dLbl>
            <c:dLbl>
              <c:idx val="6"/>
              <c:tx>
                <c:rich>
                  <a:bodyPr/>
                  <a:lstStyle/>
                  <a:p>
                    <a:fld id="{FA4D2D5C-3255-48DF-898E-7595A88F5634}"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B1C8-4D0A-A596-EDB3236DA32C}"/>
                </c:ext>
              </c:extLst>
            </c:dLbl>
            <c:dLbl>
              <c:idx val="7"/>
              <c:tx>
                <c:rich>
                  <a:bodyPr/>
                  <a:lstStyle/>
                  <a:p>
                    <a:fld id="{CB12301E-57D9-490F-B8D2-1C4058ED2392}"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B1C8-4D0A-A596-EDB3236DA32C}"/>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mērķi'!$U$27:$U$30</c:f>
              <c:strCache>
                <c:ptCount val="4"/>
                <c:pt idx="0">
                  <c:v>TPF</c:v>
                </c:pt>
                <c:pt idx="1">
                  <c:v>ESF+</c:v>
                </c:pt>
                <c:pt idx="2">
                  <c:v>KF</c:v>
                </c:pt>
                <c:pt idx="3">
                  <c:v>ERAF</c:v>
                </c:pt>
              </c:strCache>
            </c:strRef>
          </c:cat>
          <c:val>
            <c:numRef>
              <c:f>'Politikas mērķi'!$W$27:$W$30</c:f>
              <c:numCache>
                <c:formatCode>General</c:formatCode>
                <c:ptCount val="4"/>
                <c:pt idx="0">
                  <c:v>126711381.63</c:v>
                </c:pt>
                <c:pt idx="1">
                  <c:v>590232985.1099999</c:v>
                </c:pt>
                <c:pt idx="2">
                  <c:v>578245551.75</c:v>
                </c:pt>
                <c:pt idx="3">
                  <c:v>2287385969.7249999</c:v>
                </c:pt>
              </c:numCache>
            </c:numRef>
          </c:val>
          <c:extLst>
            <c:ext xmlns:c15="http://schemas.microsoft.com/office/drawing/2012/chart" uri="{02D57815-91ED-43cb-92C2-25804820EDAC}">
              <c15:datalabelsRange>
                <c15:f>'Politikas mērķi'!$AF$27:$AF$30</c15:f>
                <c15:dlblRangeCache>
                  <c:ptCount val="4"/>
                  <c:pt idx="0">
                    <c:v>126,7;  66,1%</c:v>
                  </c:pt>
                  <c:pt idx="1">
                    <c:v>590,2;  90,5%</c:v>
                  </c:pt>
                  <c:pt idx="2">
                    <c:v>578,2;  66,9%</c:v>
                  </c:pt>
                  <c:pt idx="3">
                    <c:v>2 287,4;  85,8%</c:v>
                  </c:pt>
                </c15:dlblRangeCache>
              </c15:datalabelsRange>
            </c:ext>
            <c:ext xmlns:c16="http://schemas.microsoft.com/office/drawing/2014/chart" uri="{C3380CC4-5D6E-409C-BE32-E72D297353CC}">
              <c16:uniqueId val="{0000001D-B1C8-4D0A-A596-EDB3236DA32C}"/>
            </c:ext>
          </c:extLst>
        </c:ser>
        <c:ser>
          <c:idx val="2"/>
          <c:order val="2"/>
          <c:tx>
            <c:strRef>
              <c:f>'Politikas mērķi'!$X$12</c:f>
              <c:strCache>
                <c:ptCount val="1"/>
                <c:pt idx="0">
                  <c:v>Iesniegti 4 240,0 (97%)</c:v>
                </c:pt>
              </c:strCache>
            </c:strRef>
          </c:tx>
          <c:spPr>
            <a:solidFill>
              <a:schemeClr val="tx1">
                <a:lumMod val="50000"/>
                <a:lumOff val="50000"/>
                <a:alpha val="80000"/>
              </a:schemeClr>
            </a:solidFill>
            <a:ln>
              <a:noFill/>
            </a:ln>
            <a:effectLst/>
          </c:spPr>
          <c:invertIfNegative val="0"/>
          <c:dPt>
            <c:idx val="0"/>
            <c:invertIfNegative val="0"/>
            <c:bubble3D val="0"/>
            <c:spPr>
              <a:solidFill>
                <a:srgbClr val="C5D2E1">
                  <a:alpha val="80000"/>
                </a:srgbClr>
              </a:solidFill>
              <a:ln>
                <a:noFill/>
              </a:ln>
              <a:effectLst/>
            </c:spPr>
            <c:extLst>
              <c:ext xmlns:c16="http://schemas.microsoft.com/office/drawing/2014/chart" uri="{C3380CC4-5D6E-409C-BE32-E72D297353CC}">
                <c16:uniqueId val="{0000002A-B1C8-4D0A-A596-EDB3236DA32C}"/>
              </c:ext>
            </c:extLst>
          </c:dPt>
          <c:dPt>
            <c:idx val="1"/>
            <c:invertIfNegative val="0"/>
            <c:bubble3D val="0"/>
            <c:spPr>
              <a:solidFill>
                <a:srgbClr val="12239E">
                  <a:alpha val="80000"/>
                </a:srgbClr>
              </a:solidFill>
              <a:ln>
                <a:noFill/>
              </a:ln>
              <a:effectLst/>
            </c:spPr>
            <c:extLst>
              <c:ext xmlns:c16="http://schemas.microsoft.com/office/drawing/2014/chart" uri="{C3380CC4-5D6E-409C-BE32-E72D297353CC}">
                <c16:uniqueId val="{0000002B-B1C8-4D0A-A596-EDB3236DA32C}"/>
              </c:ext>
            </c:extLst>
          </c:dPt>
          <c:dPt>
            <c:idx val="2"/>
            <c:invertIfNegative val="0"/>
            <c:bubble3D val="0"/>
            <c:spPr>
              <a:solidFill>
                <a:srgbClr val="808080">
                  <a:alpha val="80000"/>
                </a:srgbClr>
              </a:solidFill>
              <a:ln>
                <a:noFill/>
              </a:ln>
              <a:effectLst/>
            </c:spPr>
            <c:extLst>
              <c:ext xmlns:c16="http://schemas.microsoft.com/office/drawing/2014/chart" uri="{C3380CC4-5D6E-409C-BE32-E72D297353CC}">
                <c16:uniqueId val="{0000001F-B1C8-4D0A-A596-EDB3236DA32C}"/>
              </c:ext>
            </c:extLst>
          </c:dPt>
          <c:dPt>
            <c:idx val="3"/>
            <c:invertIfNegative val="0"/>
            <c:bubble3D val="0"/>
            <c:spPr>
              <a:solidFill>
                <a:srgbClr val="118DFF">
                  <a:alpha val="80000"/>
                </a:srgbClr>
              </a:solidFill>
              <a:ln>
                <a:noFill/>
              </a:ln>
              <a:effectLst/>
            </c:spPr>
            <c:extLst>
              <c:ext xmlns:c16="http://schemas.microsoft.com/office/drawing/2014/chart" uri="{C3380CC4-5D6E-409C-BE32-E72D297353CC}">
                <c16:uniqueId val="{00000021-B1C8-4D0A-A596-EDB3236DA32C}"/>
              </c:ext>
            </c:extLst>
          </c:dPt>
          <c:dPt>
            <c:idx val="4"/>
            <c:invertIfNegative val="0"/>
            <c:bubble3D val="0"/>
            <c:spPr>
              <a:solidFill>
                <a:srgbClr val="D85D58">
                  <a:alpha val="80000"/>
                </a:srgbClr>
              </a:solidFill>
              <a:ln>
                <a:noFill/>
              </a:ln>
              <a:effectLst/>
            </c:spPr>
            <c:extLst>
              <c:ext xmlns:c16="http://schemas.microsoft.com/office/drawing/2014/chart" uri="{C3380CC4-5D6E-409C-BE32-E72D297353CC}">
                <c16:uniqueId val="{00000023-B1C8-4D0A-A596-EDB3236DA32C}"/>
              </c:ext>
            </c:extLst>
          </c:dPt>
          <c:dPt>
            <c:idx val="5"/>
            <c:invertIfNegative val="0"/>
            <c:bubble3D val="0"/>
            <c:spPr>
              <a:solidFill>
                <a:srgbClr val="F68A42">
                  <a:alpha val="80000"/>
                </a:srgbClr>
              </a:solidFill>
              <a:ln>
                <a:noFill/>
              </a:ln>
              <a:effectLst/>
            </c:spPr>
            <c:extLst>
              <c:ext xmlns:c16="http://schemas.microsoft.com/office/drawing/2014/chart" uri="{C3380CC4-5D6E-409C-BE32-E72D297353CC}">
                <c16:uniqueId val="{00000025-B1C8-4D0A-A596-EDB3236DA32C}"/>
              </c:ext>
            </c:extLst>
          </c:dPt>
          <c:dPt>
            <c:idx val="6"/>
            <c:invertIfNegative val="0"/>
            <c:bubble3D val="0"/>
            <c:spPr>
              <a:solidFill>
                <a:srgbClr val="98CA3D">
                  <a:alpha val="80000"/>
                </a:srgbClr>
              </a:solidFill>
              <a:ln>
                <a:noFill/>
              </a:ln>
              <a:effectLst/>
            </c:spPr>
            <c:extLst>
              <c:ext xmlns:c16="http://schemas.microsoft.com/office/drawing/2014/chart" uri="{C3380CC4-5D6E-409C-BE32-E72D297353CC}">
                <c16:uniqueId val="{00000027-B1C8-4D0A-A596-EDB3236DA32C}"/>
              </c:ext>
            </c:extLst>
          </c:dPt>
          <c:dPt>
            <c:idx val="7"/>
            <c:invertIfNegative val="0"/>
            <c:bubble3D val="0"/>
            <c:spPr>
              <a:solidFill>
                <a:srgbClr val="26BAA8">
                  <a:alpha val="80000"/>
                </a:srgbClr>
              </a:solidFill>
              <a:ln>
                <a:noFill/>
              </a:ln>
              <a:effectLst/>
            </c:spPr>
            <c:extLst>
              <c:ext xmlns:c16="http://schemas.microsoft.com/office/drawing/2014/chart" uri="{C3380CC4-5D6E-409C-BE32-E72D297353CC}">
                <c16:uniqueId val="{00000029-B1C8-4D0A-A596-EDB3236DA32C}"/>
              </c:ext>
            </c:extLst>
          </c:dPt>
          <c:dLbls>
            <c:dLbl>
              <c:idx val="0"/>
              <c:tx>
                <c:rich>
                  <a:bodyPr/>
                  <a:lstStyle/>
                  <a:p>
                    <a:fld id="{3DCE4BB1-3427-48DD-8CA9-18E6CA7172E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B1C8-4D0A-A596-EDB3236DA32C}"/>
                </c:ext>
              </c:extLst>
            </c:dLbl>
            <c:dLbl>
              <c:idx val="1"/>
              <c:tx>
                <c:rich>
                  <a:bodyPr/>
                  <a:lstStyle/>
                  <a:p>
                    <a:fld id="{D4DD40AE-EAA1-4134-AC94-E9FCDC86A87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B1C8-4D0A-A596-EDB3236DA32C}"/>
                </c:ext>
              </c:extLst>
            </c:dLbl>
            <c:dLbl>
              <c:idx val="2"/>
              <c:tx>
                <c:rich>
                  <a:bodyPr/>
                  <a:lstStyle/>
                  <a:p>
                    <a:fld id="{C4763049-FEA8-40D8-AD86-D85E8D29421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1C8-4D0A-A596-EDB3236DA32C}"/>
                </c:ext>
              </c:extLst>
            </c:dLbl>
            <c:dLbl>
              <c:idx val="3"/>
              <c:tx>
                <c:rich>
                  <a:bodyPr/>
                  <a:lstStyle/>
                  <a:p>
                    <a:fld id="{08B8424E-8479-416B-AA73-6F4A666A4972}"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1C8-4D0A-A596-EDB3236DA32C}"/>
                </c:ext>
              </c:extLst>
            </c:dLbl>
            <c:dLbl>
              <c:idx val="4"/>
              <c:layout>
                <c:manualLayout>
                  <c:x val="8.4254868189880601E-4"/>
                  <c:y val="4.9612391795177567E-3"/>
                </c:manualLayout>
              </c:layout>
              <c:tx>
                <c:rich>
                  <a:bodyPr/>
                  <a:lstStyle/>
                  <a:p>
                    <a:fld id="{FA5C413A-C521-4C37-BE53-0B81DAD9CD34}"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B1C8-4D0A-A596-EDB3236DA32C}"/>
                </c:ext>
              </c:extLst>
            </c:dLbl>
            <c:dLbl>
              <c:idx val="5"/>
              <c:tx>
                <c:rich>
                  <a:bodyPr/>
                  <a:lstStyle/>
                  <a:p>
                    <a:fld id="{B3F5FF37-AFC2-46DC-BFE7-F2C30D86EC37}"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B1C8-4D0A-A596-EDB3236DA32C}"/>
                </c:ext>
              </c:extLst>
            </c:dLbl>
            <c:dLbl>
              <c:idx val="6"/>
              <c:layout>
                <c:manualLayout>
                  <c:x val="-5.775997512506059E-3"/>
                  <c:y val="-1.6536161769211747E-3"/>
                </c:manualLayout>
              </c:layout>
              <c:tx>
                <c:rich>
                  <a:bodyPr/>
                  <a:lstStyle/>
                  <a:p>
                    <a:fld id="{6D6F40A4-BB0D-4E66-872A-182D93208456}"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layout>
                    <c:manualLayout>
                      <c:w val="0.16034119373756783"/>
                      <c:h val="4.4932289502499695E-2"/>
                    </c:manualLayout>
                  </c15:layout>
                  <c15:dlblFieldTable/>
                  <c15:showDataLabelsRange val="1"/>
                </c:ext>
                <c:ext xmlns:c16="http://schemas.microsoft.com/office/drawing/2014/chart" uri="{C3380CC4-5D6E-409C-BE32-E72D297353CC}">
                  <c16:uniqueId val="{00000027-B1C8-4D0A-A596-EDB3236DA32C}"/>
                </c:ext>
              </c:extLst>
            </c:dLbl>
            <c:dLbl>
              <c:idx val="7"/>
              <c:tx>
                <c:rich>
                  <a:bodyPr/>
                  <a:lstStyle/>
                  <a:p>
                    <a:fld id="{C8C391DD-32FA-429B-8CA4-580B840BBF41}"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B1C8-4D0A-A596-EDB3236DA32C}"/>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mērķi'!$U$27:$U$30</c:f>
              <c:strCache>
                <c:ptCount val="4"/>
                <c:pt idx="0">
                  <c:v>TPF</c:v>
                </c:pt>
                <c:pt idx="1">
                  <c:v>ESF+</c:v>
                </c:pt>
                <c:pt idx="2">
                  <c:v>KF</c:v>
                </c:pt>
                <c:pt idx="3">
                  <c:v>ERAF</c:v>
                </c:pt>
              </c:strCache>
            </c:strRef>
          </c:cat>
          <c:val>
            <c:numRef>
              <c:f>'Politikas mērķi'!$X$27:$X$30</c:f>
              <c:numCache>
                <c:formatCode>General</c:formatCode>
                <c:ptCount val="4"/>
                <c:pt idx="0">
                  <c:v>148605530.52000001</c:v>
                </c:pt>
                <c:pt idx="1">
                  <c:v>625353289.18999994</c:v>
                </c:pt>
                <c:pt idx="2">
                  <c:v>861289938.76999998</c:v>
                </c:pt>
                <c:pt idx="3">
                  <c:v>2604768395.6950006</c:v>
                </c:pt>
              </c:numCache>
            </c:numRef>
          </c:val>
          <c:extLst>
            <c:ext xmlns:c15="http://schemas.microsoft.com/office/drawing/2012/chart" uri="{02D57815-91ED-43cb-92C2-25804820EDAC}">
              <c15:datalabelsRange>
                <c15:f>'Politikas mērķi'!$AG$27:$AG$30</c15:f>
                <c15:dlblRangeCache>
                  <c:ptCount val="4"/>
                  <c:pt idx="0">
                    <c:v>148,6;  77,6%</c:v>
                  </c:pt>
                  <c:pt idx="1">
                    <c:v>625,4;  95,9%</c:v>
                  </c:pt>
                  <c:pt idx="2">
                    <c:v>861,3;  99,6%</c:v>
                  </c:pt>
                  <c:pt idx="3">
                    <c:v>2 604,8;  97,7%</c:v>
                  </c:pt>
                </c15:dlblRangeCache>
              </c15:datalabelsRange>
            </c:ext>
            <c:ext xmlns:c16="http://schemas.microsoft.com/office/drawing/2014/chart" uri="{C3380CC4-5D6E-409C-BE32-E72D297353CC}">
              <c16:uniqueId val="{0000002C-B1C8-4D0A-A596-EDB3236DA32C}"/>
            </c:ext>
          </c:extLst>
        </c:ser>
        <c:ser>
          <c:idx val="3"/>
          <c:order val="3"/>
          <c:tx>
            <c:strRef>
              <c:f>'Politikas mērķi'!$Y$12</c:f>
              <c:strCache>
                <c:ptCount val="1"/>
                <c:pt idx="0">
                  <c:v>Piešķīrums 4 374,4</c:v>
                </c:pt>
              </c:strCache>
            </c:strRef>
          </c:tx>
          <c:spPr>
            <a:solidFill>
              <a:schemeClr val="tx1">
                <a:lumMod val="50000"/>
                <a:lumOff val="50000"/>
              </a:schemeClr>
            </a:solidFill>
            <a:ln>
              <a:noFill/>
            </a:ln>
            <a:effectLst/>
          </c:spPr>
          <c:invertIfNegative val="0"/>
          <c:dPt>
            <c:idx val="0"/>
            <c:invertIfNegative val="0"/>
            <c:bubble3D val="0"/>
            <c:spPr>
              <a:solidFill>
                <a:srgbClr val="C5D2E1"/>
              </a:solidFill>
              <a:ln>
                <a:noFill/>
              </a:ln>
              <a:effectLst/>
            </c:spPr>
            <c:extLst>
              <c:ext xmlns:c16="http://schemas.microsoft.com/office/drawing/2014/chart" uri="{C3380CC4-5D6E-409C-BE32-E72D297353CC}">
                <c16:uniqueId val="{00000039-B1C8-4D0A-A596-EDB3236DA32C}"/>
              </c:ext>
            </c:extLst>
          </c:dPt>
          <c:dPt>
            <c:idx val="1"/>
            <c:invertIfNegative val="0"/>
            <c:bubble3D val="0"/>
            <c:spPr>
              <a:solidFill>
                <a:srgbClr val="12239E"/>
              </a:solidFill>
              <a:ln>
                <a:noFill/>
              </a:ln>
              <a:effectLst/>
            </c:spPr>
            <c:extLst>
              <c:ext xmlns:c16="http://schemas.microsoft.com/office/drawing/2014/chart" uri="{C3380CC4-5D6E-409C-BE32-E72D297353CC}">
                <c16:uniqueId val="{0000003A-B1C8-4D0A-A596-EDB3236DA32C}"/>
              </c:ext>
            </c:extLst>
          </c:dPt>
          <c:dPt>
            <c:idx val="2"/>
            <c:invertIfNegative val="0"/>
            <c:bubble3D val="0"/>
            <c:spPr>
              <a:solidFill>
                <a:srgbClr val="808080"/>
              </a:solidFill>
              <a:ln>
                <a:noFill/>
              </a:ln>
              <a:effectLst/>
            </c:spPr>
            <c:extLst>
              <c:ext xmlns:c16="http://schemas.microsoft.com/office/drawing/2014/chart" uri="{C3380CC4-5D6E-409C-BE32-E72D297353CC}">
                <c16:uniqueId val="{0000002E-B1C8-4D0A-A596-EDB3236DA32C}"/>
              </c:ext>
            </c:extLst>
          </c:dPt>
          <c:dPt>
            <c:idx val="3"/>
            <c:invertIfNegative val="0"/>
            <c:bubble3D val="0"/>
            <c:spPr>
              <a:solidFill>
                <a:srgbClr val="118DFF"/>
              </a:solidFill>
              <a:ln>
                <a:noFill/>
              </a:ln>
              <a:effectLst/>
            </c:spPr>
            <c:extLst>
              <c:ext xmlns:c16="http://schemas.microsoft.com/office/drawing/2014/chart" uri="{C3380CC4-5D6E-409C-BE32-E72D297353CC}">
                <c16:uniqueId val="{00000030-B1C8-4D0A-A596-EDB3236DA32C}"/>
              </c:ext>
            </c:extLst>
          </c:dPt>
          <c:dPt>
            <c:idx val="4"/>
            <c:invertIfNegative val="0"/>
            <c:bubble3D val="0"/>
            <c:spPr>
              <a:solidFill>
                <a:srgbClr val="D85D58"/>
              </a:solidFill>
              <a:ln>
                <a:noFill/>
              </a:ln>
              <a:effectLst/>
            </c:spPr>
            <c:extLst>
              <c:ext xmlns:c16="http://schemas.microsoft.com/office/drawing/2014/chart" uri="{C3380CC4-5D6E-409C-BE32-E72D297353CC}">
                <c16:uniqueId val="{00000032-B1C8-4D0A-A596-EDB3236DA32C}"/>
              </c:ext>
            </c:extLst>
          </c:dPt>
          <c:dPt>
            <c:idx val="5"/>
            <c:invertIfNegative val="0"/>
            <c:bubble3D val="0"/>
            <c:spPr>
              <a:solidFill>
                <a:srgbClr val="F68A42"/>
              </a:solidFill>
              <a:ln>
                <a:noFill/>
              </a:ln>
              <a:effectLst/>
            </c:spPr>
            <c:extLst>
              <c:ext xmlns:c16="http://schemas.microsoft.com/office/drawing/2014/chart" uri="{C3380CC4-5D6E-409C-BE32-E72D297353CC}">
                <c16:uniqueId val="{00000034-B1C8-4D0A-A596-EDB3236DA32C}"/>
              </c:ext>
            </c:extLst>
          </c:dPt>
          <c:dPt>
            <c:idx val="6"/>
            <c:invertIfNegative val="0"/>
            <c:bubble3D val="0"/>
            <c:spPr>
              <a:solidFill>
                <a:srgbClr val="98CA3D"/>
              </a:solidFill>
              <a:ln>
                <a:noFill/>
              </a:ln>
              <a:effectLst/>
            </c:spPr>
            <c:extLst>
              <c:ext xmlns:c16="http://schemas.microsoft.com/office/drawing/2014/chart" uri="{C3380CC4-5D6E-409C-BE32-E72D297353CC}">
                <c16:uniqueId val="{00000036-B1C8-4D0A-A596-EDB3236DA32C}"/>
              </c:ext>
            </c:extLst>
          </c:dPt>
          <c:dPt>
            <c:idx val="7"/>
            <c:invertIfNegative val="0"/>
            <c:bubble3D val="0"/>
            <c:spPr>
              <a:solidFill>
                <a:srgbClr val="26BAA8"/>
              </a:solidFill>
              <a:ln>
                <a:noFill/>
              </a:ln>
              <a:effectLst/>
            </c:spPr>
            <c:extLst>
              <c:ext xmlns:c16="http://schemas.microsoft.com/office/drawing/2014/chart" uri="{C3380CC4-5D6E-409C-BE32-E72D297353CC}">
                <c16:uniqueId val="{00000038-B1C8-4D0A-A596-EDB3236DA32C}"/>
              </c:ext>
            </c:extLst>
          </c:dPt>
          <c:dLbls>
            <c:dLbl>
              <c:idx val="0"/>
              <c:tx>
                <c:rich>
                  <a:bodyPr/>
                  <a:lstStyle/>
                  <a:p>
                    <a:fld id="{A329B9CE-69C4-4715-A026-9070CAAF72C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9-B1C8-4D0A-A596-EDB3236DA32C}"/>
                </c:ext>
              </c:extLst>
            </c:dLbl>
            <c:dLbl>
              <c:idx val="1"/>
              <c:tx>
                <c:rich>
                  <a:bodyPr/>
                  <a:lstStyle/>
                  <a:p>
                    <a:fld id="{3BAB6D53-8864-4CA3-8FA6-24B104B4E76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B1C8-4D0A-A596-EDB3236DA32C}"/>
                </c:ext>
              </c:extLst>
            </c:dLbl>
            <c:dLbl>
              <c:idx val="2"/>
              <c:tx>
                <c:rich>
                  <a:bodyPr/>
                  <a:lstStyle/>
                  <a:p>
                    <a:fld id="{0846140E-8CB5-42D9-8DAF-C3BD0EF884CF}"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B1C8-4D0A-A596-EDB3236DA32C}"/>
                </c:ext>
              </c:extLst>
            </c:dLbl>
            <c:dLbl>
              <c:idx val="3"/>
              <c:layout>
                <c:manualLayout>
                  <c:x val="3.1225603460603137E-2"/>
                  <c:y val="-4.984423349969438E-3"/>
                </c:manualLayout>
              </c:layout>
              <c:tx>
                <c:rich>
                  <a:bodyPr/>
                  <a:lstStyle/>
                  <a:p>
                    <a:fld id="{F5744220-4AC3-4E18-ACAE-2FAB9311CCC6}"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B1C8-4D0A-A596-EDB3236DA32C}"/>
                </c:ext>
              </c:extLst>
            </c:dLbl>
            <c:dLbl>
              <c:idx val="4"/>
              <c:layout>
                <c:manualLayout>
                  <c:x val="-1.2357237915984077E-16"/>
                  <c:y val="-1.6537463931726056E-3"/>
                </c:manualLayout>
              </c:layout>
              <c:tx>
                <c:rich>
                  <a:bodyPr/>
                  <a:lstStyle/>
                  <a:p>
                    <a:fld id="{82087012-52C9-493D-8005-301BAE2FA1A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B1C8-4D0A-A596-EDB3236DA32C}"/>
                </c:ext>
              </c:extLst>
            </c:dLbl>
            <c:dLbl>
              <c:idx val="5"/>
              <c:tx>
                <c:rich>
                  <a:bodyPr/>
                  <a:lstStyle/>
                  <a:p>
                    <a:fld id="{51753AF2-26CC-46B6-8A0E-4BA4D749FD5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4-B1C8-4D0A-A596-EDB3236DA32C}"/>
                </c:ext>
              </c:extLst>
            </c:dLbl>
            <c:dLbl>
              <c:idx val="6"/>
              <c:layout>
                <c:manualLayout>
                  <c:x val="4.2838267214667151E-2"/>
                  <c:y val="-8.0616881260880274E-4"/>
                </c:manualLayout>
              </c:layout>
              <c:tx>
                <c:rich>
                  <a:bodyPr/>
                  <a:lstStyle/>
                  <a:p>
                    <a:fld id="{2FCAFC85-B132-4924-81A7-00F8FA98C3D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layout>
                    <c:manualLayout>
                      <c:w val="0.13109549924551572"/>
                      <c:h val="8.3654826406761973E-2"/>
                    </c:manualLayout>
                  </c15:layout>
                  <c15:dlblFieldTable/>
                  <c15:showDataLabelsRange val="1"/>
                </c:ext>
                <c:ext xmlns:c16="http://schemas.microsoft.com/office/drawing/2014/chart" uri="{C3380CC4-5D6E-409C-BE32-E72D297353CC}">
                  <c16:uniqueId val="{00000036-B1C8-4D0A-A596-EDB3236DA32C}"/>
                </c:ext>
              </c:extLst>
            </c:dLbl>
            <c:dLbl>
              <c:idx val="7"/>
              <c:tx>
                <c:rich>
                  <a:bodyPr/>
                  <a:lstStyle/>
                  <a:p>
                    <a:fld id="{048B78F9-1F2B-4347-91C6-B51D14C9B5A1}"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B1C8-4D0A-A596-EDB3236DA32C}"/>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'Politikas mērķi'!$U$27:$U$30</c:f>
              <c:strCache>
                <c:ptCount val="4"/>
                <c:pt idx="0">
                  <c:v>TPF</c:v>
                </c:pt>
                <c:pt idx="1">
                  <c:v>ESF+</c:v>
                </c:pt>
                <c:pt idx="2">
                  <c:v>KF</c:v>
                </c:pt>
                <c:pt idx="3">
                  <c:v>ERAF</c:v>
                </c:pt>
              </c:strCache>
            </c:strRef>
          </c:cat>
          <c:val>
            <c:numRef>
              <c:f>'Politikas mērķi'!$Y$27:$Y$30</c:f>
              <c:numCache>
                <c:formatCode>General</c:formatCode>
                <c:ptCount val="4"/>
                <c:pt idx="0">
                  <c:v>191606820.08000001</c:v>
                </c:pt>
                <c:pt idx="1">
                  <c:v>651907354.79999995</c:v>
                </c:pt>
                <c:pt idx="2">
                  <c:v>864461785.79999995</c:v>
                </c:pt>
                <c:pt idx="3">
                  <c:v>2666416953.9250002</c:v>
                </c:pt>
              </c:numCache>
            </c:numRef>
          </c:val>
          <c:extLst>
            <c:ext xmlns:c15="http://schemas.microsoft.com/office/drawing/2012/chart" uri="{02D57815-91ED-43cb-92C2-25804820EDAC}">
              <c15:datalabelsRange>
                <c15:f>'Politikas mērķi'!$AH$27:$AH$30</c15:f>
                <c15:dlblRangeCache>
                  <c:ptCount val="4"/>
                  <c:pt idx="0">
                    <c:v>191,6</c:v>
                  </c:pt>
                  <c:pt idx="1">
                    <c:v>651,9</c:v>
                  </c:pt>
                  <c:pt idx="2">
                    <c:v>864,5</c:v>
                  </c:pt>
                  <c:pt idx="3">
                    <c:v>2 666,4+ 155,8 </c:v>
                  </c:pt>
                </c15:dlblRangeCache>
              </c15:datalabelsRange>
            </c:ext>
            <c:ext xmlns:c16="http://schemas.microsoft.com/office/drawing/2014/chart" uri="{C3380CC4-5D6E-409C-BE32-E72D297353CC}">
              <c16:uniqueId val="{0000003B-B1C8-4D0A-A596-EDB3236DA32C}"/>
            </c:ext>
          </c:extLst>
        </c:ser>
        <c:ser>
          <c:idx val="4"/>
          <c:order val="4"/>
          <c:tx>
            <c:strRef>
              <c:f>'Politikas mērķi'!$Z$12</c:f>
              <c:strCache>
                <c:ptCount val="1"/>
              </c:strCache>
            </c:strRef>
          </c:tx>
          <c:spPr>
            <a:solidFill>
              <a:schemeClr val="accent5"/>
            </a:solidFill>
            <a:ln>
              <a:noFill/>
            </a:ln>
            <a:effectLst/>
          </c:spPr>
          <c:invertIfNegative val="0"/>
          <c:cat>
            <c:strRef>
              <c:f>'Politikas mērķi'!$U$27:$U$30</c:f>
              <c:strCache>
                <c:ptCount val="4"/>
                <c:pt idx="0">
                  <c:v>TPF</c:v>
                </c:pt>
                <c:pt idx="1">
                  <c:v>ESF+</c:v>
                </c:pt>
                <c:pt idx="2">
                  <c:v>KF</c:v>
                </c:pt>
                <c:pt idx="3">
                  <c:v>ERAF</c:v>
                </c:pt>
              </c:strCache>
            </c:strRef>
          </c:cat>
          <c:val>
            <c:numRef>
              <c:f>'Politikas mērķi'!$Z$27:$Z$30</c:f>
              <c:numCache>
                <c:formatCode>General</c:formatCode>
                <c:ptCount val="4"/>
              </c:numCache>
            </c:numRef>
          </c:val>
          <c:extLst>
            <c:ext xmlns:c16="http://schemas.microsoft.com/office/drawing/2014/chart" uri="{C3380CC4-5D6E-409C-BE32-E72D297353CC}">
              <c16:uniqueId val="{0000003C-B1C8-4D0A-A596-EDB3236DA32C}"/>
            </c:ext>
          </c:extLst>
        </c:ser>
        <c:dLbls>
          <c:showLegendKey val="0"/>
          <c:showVal val="0"/>
          <c:showCatName val="0"/>
          <c:showSerName val="0"/>
          <c:showPercent val="0"/>
          <c:showBubbleSize val="0"/>
        </c:dLbls>
        <c:gapWidth val="6"/>
        <c:overlap val="-5"/>
        <c:axId val="94328368"/>
        <c:axId val="94328848"/>
        <c:extLst>
          <c:ext xmlns:c15="http://schemas.microsoft.com/office/drawing/2012/chart" uri="{02D57815-91ED-43cb-92C2-25804820EDAC}">
            <c15:filteredBarSeries>
              <c15:ser>
                <c:idx val="5"/>
                <c:order val="5"/>
                <c:tx>
                  <c:strRef>
                    <c:extLst>
                      <c:ext uri="{02D57815-91ED-43cb-92C2-25804820EDAC}">
                        <c15:formulaRef>
                          <c15:sqref>'Politikas mērķi'!$AA$12</c15:sqref>
                        </c15:formulaRef>
                      </c:ext>
                    </c:extLst>
                    <c:strCache>
                      <c:ptCount val="1"/>
                    </c:strCache>
                  </c:strRef>
                </c:tx>
                <c:spPr>
                  <a:solidFill>
                    <a:schemeClr val="accent6"/>
                  </a:solidFill>
                  <a:ln>
                    <a:noFill/>
                  </a:ln>
                  <a:effectLst/>
                </c:spPr>
                <c:invertIfNegative val="0"/>
                <c:cat>
                  <c:strRef>
                    <c:extLst>
                      <c:ext uri="{02D57815-91ED-43cb-92C2-25804820EDAC}">
                        <c15:formulaRef>
                          <c15:sqref>'Politikas mērķi'!$U$27:$U$30</c15:sqref>
                        </c15:formulaRef>
                      </c:ext>
                    </c:extLst>
                    <c:strCache>
                      <c:ptCount val="4"/>
                      <c:pt idx="0">
                        <c:v>TPF</c:v>
                      </c:pt>
                      <c:pt idx="1">
                        <c:v>ESF+</c:v>
                      </c:pt>
                      <c:pt idx="2">
                        <c:v>KF</c:v>
                      </c:pt>
                      <c:pt idx="3">
                        <c:v>ERAF</c:v>
                      </c:pt>
                    </c:strCache>
                  </c:strRef>
                </c:cat>
                <c:val>
                  <c:numRef>
                    <c:extLst>
                      <c:ext uri="{02D57815-91ED-43cb-92C2-25804820EDAC}">
                        <c15:formulaRef>
                          <c15:sqref>'Politikas mērķi'!$AA$27:$AA$30</c15:sqref>
                        </c15:formulaRef>
                      </c:ext>
                    </c:extLst>
                    <c:numCache>
                      <c:formatCode>General</c:formatCode>
                      <c:ptCount val="4"/>
                    </c:numCache>
                  </c:numRef>
                </c:val>
                <c:extLst>
                  <c:ext xmlns:c16="http://schemas.microsoft.com/office/drawing/2014/chart" uri="{C3380CC4-5D6E-409C-BE32-E72D297353CC}">
                    <c16:uniqueId val="{00000041-B1C8-4D0A-A596-EDB3236DA32C}"/>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'Politikas mērķi'!$AB$12</c15:sqref>
                        </c15:formulaRef>
                      </c:ext>
                    </c:extLst>
                    <c:strCache>
                      <c:ptCount val="1"/>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'Politikas mērķi'!$U$27:$U$30</c15:sqref>
                        </c15:formulaRef>
                      </c:ext>
                    </c:extLst>
                    <c:strCache>
                      <c:ptCount val="4"/>
                      <c:pt idx="0">
                        <c:v>TPF</c:v>
                      </c:pt>
                      <c:pt idx="1">
                        <c:v>ESF+</c:v>
                      </c:pt>
                      <c:pt idx="2">
                        <c:v>KF</c:v>
                      </c:pt>
                      <c:pt idx="3">
                        <c:v>ERAF</c:v>
                      </c:pt>
                    </c:strCache>
                  </c:strRef>
                </c:cat>
                <c:val>
                  <c:numRef>
                    <c:extLst xmlns:c15="http://schemas.microsoft.com/office/drawing/2012/chart">
                      <c:ext xmlns:c15="http://schemas.microsoft.com/office/drawing/2012/chart" uri="{02D57815-91ED-43cb-92C2-25804820EDAC}">
                        <c15:formulaRef>
                          <c15:sqref>'Politikas mērķi'!$AB$27:$AB$30</c15:sqref>
                        </c15:formulaRef>
                      </c:ext>
                    </c:extLst>
                    <c:numCache>
                      <c:formatCode>General</c:formatCode>
                      <c:ptCount val="4"/>
                    </c:numCache>
                  </c:numRef>
                </c:val>
                <c:extLst xmlns:c15="http://schemas.microsoft.com/office/drawing/2012/chart">
                  <c:ext xmlns:c16="http://schemas.microsoft.com/office/drawing/2014/chart" uri="{C3380CC4-5D6E-409C-BE32-E72D297353CC}">
                    <c16:uniqueId val="{00000042-B1C8-4D0A-A596-EDB3236DA32C}"/>
                  </c:ext>
                </c:extLst>
              </c15:ser>
            </c15:filteredBarSeries>
          </c:ext>
        </c:extLst>
      </c:barChart>
      <c:barChart>
        <c:barDir val="bar"/>
        <c:grouping val="stacked"/>
        <c:varyColors val="0"/>
        <c:ser>
          <c:idx val="7"/>
          <c:order val="7"/>
          <c:tx>
            <c:strRef>
              <c:f>'Politikas mērķi'!$AC$12</c:f>
              <c:strCache>
                <c:ptCount val="1"/>
                <c:pt idx="0">
                  <c:v>Piešķīrums 2</c:v>
                </c:pt>
              </c:strCache>
            </c:strRef>
          </c:tx>
          <c:spPr>
            <a:noFill/>
            <a:ln>
              <a:noFill/>
            </a:ln>
            <a:effectLst/>
          </c:spPr>
          <c:invertIfNegative val="0"/>
          <c:cat>
            <c:strRef>
              <c:f>'Politikas mērķi'!$U$27:$U$30</c:f>
              <c:strCache>
                <c:ptCount val="4"/>
                <c:pt idx="0">
                  <c:v>TPF</c:v>
                </c:pt>
                <c:pt idx="1">
                  <c:v>ESF+</c:v>
                </c:pt>
                <c:pt idx="2">
                  <c:v>KF</c:v>
                </c:pt>
                <c:pt idx="3">
                  <c:v>ERAF</c:v>
                </c:pt>
              </c:strCache>
            </c:strRef>
          </c:cat>
          <c:val>
            <c:numRef>
              <c:f>'Politikas mērķi'!$AC$27:$AC$30</c:f>
              <c:numCache>
                <c:formatCode>General</c:formatCode>
                <c:ptCount val="4"/>
                <c:pt idx="0">
                  <c:v>191606820.08000001</c:v>
                </c:pt>
                <c:pt idx="1">
                  <c:v>651907354.79999995</c:v>
                </c:pt>
                <c:pt idx="2">
                  <c:v>864461785.79999995</c:v>
                </c:pt>
                <c:pt idx="3">
                  <c:v>2666416953.9250002</c:v>
                </c:pt>
              </c:numCache>
            </c:numRef>
          </c:val>
          <c:extLst>
            <c:ext xmlns:c16="http://schemas.microsoft.com/office/drawing/2014/chart" uri="{C3380CC4-5D6E-409C-BE32-E72D297353CC}">
              <c16:uniqueId val="{0000003D-B1C8-4D0A-A596-EDB3236DA32C}"/>
            </c:ext>
          </c:extLst>
        </c:ser>
        <c:ser>
          <c:idx val="8"/>
          <c:order val="8"/>
          <c:tx>
            <c:strRef>
              <c:f>'Politikas mērķi'!$AD$12</c:f>
              <c:strCache>
                <c:ptCount val="1"/>
                <c:pt idx="0">
                  <c:v>Valsts budžets, kas pārsniedz pasākuma ES fondu finansējumu 155,8 </c:v>
                </c:pt>
              </c:strCache>
            </c:strRef>
          </c:tx>
          <c:spPr>
            <a:pattFill prst="pct75">
              <a:fgClr>
                <a:srgbClr val="98CA3D"/>
              </a:fgClr>
              <a:bgClr>
                <a:schemeClr val="bg1"/>
              </a:bgClr>
            </a:pattFill>
            <a:ln>
              <a:noFill/>
            </a:ln>
            <a:effectLst/>
          </c:spPr>
          <c:invertIfNegative val="0"/>
          <c:dPt>
            <c:idx val="3"/>
            <c:invertIfNegative val="0"/>
            <c:bubble3D val="0"/>
            <c:spPr>
              <a:pattFill prst="pct75">
                <a:fgClr>
                  <a:srgbClr val="118DFF"/>
                </a:fgClr>
                <a:bgClr>
                  <a:schemeClr val="bg1"/>
                </a:bgClr>
              </a:pattFill>
              <a:ln>
                <a:noFill/>
              </a:ln>
              <a:effectLst/>
            </c:spPr>
            <c:extLst>
              <c:ext xmlns:c16="http://schemas.microsoft.com/office/drawing/2014/chart" uri="{C3380CC4-5D6E-409C-BE32-E72D297353CC}">
                <c16:uniqueId val="{0000003F-B1C8-4D0A-A596-EDB3236DA32C}"/>
              </c:ext>
            </c:extLst>
          </c:dPt>
          <c:cat>
            <c:strRef>
              <c:f>'Politikas mērķi'!$U$27:$U$30</c:f>
              <c:strCache>
                <c:ptCount val="4"/>
                <c:pt idx="0">
                  <c:v>TPF</c:v>
                </c:pt>
                <c:pt idx="1">
                  <c:v>ESF+</c:v>
                </c:pt>
                <c:pt idx="2">
                  <c:v>KF</c:v>
                </c:pt>
                <c:pt idx="3">
                  <c:v>ERAF</c:v>
                </c:pt>
              </c:strCache>
            </c:strRef>
          </c:cat>
          <c:val>
            <c:numRef>
              <c:f>'Politikas mērķi'!$AD$27:$AD$30</c:f>
              <c:numCache>
                <c:formatCode>General</c:formatCode>
                <c:ptCount val="4"/>
                <c:pt idx="0">
                  <c:v>0</c:v>
                </c:pt>
                <c:pt idx="1">
                  <c:v>0</c:v>
                </c:pt>
                <c:pt idx="2">
                  <c:v>0</c:v>
                </c:pt>
                <c:pt idx="3">
                  <c:v>155767728</c:v>
                </c:pt>
              </c:numCache>
            </c:numRef>
          </c:val>
          <c:extLst>
            <c:ext xmlns:c16="http://schemas.microsoft.com/office/drawing/2014/chart" uri="{C3380CC4-5D6E-409C-BE32-E72D297353CC}">
              <c16:uniqueId val="{00000040-B1C8-4D0A-A596-EDB3236DA32C}"/>
            </c:ext>
          </c:extLst>
        </c:ser>
        <c:dLbls>
          <c:showLegendKey val="0"/>
          <c:showVal val="0"/>
          <c:showCatName val="0"/>
          <c:showSerName val="0"/>
          <c:showPercent val="0"/>
          <c:showBubbleSize val="0"/>
        </c:dLbls>
        <c:gapWidth val="210"/>
        <c:overlap val="-100"/>
        <c:axId val="1994931184"/>
        <c:axId val="1994914384"/>
      </c:barChart>
      <c:catAx>
        <c:axId val="9432836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94328848"/>
        <c:crosses val="autoZero"/>
        <c:auto val="1"/>
        <c:lblAlgn val="ctr"/>
        <c:lblOffset val="100"/>
        <c:noMultiLvlLbl val="0"/>
      </c:catAx>
      <c:valAx>
        <c:axId val="94328848"/>
        <c:scaling>
          <c:orientation val="minMax"/>
        </c:scaling>
        <c:delete val="1"/>
        <c:axPos val="b"/>
        <c:numFmt formatCode="#\ ##0.0" sourceLinked="1"/>
        <c:majorTickMark val="out"/>
        <c:minorTickMark val="none"/>
        <c:tickLblPos val="nextTo"/>
        <c:crossAx val="94328368"/>
        <c:crosses val="autoZero"/>
        <c:crossBetween val="between"/>
      </c:valAx>
      <c:valAx>
        <c:axId val="1994914384"/>
        <c:scaling>
          <c:orientation val="minMax"/>
        </c:scaling>
        <c:delete val="1"/>
        <c:axPos val="t"/>
        <c:numFmt formatCode="General" sourceLinked="1"/>
        <c:majorTickMark val="out"/>
        <c:minorTickMark val="none"/>
        <c:tickLblPos val="nextTo"/>
        <c:crossAx val="1994931184"/>
        <c:crosses val="max"/>
        <c:crossBetween val="between"/>
      </c:valAx>
      <c:catAx>
        <c:axId val="1994931184"/>
        <c:scaling>
          <c:orientation val="minMax"/>
        </c:scaling>
        <c:delete val="1"/>
        <c:axPos val="r"/>
        <c:numFmt formatCode="General" sourceLinked="1"/>
        <c:majorTickMark val="out"/>
        <c:minorTickMark val="none"/>
        <c:tickLblPos val="nextTo"/>
        <c:crossAx val="1994914384"/>
        <c:crosses val="max"/>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874799212479058E-2"/>
          <c:y val="4.5230148488620606E-4"/>
          <c:w val="0.88396097787352224"/>
          <c:h val="0.98523139392203141"/>
        </c:manualLayout>
      </c:layout>
      <c:barChart>
        <c:barDir val="bar"/>
        <c:grouping val="stacked"/>
        <c:varyColors val="0"/>
        <c:ser>
          <c:idx val="4"/>
          <c:order val="4"/>
          <c:tx>
            <c:strRef>
              <c:f>Ministrijas!$AF$10</c:f>
              <c:strCache>
                <c:ptCount val="1"/>
              </c:strCache>
            </c:strRef>
          </c:tx>
          <c:spPr>
            <a:solidFill>
              <a:schemeClr val="accent5"/>
            </a:solidFill>
            <a:ln>
              <a:noFill/>
            </a:ln>
            <a:effectLst/>
          </c:spPr>
          <c:invertIfNegative val="0"/>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Ministrijas!$AF$11:$AF$22</c:f>
              <c:numCache>
                <c:formatCode>General</c:formatCode>
                <c:ptCount val="12"/>
              </c:numCache>
            </c:numRef>
          </c:val>
          <c:extLst>
            <c:ext xmlns:c16="http://schemas.microsoft.com/office/drawing/2014/chart" uri="{C3380CC4-5D6E-409C-BE32-E72D297353CC}">
              <c16:uniqueId val="{00000004-B850-4D15-8F1F-1B65DDE09348}"/>
            </c:ext>
          </c:extLst>
        </c:ser>
        <c:ser>
          <c:idx val="5"/>
          <c:order val="5"/>
          <c:tx>
            <c:strRef>
              <c:f>Ministrijas!$AG$10</c:f>
              <c:strCache>
                <c:ptCount val="1"/>
              </c:strCache>
            </c:strRef>
          </c:tx>
          <c:spPr>
            <a:solidFill>
              <a:schemeClr val="accent6"/>
            </a:solidFill>
            <a:ln>
              <a:noFill/>
            </a:ln>
            <a:effectLst/>
          </c:spPr>
          <c:invertIfNegative val="0"/>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Ministrijas!$AG$11:$AG$22</c:f>
              <c:numCache>
                <c:formatCode>General</c:formatCode>
                <c:ptCount val="12"/>
              </c:numCache>
            </c:numRef>
          </c:val>
          <c:extLst>
            <c:ext xmlns:c16="http://schemas.microsoft.com/office/drawing/2014/chart" uri="{C3380CC4-5D6E-409C-BE32-E72D297353CC}">
              <c16:uniqueId val="{00000005-B850-4D15-8F1F-1B65DDE09348}"/>
            </c:ext>
          </c:extLst>
        </c:ser>
        <c:ser>
          <c:idx val="6"/>
          <c:order val="6"/>
          <c:tx>
            <c:strRef>
              <c:f>Ministrijas!$AI$10</c:f>
              <c:strCache>
                <c:ptCount val="1"/>
                <c:pt idx="0">
                  <c:v>Piešķīrums2</c:v>
                </c:pt>
              </c:strCache>
            </c:strRef>
          </c:tx>
          <c:spPr>
            <a:solidFill>
              <a:schemeClr val="bg1"/>
            </a:solidFill>
            <a:ln>
              <a:noFill/>
            </a:ln>
            <a:effectLst/>
          </c:spPr>
          <c:invertIfNegative val="0"/>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Ministrijas!$AI$11:$AI$22</c:f>
              <c:numCache>
                <c:formatCode>General</c:formatCode>
                <c:ptCount val="12"/>
                <c:pt idx="0">
                  <c:v>6704058</c:v>
                </c:pt>
                <c:pt idx="1">
                  <c:v>58816425</c:v>
                </c:pt>
                <c:pt idx="2">
                  <c:v>75410982</c:v>
                </c:pt>
                <c:pt idx="3">
                  <c:v>100686295</c:v>
                </c:pt>
                <c:pt idx="4">
                  <c:v>181027203.60500005</c:v>
                </c:pt>
                <c:pt idx="5">
                  <c:v>74794476</c:v>
                </c:pt>
                <c:pt idx="6">
                  <c:v>295085006</c:v>
                </c:pt>
                <c:pt idx="7">
                  <c:v>374395678</c:v>
                </c:pt>
                <c:pt idx="8">
                  <c:v>653923371</c:v>
                </c:pt>
                <c:pt idx="9">
                  <c:v>820600037</c:v>
                </c:pt>
                <c:pt idx="10">
                  <c:v>841370826</c:v>
                </c:pt>
                <c:pt idx="11">
                  <c:v>891578557</c:v>
                </c:pt>
              </c:numCache>
            </c:numRef>
          </c:val>
          <c:extLst>
            <c:ext xmlns:c16="http://schemas.microsoft.com/office/drawing/2014/chart" uri="{C3380CC4-5D6E-409C-BE32-E72D297353CC}">
              <c16:uniqueId val="{00000006-B850-4D15-8F1F-1B65DDE09348}"/>
            </c:ext>
          </c:extLst>
        </c:ser>
        <c:ser>
          <c:idx val="7"/>
          <c:order val="7"/>
          <c:tx>
            <c:strRef>
              <c:f>Ministrijas!$AH$10</c:f>
              <c:strCache>
                <c:ptCount val="1"/>
                <c:pt idx="0">
                  <c:v>Valsts budžets, kas pārsniedz pasākuma ES fondu finansējumu 155,8 Milj. EUR</c:v>
                </c:pt>
              </c:strCache>
            </c:strRef>
          </c:tx>
          <c:spPr>
            <a:pattFill prst="pct75">
              <a:fgClr>
                <a:srgbClr val="1F2A44"/>
              </a:fgClr>
              <a:bgClr>
                <a:schemeClr val="bg1"/>
              </a:bgClr>
            </a:pattFill>
            <a:ln>
              <a:noFill/>
            </a:ln>
            <a:effectLst/>
          </c:spPr>
          <c:invertIfNegative val="0"/>
          <c:dPt>
            <c:idx val="2"/>
            <c:invertIfNegative val="0"/>
            <c:bubble3D val="0"/>
            <c:spPr>
              <a:pattFill prst="pct75">
                <a:fgClr>
                  <a:srgbClr val="E4002B"/>
                </a:fgClr>
                <a:bgClr>
                  <a:schemeClr val="bg1"/>
                </a:bgClr>
              </a:pattFill>
              <a:ln>
                <a:noFill/>
              </a:ln>
              <a:effectLst/>
            </c:spPr>
            <c:extLst>
              <c:ext xmlns:c16="http://schemas.microsoft.com/office/drawing/2014/chart" uri="{C3380CC4-5D6E-409C-BE32-E72D297353CC}">
                <c16:uniqueId val="{00000039-B850-4D15-8F1F-1B65DDE09348}"/>
              </c:ext>
            </c:extLst>
          </c:dPt>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Ministrijas!$AH$11:$AH$22</c:f>
              <c:numCache>
                <c:formatCode>#,##0</c:formatCode>
                <c:ptCount val="12"/>
                <c:pt idx="0">
                  <c:v>0</c:v>
                </c:pt>
                <c:pt idx="1">
                  <c:v>0</c:v>
                </c:pt>
                <c:pt idx="2">
                  <c:v>2526446</c:v>
                </c:pt>
                <c:pt idx="3">
                  <c:v>0</c:v>
                </c:pt>
                <c:pt idx="4">
                  <c:v>0</c:v>
                </c:pt>
                <c:pt idx="5">
                  <c:v>153241282</c:v>
                </c:pt>
                <c:pt idx="6">
                  <c:v>0</c:v>
                </c:pt>
                <c:pt idx="7">
                  <c:v>0</c:v>
                </c:pt>
                <c:pt idx="8">
                  <c:v>0</c:v>
                </c:pt>
                <c:pt idx="9">
                  <c:v>0</c:v>
                </c:pt>
                <c:pt idx="10">
                  <c:v>0</c:v>
                </c:pt>
                <c:pt idx="11">
                  <c:v>0</c:v>
                </c:pt>
              </c:numCache>
            </c:numRef>
          </c:val>
          <c:extLst>
            <c:ext xmlns:c16="http://schemas.microsoft.com/office/drawing/2014/chart" uri="{C3380CC4-5D6E-409C-BE32-E72D297353CC}">
              <c16:uniqueId val="{00000007-B850-4D15-8F1F-1B65DDE09348}"/>
            </c:ext>
          </c:extLst>
        </c:ser>
        <c:dLbls>
          <c:showLegendKey val="0"/>
          <c:showVal val="0"/>
          <c:showCatName val="0"/>
          <c:showSerName val="0"/>
          <c:showPercent val="0"/>
          <c:showBubbleSize val="0"/>
        </c:dLbls>
        <c:gapWidth val="0"/>
        <c:axId val="1921652080"/>
        <c:axId val="1921668880"/>
      </c:barChart>
      <c:barChart>
        <c:barDir val="bar"/>
        <c:grouping val="clustered"/>
        <c:varyColors val="0"/>
        <c:ser>
          <c:idx val="0"/>
          <c:order val="0"/>
          <c:tx>
            <c:strRef>
              <c:f>Ministrijas!$AB$10</c:f>
              <c:strCache>
                <c:ptCount val="1"/>
                <c:pt idx="0">
                  <c:v>Maksājumi 1 031,8 (24%)</c:v>
                </c:pt>
              </c:strCache>
            </c:strRef>
          </c:tx>
          <c:spPr>
            <a:solidFill>
              <a:schemeClr val="tx1">
                <a:lumMod val="50000"/>
                <a:lumOff val="50000"/>
                <a:alpha val="40000"/>
              </a:schemeClr>
            </a:solidFill>
            <a:ln>
              <a:noFill/>
            </a:ln>
            <a:effectLst/>
          </c:spPr>
          <c:invertIfNegative val="0"/>
          <c:dPt>
            <c:idx val="0"/>
            <c:invertIfNegative val="0"/>
            <c:bubble3D val="0"/>
            <c:spPr>
              <a:solidFill>
                <a:srgbClr val="840B55">
                  <a:alpha val="40000"/>
                </a:srgbClr>
              </a:solidFill>
              <a:ln>
                <a:noFill/>
              </a:ln>
              <a:effectLst/>
            </c:spPr>
            <c:extLst>
              <c:ext xmlns:c16="http://schemas.microsoft.com/office/drawing/2014/chart" uri="{C3380CC4-5D6E-409C-BE32-E72D297353CC}">
                <c16:uniqueId val="{0000000A-B850-4D15-8F1F-1B65DDE09348}"/>
              </c:ext>
            </c:extLst>
          </c:dPt>
          <c:dPt>
            <c:idx val="1"/>
            <c:invertIfNegative val="0"/>
            <c:bubble3D val="0"/>
            <c:spPr>
              <a:solidFill>
                <a:srgbClr val="9D2235">
                  <a:alpha val="40000"/>
                </a:srgbClr>
              </a:solidFill>
              <a:ln>
                <a:noFill/>
              </a:ln>
              <a:effectLst/>
            </c:spPr>
            <c:extLst>
              <c:ext xmlns:c16="http://schemas.microsoft.com/office/drawing/2014/chart" uri="{C3380CC4-5D6E-409C-BE32-E72D297353CC}">
                <c16:uniqueId val="{0000000B-B850-4D15-8F1F-1B65DDE09348}"/>
              </c:ext>
            </c:extLst>
          </c:dPt>
          <c:dPt>
            <c:idx val="2"/>
            <c:invertIfNegative val="0"/>
            <c:bubble3D val="0"/>
            <c:spPr>
              <a:solidFill>
                <a:srgbClr val="E4002B">
                  <a:alpha val="40000"/>
                </a:srgbClr>
              </a:solidFill>
              <a:ln>
                <a:noFill/>
              </a:ln>
              <a:effectLst/>
            </c:spPr>
            <c:extLst>
              <c:ext xmlns:c16="http://schemas.microsoft.com/office/drawing/2014/chart" uri="{C3380CC4-5D6E-409C-BE32-E72D297353CC}">
                <c16:uniqueId val="{0000000C-B850-4D15-8F1F-1B65DDE09348}"/>
              </c:ext>
            </c:extLst>
          </c:dPt>
          <c:dPt>
            <c:idx val="3"/>
            <c:invertIfNegative val="0"/>
            <c:bubble3D val="0"/>
            <c:spPr>
              <a:solidFill>
                <a:srgbClr val="155452">
                  <a:alpha val="40000"/>
                </a:srgbClr>
              </a:solidFill>
              <a:ln>
                <a:noFill/>
              </a:ln>
              <a:effectLst/>
            </c:spPr>
            <c:extLst>
              <c:ext xmlns:c16="http://schemas.microsoft.com/office/drawing/2014/chart" uri="{C3380CC4-5D6E-409C-BE32-E72D297353CC}">
                <c16:uniqueId val="{0000000D-B850-4D15-8F1F-1B65DDE09348}"/>
              </c:ext>
            </c:extLst>
          </c:dPt>
          <c:dPt>
            <c:idx val="4"/>
            <c:invertIfNegative val="0"/>
            <c:bubble3D val="0"/>
            <c:spPr>
              <a:solidFill>
                <a:srgbClr val="1F2A44">
                  <a:alpha val="40000"/>
                </a:srgbClr>
              </a:solidFill>
              <a:ln>
                <a:noFill/>
              </a:ln>
              <a:effectLst/>
            </c:spPr>
            <c:extLst>
              <c:ext xmlns:c16="http://schemas.microsoft.com/office/drawing/2014/chart" uri="{C3380CC4-5D6E-409C-BE32-E72D297353CC}">
                <c16:uniqueId val="{0000000E-B850-4D15-8F1F-1B65DDE09348}"/>
              </c:ext>
            </c:extLst>
          </c:dPt>
          <c:dPt>
            <c:idx val="5"/>
            <c:invertIfNegative val="0"/>
            <c:bubble3D val="0"/>
            <c:spPr>
              <a:solidFill>
                <a:srgbClr val="012169">
                  <a:alpha val="40000"/>
                </a:srgbClr>
              </a:solidFill>
              <a:ln>
                <a:noFill/>
              </a:ln>
              <a:effectLst/>
            </c:spPr>
            <c:extLst>
              <c:ext xmlns:c16="http://schemas.microsoft.com/office/drawing/2014/chart" uri="{C3380CC4-5D6E-409C-BE32-E72D297353CC}">
                <c16:uniqueId val="{0000000F-B850-4D15-8F1F-1B65DDE09348}"/>
              </c:ext>
            </c:extLst>
          </c:dPt>
          <c:dPt>
            <c:idx val="6"/>
            <c:invertIfNegative val="0"/>
            <c:bubble3D val="0"/>
            <c:spPr>
              <a:solidFill>
                <a:srgbClr val="6BA539">
                  <a:alpha val="40000"/>
                </a:srgbClr>
              </a:solidFill>
              <a:ln>
                <a:noFill/>
              </a:ln>
              <a:effectLst/>
            </c:spPr>
            <c:extLst>
              <c:ext xmlns:c16="http://schemas.microsoft.com/office/drawing/2014/chart" uri="{C3380CC4-5D6E-409C-BE32-E72D297353CC}">
                <c16:uniqueId val="{00000010-B850-4D15-8F1F-1B65DDE09348}"/>
              </c:ext>
            </c:extLst>
          </c:dPt>
          <c:dPt>
            <c:idx val="7"/>
            <c:invertIfNegative val="0"/>
            <c:bubble3D val="0"/>
            <c:spPr>
              <a:solidFill>
                <a:srgbClr val="E57200">
                  <a:alpha val="40000"/>
                </a:srgbClr>
              </a:solidFill>
              <a:ln>
                <a:noFill/>
              </a:ln>
              <a:effectLst/>
            </c:spPr>
            <c:extLst>
              <c:ext xmlns:c16="http://schemas.microsoft.com/office/drawing/2014/chart" uri="{C3380CC4-5D6E-409C-BE32-E72D297353CC}">
                <c16:uniqueId val="{00000011-B850-4D15-8F1F-1B65DDE09348}"/>
              </c:ext>
            </c:extLst>
          </c:dPt>
          <c:dPt>
            <c:idx val="8"/>
            <c:invertIfNegative val="0"/>
            <c:bubble3D val="0"/>
            <c:spPr>
              <a:solidFill>
                <a:srgbClr val="68478D">
                  <a:alpha val="40000"/>
                </a:srgbClr>
              </a:solidFill>
              <a:ln>
                <a:noFill/>
              </a:ln>
              <a:effectLst/>
            </c:spPr>
            <c:extLst>
              <c:ext xmlns:c16="http://schemas.microsoft.com/office/drawing/2014/chart" uri="{C3380CC4-5D6E-409C-BE32-E72D297353CC}">
                <c16:uniqueId val="{00000012-B850-4D15-8F1F-1B65DDE09348}"/>
              </c:ext>
            </c:extLst>
          </c:dPt>
          <c:dPt>
            <c:idx val="9"/>
            <c:invertIfNegative val="0"/>
            <c:bubble3D val="0"/>
            <c:spPr>
              <a:solidFill>
                <a:srgbClr val="227B8B">
                  <a:alpha val="40000"/>
                </a:srgbClr>
              </a:solidFill>
              <a:ln>
                <a:noFill/>
              </a:ln>
              <a:effectLst/>
            </c:spPr>
            <c:extLst>
              <c:ext xmlns:c16="http://schemas.microsoft.com/office/drawing/2014/chart" uri="{C3380CC4-5D6E-409C-BE32-E72D297353CC}">
                <c16:uniqueId val="{00000013-B850-4D15-8F1F-1B65DDE09348}"/>
              </c:ext>
            </c:extLst>
          </c:dPt>
          <c:dPt>
            <c:idx val="10"/>
            <c:invertIfNegative val="0"/>
            <c:bubble3D val="0"/>
            <c:spPr>
              <a:solidFill>
                <a:srgbClr val="425563">
                  <a:alpha val="40000"/>
                </a:srgbClr>
              </a:solidFill>
              <a:ln>
                <a:noFill/>
              </a:ln>
              <a:effectLst/>
            </c:spPr>
            <c:extLst>
              <c:ext xmlns:c16="http://schemas.microsoft.com/office/drawing/2014/chart" uri="{C3380CC4-5D6E-409C-BE32-E72D297353CC}">
                <c16:uniqueId val="{00000014-B850-4D15-8F1F-1B65DDE09348}"/>
              </c:ext>
            </c:extLst>
          </c:dPt>
          <c:dPt>
            <c:idx val="11"/>
            <c:invertIfNegative val="0"/>
            <c:bubble3D val="0"/>
            <c:spPr>
              <a:solidFill>
                <a:srgbClr val="4A773C">
                  <a:alpha val="40000"/>
                </a:srgbClr>
              </a:solidFill>
              <a:ln>
                <a:noFill/>
              </a:ln>
              <a:effectLst/>
            </c:spPr>
            <c:extLst>
              <c:ext xmlns:c16="http://schemas.microsoft.com/office/drawing/2014/chart" uri="{C3380CC4-5D6E-409C-BE32-E72D297353CC}">
                <c16:uniqueId val="{00000015-B850-4D15-8F1F-1B65DDE09348}"/>
              </c:ext>
            </c:extLst>
          </c:dPt>
          <c:dLbls>
            <c:dLbl>
              <c:idx val="0"/>
              <c:tx>
                <c:rich>
                  <a:bodyPr/>
                  <a:lstStyle/>
                  <a:p>
                    <a:fld id="{D550FC5E-CFE5-4568-A79A-F2BEDB3DC05F}"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850-4D15-8F1F-1B65DDE09348}"/>
                </c:ext>
              </c:extLst>
            </c:dLbl>
            <c:dLbl>
              <c:idx val="1"/>
              <c:tx>
                <c:rich>
                  <a:bodyPr/>
                  <a:lstStyle/>
                  <a:p>
                    <a:fld id="{8A52F620-18DC-4285-BC8F-7AB9CE7DC5F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850-4D15-8F1F-1B65DDE09348}"/>
                </c:ext>
              </c:extLst>
            </c:dLbl>
            <c:dLbl>
              <c:idx val="2"/>
              <c:tx>
                <c:rich>
                  <a:bodyPr/>
                  <a:lstStyle/>
                  <a:p>
                    <a:fld id="{BE18AAA8-C647-40E7-A59D-EB78DDFD8D4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850-4D15-8F1F-1B65DDE09348}"/>
                </c:ext>
              </c:extLst>
            </c:dLbl>
            <c:dLbl>
              <c:idx val="3"/>
              <c:tx>
                <c:rich>
                  <a:bodyPr/>
                  <a:lstStyle/>
                  <a:p>
                    <a:fld id="{FE48299F-998E-4702-AB80-FC28D73F879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850-4D15-8F1F-1B65DDE09348}"/>
                </c:ext>
              </c:extLst>
            </c:dLbl>
            <c:dLbl>
              <c:idx val="4"/>
              <c:tx>
                <c:rich>
                  <a:bodyPr/>
                  <a:lstStyle/>
                  <a:p>
                    <a:fld id="{D2BE7054-E963-4655-958F-ACF1A519505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850-4D15-8F1F-1B65DDE09348}"/>
                </c:ext>
              </c:extLst>
            </c:dLbl>
            <c:dLbl>
              <c:idx val="5"/>
              <c:tx>
                <c:rich>
                  <a:bodyPr/>
                  <a:lstStyle/>
                  <a:p>
                    <a:fld id="{FC4BA3FA-4B10-4A29-8F58-5CCE817260F0}"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850-4D15-8F1F-1B65DDE09348}"/>
                </c:ext>
              </c:extLst>
            </c:dLbl>
            <c:dLbl>
              <c:idx val="6"/>
              <c:tx>
                <c:rich>
                  <a:bodyPr/>
                  <a:lstStyle/>
                  <a:p>
                    <a:fld id="{D9990D32-6ACB-4E90-9317-DACCC6EB56B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850-4D15-8F1F-1B65DDE09348}"/>
                </c:ext>
              </c:extLst>
            </c:dLbl>
            <c:dLbl>
              <c:idx val="7"/>
              <c:tx>
                <c:rich>
                  <a:bodyPr/>
                  <a:lstStyle/>
                  <a:p>
                    <a:fld id="{E24FCDD8-4504-416C-BBE5-9650E9515FD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850-4D15-8F1F-1B65DDE09348}"/>
                </c:ext>
              </c:extLst>
            </c:dLbl>
            <c:dLbl>
              <c:idx val="8"/>
              <c:tx>
                <c:rich>
                  <a:bodyPr/>
                  <a:lstStyle/>
                  <a:p>
                    <a:fld id="{42EB8F29-0DB6-4DA1-9DA5-04C70B676E9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850-4D15-8F1F-1B65DDE09348}"/>
                </c:ext>
              </c:extLst>
            </c:dLbl>
            <c:dLbl>
              <c:idx val="9"/>
              <c:tx>
                <c:rich>
                  <a:bodyPr/>
                  <a:lstStyle/>
                  <a:p>
                    <a:fld id="{C49C9424-6A62-4880-A5ED-4753ABE42C8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850-4D15-8F1F-1B65DDE09348}"/>
                </c:ext>
              </c:extLst>
            </c:dLbl>
            <c:dLbl>
              <c:idx val="10"/>
              <c:tx>
                <c:rich>
                  <a:bodyPr/>
                  <a:lstStyle/>
                  <a:p>
                    <a:fld id="{2037F0F3-D3FC-4376-B54F-C4D9549744B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850-4D15-8F1F-1B65DDE09348}"/>
                </c:ext>
              </c:extLst>
            </c:dLbl>
            <c:dLbl>
              <c:idx val="11"/>
              <c:tx>
                <c:rich>
                  <a:bodyPr/>
                  <a:lstStyle/>
                  <a:p>
                    <a:fld id="{964F855B-CDCB-4005-83F2-5586FC3B48F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850-4D15-8F1F-1B65DDE09348}"/>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Ministrijas!$AB$11:$AB$22</c:f>
              <c:numCache>
                <c:formatCode>General</c:formatCode>
                <c:ptCount val="12"/>
                <c:pt idx="0">
                  <c:v>1926324.63</c:v>
                </c:pt>
                <c:pt idx="1">
                  <c:v>7361916.9399999995</c:v>
                </c:pt>
                <c:pt idx="2">
                  <c:v>22099793.280000001</c:v>
                </c:pt>
                <c:pt idx="3">
                  <c:v>19705888.73</c:v>
                </c:pt>
                <c:pt idx="4">
                  <c:v>37463154.28360001</c:v>
                </c:pt>
                <c:pt idx="5">
                  <c:v>96967147.549999997</c:v>
                </c:pt>
                <c:pt idx="6">
                  <c:v>51664436.040000014</c:v>
                </c:pt>
                <c:pt idx="7">
                  <c:v>89587682.909999996</c:v>
                </c:pt>
                <c:pt idx="8">
                  <c:v>117064478.83000003</c:v>
                </c:pt>
                <c:pt idx="9">
                  <c:v>247905348.58000001</c:v>
                </c:pt>
                <c:pt idx="10">
                  <c:v>160744218.44</c:v>
                </c:pt>
                <c:pt idx="11">
                  <c:v>179357103.91999993</c:v>
                </c:pt>
              </c:numCache>
            </c:numRef>
          </c:val>
          <c:extLst>
            <c:ext xmlns:c15="http://schemas.microsoft.com/office/drawing/2012/chart" uri="{02D57815-91ED-43cb-92C2-25804820EDAC}">
              <c15:datalabelsRange>
                <c15:f>Ministrijas!$AJ$11:$AJ$22</c15:f>
                <c15:dlblRangeCache>
                  <c:ptCount val="12"/>
                  <c:pt idx="0">
                    <c:v>1,9;  28,7%</c:v>
                  </c:pt>
                  <c:pt idx="1">
                    <c:v>7,4;  12,5%</c:v>
                  </c:pt>
                  <c:pt idx="2">
                    <c:v>22,1;  29,3%</c:v>
                  </c:pt>
                  <c:pt idx="3">
                    <c:v>19,7;  19,6%</c:v>
                  </c:pt>
                  <c:pt idx="4">
                    <c:v>37,5;  20,7%</c:v>
                  </c:pt>
                  <c:pt idx="5">
                    <c:v>97,0;  129,6%</c:v>
                  </c:pt>
                  <c:pt idx="6">
                    <c:v>51,7;  17,5%</c:v>
                  </c:pt>
                  <c:pt idx="7">
                    <c:v>89,6;  23,9%</c:v>
                  </c:pt>
                  <c:pt idx="8">
                    <c:v>117,1;  17,9%</c:v>
                  </c:pt>
                  <c:pt idx="9">
                    <c:v>247,9;  30,2%</c:v>
                  </c:pt>
                  <c:pt idx="10">
                    <c:v>160,7;  19,1%</c:v>
                  </c:pt>
                  <c:pt idx="11">
                    <c:v>179,4;  20,1%</c:v>
                  </c:pt>
                </c15:dlblRangeCache>
              </c15:datalabelsRange>
            </c:ext>
            <c:ext xmlns:c16="http://schemas.microsoft.com/office/drawing/2014/chart" uri="{C3380CC4-5D6E-409C-BE32-E72D297353CC}">
              <c16:uniqueId val="{00000000-B850-4D15-8F1F-1B65DDE09348}"/>
            </c:ext>
          </c:extLst>
        </c:ser>
        <c:ser>
          <c:idx val="1"/>
          <c:order val="1"/>
          <c:tx>
            <c:strRef>
              <c:f>Ministrijas!$AC$10</c:f>
              <c:strCache>
                <c:ptCount val="1"/>
                <c:pt idx="0">
                  <c:v>Līgums 3 582,6 (82%)</c:v>
                </c:pt>
              </c:strCache>
            </c:strRef>
          </c:tx>
          <c:spPr>
            <a:solidFill>
              <a:schemeClr val="tx1">
                <a:lumMod val="50000"/>
                <a:lumOff val="50000"/>
                <a:alpha val="60000"/>
              </a:schemeClr>
            </a:solidFill>
            <a:ln>
              <a:noFill/>
            </a:ln>
            <a:effectLst/>
          </c:spPr>
          <c:invertIfNegative val="0"/>
          <c:dPt>
            <c:idx val="0"/>
            <c:invertIfNegative val="0"/>
            <c:bubble3D val="0"/>
            <c:spPr>
              <a:solidFill>
                <a:srgbClr val="840B55">
                  <a:alpha val="60000"/>
                </a:srgbClr>
              </a:solidFill>
              <a:ln>
                <a:noFill/>
              </a:ln>
              <a:effectLst/>
            </c:spPr>
            <c:extLst>
              <c:ext xmlns:c16="http://schemas.microsoft.com/office/drawing/2014/chart" uri="{C3380CC4-5D6E-409C-BE32-E72D297353CC}">
                <c16:uniqueId val="{00000016-B850-4D15-8F1F-1B65DDE09348}"/>
              </c:ext>
            </c:extLst>
          </c:dPt>
          <c:dPt>
            <c:idx val="1"/>
            <c:invertIfNegative val="0"/>
            <c:bubble3D val="0"/>
            <c:spPr>
              <a:solidFill>
                <a:srgbClr val="9D2235">
                  <a:alpha val="60000"/>
                </a:srgbClr>
              </a:solidFill>
              <a:ln>
                <a:noFill/>
              </a:ln>
              <a:effectLst/>
            </c:spPr>
            <c:extLst>
              <c:ext xmlns:c16="http://schemas.microsoft.com/office/drawing/2014/chart" uri="{C3380CC4-5D6E-409C-BE32-E72D297353CC}">
                <c16:uniqueId val="{00000017-B850-4D15-8F1F-1B65DDE09348}"/>
              </c:ext>
            </c:extLst>
          </c:dPt>
          <c:dPt>
            <c:idx val="2"/>
            <c:invertIfNegative val="0"/>
            <c:bubble3D val="0"/>
            <c:spPr>
              <a:solidFill>
                <a:srgbClr val="E4002B">
                  <a:alpha val="60000"/>
                </a:srgbClr>
              </a:solidFill>
              <a:ln>
                <a:noFill/>
              </a:ln>
              <a:effectLst/>
            </c:spPr>
            <c:extLst>
              <c:ext xmlns:c16="http://schemas.microsoft.com/office/drawing/2014/chart" uri="{C3380CC4-5D6E-409C-BE32-E72D297353CC}">
                <c16:uniqueId val="{00000018-B850-4D15-8F1F-1B65DDE09348}"/>
              </c:ext>
            </c:extLst>
          </c:dPt>
          <c:dPt>
            <c:idx val="3"/>
            <c:invertIfNegative val="0"/>
            <c:bubble3D val="0"/>
            <c:spPr>
              <a:solidFill>
                <a:srgbClr val="155452">
                  <a:alpha val="60000"/>
                </a:srgbClr>
              </a:solidFill>
              <a:ln>
                <a:noFill/>
              </a:ln>
              <a:effectLst/>
            </c:spPr>
            <c:extLst>
              <c:ext xmlns:c16="http://schemas.microsoft.com/office/drawing/2014/chart" uri="{C3380CC4-5D6E-409C-BE32-E72D297353CC}">
                <c16:uniqueId val="{00000019-B850-4D15-8F1F-1B65DDE09348}"/>
              </c:ext>
            </c:extLst>
          </c:dPt>
          <c:dPt>
            <c:idx val="4"/>
            <c:invertIfNegative val="0"/>
            <c:bubble3D val="0"/>
            <c:spPr>
              <a:solidFill>
                <a:srgbClr val="1F2A44">
                  <a:alpha val="60000"/>
                </a:srgbClr>
              </a:solidFill>
              <a:ln>
                <a:noFill/>
              </a:ln>
              <a:effectLst/>
            </c:spPr>
            <c:extLst>
              <c:ext xmlns:c16="http://schemas.microsoft.com/office/drawing/2014/chart" uri="{C3380CC4-5D6E-409C-BE32-E72D297353CC}">
                <c16:uniqueId val="{0000001A-B850-4D15-8F1F-1B65DDE09348}"/>
              </c:ext>
            </c:extLst>
          </c:dPt>
          <c:dPt>
            <c:idx val="5"/>
            <c:invertIfNegative val="0"/>
            <c:bubble3D val="0"/>
            <c:spPr>
              <a:solidFill>
                <a:srgbClr val="012169">
                  <a:alpha val="60000"/>
                </a:srgbClr>
              </a:solidFill>
              <a:ln>
                <a:noFill/>
              </a:ln>
              <a:effectLst/>
            </c:spPr>
            <c:extLst>
              <c:ext xmlns:c16="http://schemas.microsoft.com/office/drawing/2014/chart" uri="{C3380CC4-5D6E-409C-BE32-E72D297353CC}">
                <c16:uniqueId val="{0000001B-B850-4D15-8F1F-1B65DDE09348}"/>
              </c:ext>
            </c:extLst>
          </c:dPt>
          <c:dPt>
            <c:idx val="6"/>
            <c:invertIfNegative val="0"/>
            <c:bubble3D val="0"/>
            <c:spPr>
              <a:solidFill>
                <a:srgbClr val="6BA539">
                  <a:alpha val="60000"/>
                </a:srgbClr>
              </a:solidFill>
              <a:ln>
                <a:noFill/>
              </a:ln>
              <a:effectLst/>
            </c:spPr>
            <c:extLst>
              <c:ext xmlns:c16="http://schemas.microsoft.com/office/drawing/2014/chart" uri="{C3380CC4-5D6E-409C-BE32-E72D297353CC}">
                <c16:uniqueId val="{0000001C-B850-4D15-8F1F-1B65DDE09348}"/>
              </c:ext>
            </c:extLst>
          </c:dPt>
          <c:dPt>
            <c:idx val="7"/>
            <c:invertIfNegative val="0"/>
            <c:bubble3D val="0"/>
            <c:spPr>
              <a:solidFill>
                <a:srgbClr val="E57200">
                  <a:alpha val="60000"/>
                </a:srgbClr>
              </a:solidFill>
              <a:ln>
                <a:noFill/>
              </a:ln>
              <a:effectLst/>
            </c:spPr>
            <c:extLst>
              <c:ext xmlns:c16="http://schemas.microsoft.com/office/drawing/2014/chart" uri="{C3380CC4-5D6E-409C-BE32-E72D297353CC}">
                <c16:uniqueId val="{0000001D-B850-4D15-8F1F-1B65DDE09348}"/>
              </c:ext>
            </c:extLst>
          </c:dPt>
          <c:dPt>
            <c:idx val="8"/>
            <c:invertIfNegative val="0"/>
            <c:bubble3D val="0"/>
            <c:spPr>
              <a:solidFill>
                <a:srgbClr val="68478D">
                  <a:alpha val="60000"/>
                </a:srgbClr>
              </a:solidFill>
              <a:ln>
                <a:noFill/>
              </a:ln>
              <a:effectLst/>
            </c:spPr>
            <c:extLst>
              <c:ext xmlns:c16="http://schemas.microsoft.com/office/drawing/2014/chart" uri="{C3380CC4-5D6E-409C-BE32-E72D297353CC}">
                <c16:uniqueId val="{0000001E-B850-4D15-8F1F-1B65DDE09348}"/>
              </c:ext>
            </c:extLst>
          </c:dPt>
          <c:dPt>
            <c:idx val="9"/>
            <c:invertIfNegative val="0"/>
            <c:bubble3D val="0"/>
            <c:spPr>
              <a:solidFill>
                <a:srgbClr val="227B8B">
                  <a:alpha val="60000"/>
                </a:srgbClr>
              </a:solidFill>
              <a:ln>
                <a:noFill/>
              </a:ln>
              <a:effectLst/>
            </c:spPr>
            <c:extLst>
              <c:ext xmlns:c16="http://schemas.microsoft.com/office/drawing/2014/chart" uri="{C3380CC4-5D6E-409C-BE32-E72D297353CC}">
                <c16:uniqueId val="{0000001F-B850-4D15-8F1F-1B65DDE09348}"/>
              </c:ext>
            </c:extLst>
          </c:dPt>
          <c:dPt>
            <c:idx val="10"/>
            <c:invertIfNegative val="0"/>
            <c:bubble3D val="0"/>
            <c:spPr>
              <a:solidFill>
                <a:srgbClr val="425563">
                  <a:alpha val="60000"/>
                </a:srgbClr>
              </a:solidFill>
              <a:ln>
                <a:noFill/>
              </a:ln>
              <a:effectLst/>
            </c:spPr>
            <c:extLst>
              <c:ext xmlns:c16="http://schemas.microsoft.com/office/drawing/2014/chart" uri="{C3380CC4-5D6E-409C-BE32-E72D297353CC}">
                <c16:uniqueId val="{00000020-B850-4D15-8F1F-1B65DDE09348}"/>
              </c:ext>
            </c:extLst>
          </c:dPt>
          <c:dPt>
            <c:idx val="11"/>
            <c:invertIfNegative val="0"/>
            <c:bubble3D val="0"/>
            <c:spPr>
              <a:solidFill>
                <a:srgbClr val="4A773C">
                  <a:alpha val="60000"/>
                </a:srgbClr>
              </a:solidFill>
              <a:ln>
                <a:noFill/>
              </a:ln>
              <a:effectLst/>
            </c:spPr>
            <c:extLst>
              <c:ext xmlns:c16="http://schemas.microsoft.com/office/drawing/2014/chart" uri="{C3380CC4-5D6E-409C-BE32-E72D297353CC}">
                <c16:uniqueId val="{00000021-B850-4D15-8F1F-1B65DDE09348}"/>
              </c:ext>
            </c:extLst>
          </c:dPt>
          <c:dLbls>
            <c:dLbl>
              <c:idx val="0"/>
              <c:tx>
                <c:rich>
                  <a:bodyPr/>
                  <a:lstStyle/>
                  <a:p>
                    <a:fld id="{474D1F2B-00B2-48D4-A088-1D6024C2CA4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B850-4D15-8F1F-1B65DDE09348}"/>
                </c:ext>
              </c:extLst>
            </c:dLbl>
            <c:dLbl>
              <c:idx val="1"/>
              <c:tx>
                <c:rich>
                  <a:bodyPr/>
                  <a:lstStyle/>
                  <a:p>
                    <a:fld id="{C0D5CA08-912E-49F9-B879-1960FCD4F00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850-4D15-8F1F-1B65DDE09348}"/>
                </c:ext>
              </c:extLst>
            </c:dLbl>
            <c:dLbl>
              <c:idx val="2"/>
              <c:tx>
                <c:rich>
                  <a:bodyPr/>
                  <a:lstStyle/>
                  <a:p>
                    <a:fld id="{056CBD20-997A-4400-A1CA-EBEA54D4ED9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850-4D15-8F1F-1B65DDE09348}"/>
                </c:ext>
              </c:extLst>
            </c:dLbl>
            <c:dLbl>
              <c:idx val="3"/>
              <c:tx>
                <c:rich>
                  <a:bodyPr/>
                  <a:lstStyle/>
                  <a:p>
                    <a:fld id="{DD56D1F7-5A21-43F7-820A-10CA112C1FE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850-4D15-8F1F-1B65DDE09348}"/>
                </c:ext>
              </c:extLst>
            </c:dLbl>
            <c:dLbl>
              <c:idx val="4"/>
              <c:tx>
                <c:rich>
                  <a:bodyPr/>
                  <a:lstStyle/>
                  <a:p>
                    <a:fld id="{7B6DBB46-F8C3-4178-9D91-112107F5C39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850-4D15-8F1F-1B65DDE09348}"/>
                </c:ext>
              </c:extLst>
            </c:dLbl>
            <c:dLbl>
              <c:idx val="5"/>
              <c:tx>
                <c:rich>
                  <a:bodyPr/>
                  <a:lstStyle/>
                  <a:p>
                    <a:fld id="{D94A4C40-A62A-496C-A234-C93303AF9C6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850-4D15-8F1F-1B65DDE09348}"/>
                </c:ext>
              </c:extLst>
            </c:dLbl>
            <c:dLbl>
              <c:idx val="6"/>
              <c:tx>
                <c:rich>
                  <a:bodyPr/>
                  <a:lstStyle/>
                  <a:p>
                    <a:fld id="{BCC70449-B79F-4F12-AEDB-1D9AF11371B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850-4D15-8F1F-1B65DDE09348}"/>
                </c:ext>
              </c:extLst>
            </c:dLbl>
            <c:dLbl>
              <c:idx val="7"/>
              <c:tx>
                <c:rich>
                  <a:bodyPr/>
                  <a:lstStyle/>
                  <a:p>
                    <a:fld id="{4774B4B2-468D-4295-8297-A9527FF5592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850-4D15-8F1F-1B65DDE09348}"/>
                </c:ext>
              </c:extLst>
            </c:dLbl>
            <c:dLbl>
              <c:idx val="8"/>
              <c:tx>
                <c:rich>
                  <a:bodyPr/>
                  <a:lstStyle/>
                  <a:p>
                    <a:fld id="{4720B2B0-C263-412B-A474-41280CE0E01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850-4D15-8F1F-1B65DDE09348}"/>
                </c:ext>
              </c:extLst>
            </c:dLbl>
            <c:dLbl>
              <c:idx val="9"/>
              <c:tx>
                <c:rich>
                  <a:bodyPr/>
                  <a:lstStyle/>
                  <a:p>
                    <a:fld id="{E26B4565-4B38-4060-A214-A8C1084E924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850-4D15-8F1F-1B65DDE09348}"/>
                </c:ext>
              </c:extLst>
            </c:dLbl>
            <c:dLbl>
              <c:idx val="10"/>
              <c:tx>
                <c:rich>
                  <a:bodyPr/>
                  <a:lstStyle/>
                  <a:p>
                    <a:fld id="{35D42072-CCC1-479E-93C0-106E704BDB2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850-4D15-8F1F-1B65DDE09348}"/>
                </c:ext>
              </c:extLst>
            </c:dLbl>
            <c:dLbl>
              <c:idx val="11"/>
              <c:tx>
                <c:rich>
                  <a:bodyPr/>
                  <a:lstStyle/>
                  <a:p>
                    <a:fld id="{E7B6E2CA-7ED0-4936-908A-8D2304DEECA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850-4D15-8F1F-1B65DDE09348}"/>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Ministrijas!$AC$11:$AC$22</c:f>
              <c:numCache>
                <c:formatCode>General</c:formatCode>
                <c:ptCount val="12"/>
                <c:pt idx="0">
                  <c:v>6704058</c:v>
                </c:pt>
                <c:pt idx="1">
                  <c:v>37365903</c:v>
                </c:pt>
                <c:pt idx="2">
                  <c:v>68849788.569999993</c:v>
                </c:pt>
                <c:pt idx="3">
                  <c:v>65686295</c:v>
                </c:pt>
                <c:pt idx="4">
                  <c:v>178708997.60500005</c:v>
                </c:pt>
                <c:pt idx="5">
                  <c:v>228035758</c:v>
                </c:pt>
                <c:pt idx="6">
                  <c:v>261161579.14999995</c:v>
                </c:pt>
                <c:pt idx="7">
                  <c:v>360650079.5800001</c:v>
                </c:pt>
                <c:pt idx="8">
                  <c:v>587262344.79999995</c:v>
                </c:pt>
                <c:pt idx="9">
                  <c:v>721631114.58999991</c:v>
                </c:pt>
                <c:pt idx="10">
                  <c:v>497646094.66999996</c:v>
                </c:pt>
                <c:pt idx="11">
                  <c:v>568873875.25</c:v>
                </c:pt>
              </c:numCache>
            </c:numRef>
          </c:val>
          <c:extLst>
            <c:ext xmlns:c15="http://schemas.microsoft.com/office/drawing/2012/chart" uri="{02D57815-91ED-43cb-92C2-25804820EDAC}">
              <c15:datalabelsRange>
                <c15:f>Ministrijas!$AK$11:$AK$22</c15:f>
                <c15:dlblRangeCache>
                  <c:ptCount val="12"/>
                  <c:pt idx="0">
                    <c:v>6,7;  100,0%</c:v>
                  </c:pt>
                  <c:pt idx="1">
                    <c:v>37,4;  63,5%</c:v>
                  </c:pt>
                  <c:pt idx="2">
                    <c:v>68,8;  91,3%</c:v>
                  </c:pt>
                  <c:pt idx="3">
                    <c:v>65,7;  65,2%</c:v>
                  </c:pt>
                  <c:pt idx="4">
                    <c:v>178,7;  98,7%</c:v>
                  </c:pt>
                  <c:pt idx="5">
                    <c:v>228,0;  304,9%</c:v>
                  </c:pt>
                  <c:pt idx="6">
                    <c:v>261,2;  88,5%</c:v>
                  </c:pt>
                  <c:pt idx="7">
                    <c:v>360,7;  96,3%</c:v>
                  </c:pt>
                  <c:pt idx="8">
                    <c:v>587,3;  89,8%</c:v>
                  </c:pt>
                  <c:pt idx="9">
                    <c:v>721,6;  87,9%</c:v>
                  </c:pt>
                  <c:pt idx="10">
                    <c:v>497,6;  59,1%</c:v>
                  </c:pt>
                  <c:pt idx="11">
                    <c:v>568,9;  63,8%</c:v>
                  </c:pt>
                </c15:dlblRangeCache>
              </c15:datalabelsRange>
            </c:ext>
            <c:ext xmlns:c16="http://schemas.microsoft.com/office/drawing/2014/chart" uri="{C3380CC4-5D6E-409C-BE32-E72D297353CC}">
              <c16:uniqueId val="{00000001-B850-4D15-8F1F-1B65DDE09348}"/>
            </c:ext>
          </c:extLst>
        </c:ser>
        <c:ser>
          <c:idx val="2"/>
          <c:order val="2"/>
          <c:tx>
            <c:strRef>
              <c:f>Ministrijas!$AD$10</c:f>
              <c:strCache>
                <c:ptCount val="1"/>
                <c:pt idx="0">
                  <c:v>Iesniegti 4 240,0 (97%)</c:v>
                </c:pt>
              </c:strCache>
            </c:strRef>
          </c:tx>
          <c:spPr>
            <a:solidFill>
              <a:schemeClr val="tx1">
                <a:lumMod val="50000"/>
                <a:lumOff val="50000"/>
                <a:alpha val="80000"/>
              </a:schemeClr>
            </a:solidFill>
            <a:ln>
              <a:noFill/>
            </a:ln>
            <a:effectLst/>
          </c:spPr>
          <c:invertIfNegative val="0"/>
          <c:dPt>
            <c:idx val="0"/>
            <c:invertIfNegative val="0"/>
            <c:bubble3D val="0"/>
            <c:spPr>
              <a:solidFill>
                <a:srgbClr val="840B55">
                  <a:alpha val="80000"/>
                </a:srgbClr>
              </a:solidFill>
              <a:ln>
                <a:noFill/>
              </a:ln>
              <a:effectLst/>
            </c:spPr>
            <c:extLst>
              <c:ext xmlns:c16="http://schemas.microsoft.com/office/drawing/2014/chart" uri="{C3380CC4-5D6E-409C-BE32-E72D297353CC}">
                <c16:uniqueId val="{00000022-B850-4D15-8F1F-1B65DDE09348}"/>
              </c:ext>
            </c:extLst>
          </c:dPt>
          <c:dPt>
            <c:idx val="1"/>
            <c:invertIfNegative val="0"/>
            <c:bubble3D val="0"/>
            <c:spPr>
              <a:solidFill>
                <a:srgbClr val="9D2235">
                  <a:alpha val="80000"/>
                </a:srgbClr>
              </a:solidFill>
              <a:ln>
                <a:noFill/>
              </a:ln>
              <a:effectLst/>
            </c:spPr>
            <c:extLst>
              <c:ext xmlns:c16="http://schemas.microsoft.com/office/drawing/2014/chart" uri="{C3380CC4-5D6E-409C-BE32-E72D297353CC}">
                <c16:uniqueId val="{00000023-B850-4D15-8F1F-1B65DDE09348}"/>
              </c:ext>
            </c:extLst>
          </c:dPt>
          <c:dPt>
            <c:idx val="2"/>
            <c:invertIfNegative val="0"/>
            <c:bubble3D val="0"/>
            <c:spPr>
              <a:solidFill>
                <a:srgbClr val="E4002B">
                  <a:alpha val="80000"/>
                </a:srgbClr>
              </a:solidFill>
              <a:ln>
                <a:noFill/>
              </a:ln>
              <a:effectLst/>
            </c:spPr>
            <c:extLst>
              <c:ext xmlns:c16="http://schemas.microsoft.com/office/drawing/2014/chart" uri="{C3380CC4-5D6E-409C-BE32-E72D297353CC}">
                <c16:uniqueId val="{00000024-B850-4D15-8F1F-1B65DDE09348}"/>
              </c:ext>
            </c:extLst>
          </c:dPt>
          <c:dPt>
            <c:idx val="3"/>
            <c:invertIfNegative val="0"/>
            <c:bubble3D val="0"/>
            <c:spPr>
              <a:solidFill>
                <a:srgbClr val="155452">
                  <a:alpha val="80000"/>
                </a:srgbClr>
              </a:solidFill>
              <a:ln>
                <a:noFill/>
              </a:ln>
              <a:effectLst/>
            </c:spPr>
            <c:extLst>
              <c:ext xmlns:c16="http://schemas.microsoft.com/office/drawing/2014/chart" uri="{C3380CC4-5D6E-409C-BE32-E72D297353CC}">
                <c16:uniqueId val="{00000025-B850-4D15-8F1F-1B65DDE09348}"/>
              </c:ext>
            </c:extLst>
          </c:dPt>
          <c:dPt>
            <c:idx val="4"/>
            <c:invertIfNegative val="0"/>
            <c:bubble3D val="0"/>
            <c:spPr>
              <a:solidFill>
                <a:srgbClr val="1F2A44">
                  <a:alpha val="80000"/>
                </a:srgbClr>
              </a:solidFill>
              <a:ln>
                <a:noFill/>
              </a:ln>
              <a:effectLst/>
            </c:spPr>
            <c:extLst>
              <c:ext xmlns:c16="http://schemas.microsoft.com/office/drawing/2014/chart" uri="{C3380CC4-5D6E-409C-BE32-E72D297353CC}">
                <c16:uniqueId val="{00000026-B850-4D15-8F1F-1B65DDE09348}"/>
              </c:ext>
            </c:extLst>
          </c:dPt>
          <c:dPt>
            <c:idx val="5"/>
            <c:invertIfNegative val="0"/>
            <c:bubble3D val="0"/>
            <c:spPr>
              <a:solidFill>
                <a:srgbClr val="012169">
                  <a:alpha val="80000"/>
                </a:srgbClr>
              </a:solidFill>
              <a:ln>
                <a:noFill/>
              </a:ln>
              <a:effectLst/>
            </c:spPr>
            <c:extLst>
              <c:ext xmlns:c16="http://schemas.microsoft.com/office/drawing/2014/chart" uri="{C3380CC4-5D6E-409C-BE32-E72D297353CC}">
                <c16:uniqueId val="{00000027-B850-4D15-8F1F-1B65DDE09348}"/>
              </c:ext>
            </c:extLst>
          </c:dPt>
          <c:dPt>
            <c:idx val="6"/>
            <c:invertIfNegative val="0"/>
            <c:bubble3D val="0"/>
            <c:spPr>
              <a:solidFill>
                <a:srgbClr val="6BA539">
                  <a:alpha val="80000"/>
                </a:srgbClr>
              </a:solidFill>
              <a:ln>
                <a:noFill/>
              </a:ln>
              <a:effectLst/>
            </c:spPr>
            <c:extLst>
              <c:ext xmlns:c16="http://schemas.microsoft.com/office/drawing/2014/chart" uri="{C3380CC4-5D6E-409C-BE32-E72D297353CC}">
                <c16:uniqueId val="{00000028-B850-4D15-8F1F-1B65DDE09348}"/>
              </c:ext>
            </c:extLst>
          </c:dPt>
          <c:dPt>
            <c:idx val="7"/>
            <c:invertIfNegative val="0"/>
            <c:bubble3D val="0"/>
            <c:spPr>
              <a:solidFill>
                <a:srgbClr val="E57200">
                  <a:alpha val="80000"/>
                </a:srgbClr>
              </a:solidFill>
              <a:ln>
                <a:noFill/>
              </a:ln>
              <a:effectLst/>
            </c:spPr>
            <c:extLst>
              <c:ext xmlns:c16="http://schemas.microsoft.com/office/drawing/2014/chart" uri="{C3380CC4-5D6E-409C-BE32-E72D297353CC}">
                <c16:uniqueId val="{00000029-B850-4D15-8F1F-1B65DDE09348}"/>
              </c:ext>
            </c:extLst>
          </c:dPt>
          <c:dPt>
            <c:idx val="8"/>
            <c:invertIfNegative val="0"/>
            <c:bubble3D val="0"/>
            <c:spPr>
              <a:solidFill>
                <a:srgbClr val="68478D">
                  <a:alpha val="80000"/>
                </a:srgbClr>
              </a:solidFill>
              <a:ln>
                <a:noFill/>
              </a:ln>
              <a:effectLst/>
            </c:spPr>
            <c:extLst>
              <c:ext xmlns:c16="http://schemas.microsoft.com/office/drawing/2014/chart" uri="{C3380CC4-5D6E-409C-BE32-E72D297353CC}">
                <c16:uniqueId val="{0000002A-B850-4D15-8F1F-1B65DDE09348}"/>
              </c:ext>
            </c:extLst>
          </c:dPt>
          <c:dPt>
            <c:idx val="9"/>
            <c:invertIfNegative val="0"/>
            <c:bubble3D val="0"/>
            <c:spPr>
              <a:solidFill>
                <a:srgbClr val="227B8B">
                  <a:alpha val="80000"/>
                </a:srgbClr>
              </a:solidFill>
              <a:ln>
                <a:noFill/>
              </a:ln>
              <a:effectLst/>
            </c:spPr>
            <c:extLst>
              <c:ext xmlns:c16="http://schemas.microsoft.com/office/drawing/2014/chart" uri="{C3380CC4-5D6E-409C-BE32-E72D297353CC}">
                <c16:uniqueId val="{0000002B-B850-4D15-8F1F-1B65DDE09348}"/>
              </c:ext>
            </c:extLst>
          </c:dPt>
          <c:dPt>
            <c:idx val="10"/>
            <c:invertIfNegative val="0"/>
            <c:bubble3D val="0"/>
            <c:spPr>
              <a:solidFill>
                <a:srgbClr val="425563">
                  <a:alpha val="80000"/>
                </a:srgbClr>
              </a:solidFill>
              <a:ln>
                <a:noFill/>
              </a:ln>
              <a:effectLst/>
            </c:spPr>
            <c:extLst>
              <c:ext xmlns:c16="http://schemas.microsoft.com/office/drawing/2014/chart" uri="{C3380CC4-5D6E-409C-BE32-E72D297353CC}">
                <c16:uniqueId val="{0000002C-B850-4D15-8F1F-1B65DDE09348}"/>
              </c:ext>
            </c:extLst>
          </c:dPt>
          <c:dPt>
            <c:idx val="11"/>
            <c:invertIfNegative val="0"/>
            <c:bubble3D val="0"/>
            <c:spPr>
              <a:solidFill>
                <a:srgbClr val="4A773C">
                  <a:alpha val="80000"/>
                </a:srgbClr>
              </a:solidFill>
              <a:ln>
                <a:noFill/>
              </a:ln>
              <a:effectLst/>
            </c:spPr>
            <c:extLst>
              <c:ext xmlns:c16="http://schemas.microsoft.com/office/drawing/2014/chart" uri="{C3380CC4-5D6E-409C-BE32-E72D297353CC}">
                <c16:uniqueId val="{0000002D-B850-4D15-8F1F-1B65DDE09348}"/>
              </c:ext>
            </c:extLst>
          </c:dPt>
          <c:dLbls>
            <c:dLbl>
              <c:idx val="0"/>
              <c:tx>
                <c:rich>
                  <a:bodyPr/>
                  <a:lstStyle/>
                  <a:p>
                    <a:fld id="{AFFD8855-99AF-4B8B-BE17-0ABF30D575E3}"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B850-4D15-8F1F-1B65DDE09348}"/>
                </c:ext>
              </c:extLst>
            </c:dLbl>
            <c:dLbl>
              <c:idx val="1"/>
              <c:tx>
                <c:rich>
                  <a:bodyPr/>
                  <a:lstStyle/>
                  <a:p>
                    <a:fld id="{DB92BC6B-4457-40DE-AC1E-AB0DA317A1F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B850-4D15-8F1F-1B65DDE09348}"/>
                </c:ext>
              </c:extLst>
            </c:dLbl>
            <c:dLbl>
              <c:idx val="2"/>
              <c:tx>
                <c:rich>
                  <a:bodyPr/>
                  <a:lstStyle/>
                  <a:p>
                    <a:fld id="{C9A9B5DA-BCEE-45F3-98D3-DEDB6CDE091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B850-4D15-8F1F-1B65DDE09348}"/>
                </c:ext>
              </c:extLst>
            </c:dLbl>
            <c:dLbl>
              <c:idx val="3"/>
              <c:tx>
                <c:rich>
                  <a:bodyPr/>
                  <a:lstStyle/>
                  <a:p>
                    <a:fld id="{577E6900-2883-4FD5-A03E-619D2C8EEB2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B850-4D15-8F1F-1B65DDE09348}"/>
                </c:ext>
              </c:extLst>
            </c:dLbl>
            <c:dLbl>
              <c:idx val="4"/>
              <c:tx>
                <c:rich>
                  <a:bodyPr/>
                  <a:lstStyle/>
                  <a:p>
                    <a:fld id="{53B02A80-44B9-4A88-9334-0DAF5A2B7D0F}"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B850-4D15-8F1F-1B65DDE09348}"/>
                </c:ext>
              </c:extLst>
            </c:dLbl>
            <c:dLbl>
              <c:idx val="5"/>
              <c:tx>
                <c:rich>
                  <a:bodyPr/>
                  <a:lstStyle/>
                  <a:p>
                    <a:fld id="{DAB1AFF2-9C48-4F5A-BDAC-5CF801A0241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B850-4D15-8F1F-1B65DDE09348}"/>
                </c:ext>
              </c:extLst>
            </c:dLbl>
            <c:dLbl>
              <c:idx val="6"/>
              <c:tx>
                <c:rich>
                  <a:bodyPr/>
                  <a:lstStyle/>
                  <a:p>
                    <a:fld id="{F0A0E1C0-58BB-435B-9AB0-71CB27ACB3A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B850-4D15-8F1F-1B65DDE09348}"/>
                </c:ext>
              </c:extLst>
            </c:dLbl>
            <c:dLbl>
              <c:idx val="7"/>
              <c:tx>
                <c:rich>
                  <a:bodyPr/>
                  <a:lstStyle/>
                  <a:p>
                    <a:fld id="{108ED042-017D-401E-9C1D-5BB40E6DC99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B850-4D15-8F1F-1B65DDE09348}"/>
                </c:ext>
              </c:extLst>
            </c:dLbl>
            <c:dLbl>
              <c:idx val="8"/>
              <c:tx>
                <c:rich>
                  <a:bodyPr/>
                  <a:lstStyle/>
                  <a:p>
                    <a:fld id="{08364163-F0DC-4F7C-883C-17C2D148883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B850-4D15-8F1F-1B65DDE09348}"/>
                </c:ext>
              </c:extLst>
            </c:dLbl>
            <c:dLbl>
              <c:idx val="9"/>
              <c:tx>
                <c:rich>
                  <a:bodyPr/>
                  <a:lstStyle/>
                  <a:p>
                    <a:fld id="{E38EB788-E182-402E-B1C9-D34CFAE2AEF0}"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B850-4D15-8F1F-1B65DDE09348}"/>
                </c:ext>
              </c:extLst>
            </c:dLbl>
            <c:dLbl>
              <c:idx val="10"/>
              <c:tx>
                <c:rich>
                  <a:bodyPr/>
                  <a:lstStyle/>
                  <a:p>
                    <a:fld id="{71FABEF7-49A9-4E07-A352-55760A0AA4D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B850-4D15-8F1F-1B65DDE09348}"/>
                </c:ext>
              </c:extLst>
            </c:dLbl>
            <c:dLbl>
              <c:idx val="11"/>
              <c:tx>
                <c:rich>
                  <a:bodyPr/>
                  <a:lstStyle/>
                  <a:p>
                    <a:fld id="{D401EAF6-E8FC-46EB-BE00-5E2FB04F7812}"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B850-4D15-8F1F-1B65DDE09348}"/>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Ministrijas!$AD$11:$AD$22</c:f>
              <c:numCache>
                <c:formatCode>General</c:formatCode>
                <c:ptCount val="12"/>
                <c:pt idx="0">
                  <c:v>6704058</c:v>
                </c:pt>
                <c:pt idx="1">
                  <c:v>57145163</c:v>
                </c:pt>
                <c:pt idx="2">
                  <c:v>70167261.140000001</c:v>
                </c:pt>
                <c:pt idx="3">
                  <c:v>65686295</c:v>
                </c:pt>
                <c:pt idx="4">
                  <c:v>178708997.60500005</c:v>
                </c:pt>
                <c:pt idx="5">
                  <c:v>228035758</c:v>
                </c:pt>
                <c:pt idx="6">
                  <c:v>280200123.22999996</c:v>
                </c:pt>
                <c:pt idx="7">
                  <c:v>368736954.37000006</c:v>
                </c:pt>
                <c:pt idx="8">
                  <c:v>656924341.40999997</c:v>
                </c:pt>
                <c:pt idx="9">
                  <c:v>750195410.46000004</c:v>
                </c:pt>
                <c:pt idx="10">
                  <c:v>825639901.35000002</c:v>
                </c:pt>
                <c:pt idx="11">
                  <c:v>751872890.6099999</c:v>
                </c:pt>
              </c:numCache>
            </c:numRef>
          </c:val>
          <c:extLst>
            <c:ext xmlns:c15="http://schemas.microsoft.com/office/drawing/2012/chart" uri="{02D57815-91ED-43cb-92C2-25804820EDAC}">
              <c15:datalabelsRange>
                <c15:f>Ministrijas!$AL$11:$AL$22</c15:f>
                <c15:dlblRangeCache>
                  <c:ptCount val="12"/>
                  <c:pt idx="0">
                    <c:v>6,7;  100,0%</c:v>
                  </c:pt>
                  <c:pt idx="1">
                    <c:v>57,1;  97,2%</c:v>
                  </c:pt>
                  <c:pt idx="2">
                    <c:v>70,2;  93,0%</c:v>
                  </c:pt>
                  <c:pt idx="3">
                    <c:v>65,7;  65,2%</c:v>
                  </c:pt>
                  <c:pt idx="4">
                    <c:v>178,7;  98,7%</c:v>
                  </c:pt>
                  <c:pt idx="5">
                    <c:v>228,0;  304,9%</c:v>
                  </c:pt>
                  <c:pt idx="6">
                    <c:v>280,2;  95,0%</c:v>
                  </c:pt>
                  <c:pt idx="7">
                    <c:v>368,7;  98,5%</c:v>
                  </c:pt>
                  <c:pt idx="8">
                    <c:v>656,9;  100,5%</c:v>
                  </c:pt>
                  <c:pt idx="9">
                    <c:v>750,2;  91,4%</c:v>
                  </c:pt>
                  <c:pt idx="10">
                    <c:v>825,6;  98,1%</c:v>
                  </c:pt>
                  <c:pt idx="11">
                    <c:v>751,9;  84,3%</c:v>
                  </c:pt>
                </c15:dlblRangeCache>
              </c15:datalabelsRange>
            </c:ext>
            <c:ext xmlns:c16="http://schemas.microsoft.com/office/drawing/2014/chart" uri="{C3380CC4-5D6E-409C-BE32-E72D297353CC}">
              <c16:uniqueId val="{00000002-B850-4D15-8F1F-1B65DDE09348}"/>
            </c:ext>
          </c:extLst>
        </c:ser>
        <c:ser>
          <c:idx val="3"/>
          <c:order val="3"/>
          <c:tx>
            <c:strRef>
              <c:f>Ministrijas!$AE$10</c:f>
              <c:strCache>
                <c:ptCount val="1"/>
                <c:pt idx="0">
                  <c:v>Piešķīrums 4 374,4 </c:v>
                </c:pt>
              </c:strCache>
            </c:strRef>
          </c:tx>
          <c:spPr>
            <a:solidFill>
              <a:schemeClr val="tx1">
                <a:lumMod val="50000"/>
                <a:lumOff val="50000"/>
              </a:schemeClr>
            </a:solidFill>
            <a:ln>
              <a:noFill/>
            </a:ln>
            <a:effectLst/>
          </c:spPr>
          <c:invertIfNegative val="0"/>
          <c:dPt>
            <c:idx val="0"/>
            <c:invertIfNegative val="0"/>
            <c:bubble3D val="0"/>
            <c:spPr>
              <a:solidFill>
                <a:srgbClr val="840B55"/>
              </a:solidFill>
              <a:ln>
                <a:noFill/>
              </a:ln>
              <a:effectLst/>
            </c:spPr>
            <c:extLst>
              <c:ext xmlns:c16="http://schemas.microsoft.com/office/drawing/2014/chart" uri="{C3380CC4-5D6E-409C-BE32-E72D297353CC}">
                <c16:uniqueId val="{0000002E-B850-4D15-8F1F-1B65DDE09348}"/>
              </c:ext>
            </c:extLst>
          </c:dPt>
          <c:dPt>
            <c:idx val="1"/>
            <c:invertIfNegative val="0"/>
            <c:bubble3D val="0"/>
            <c:spPr>
              <a:solidFill>
                <a:srgbClr val="9D2235"/>
              </a:solidFill>
              <a:ln>
                <a:noFill/>
              </a:ln>
              <a:effectLst/>
            </c:spPr>
            <c:extLst>
              <c:ext xmlns:c16="http://schemas.microsoft.com/office/drawing/2014/chart" uri="{C3380CC4-5D6E-409C-BE32-E72D297353CC}">
                <c16:uniqueId val="{0000002F-B850-4D15-8F1F-1B65DDE09348}"/>
              </c:ext>
            </c:extLst>
          </c:dPt>
          <c:dPt>
            <c:idx val="2"/>
            <c:invertIfNegative val="0"/>
            <c:bubble3D val="0"/>
            <c:spPr>
              <a:solidFill>
                <a:srgbClr val="E4002B"/>
              </a:solidFill>
              <a:ln>
                <a:noFill/>
              </a:ln>
              <a:effectLst/>
            </c:spPr>
            <c:extLst>
              <c:ext xmlns:c16="http://schemas.microsoft.com/office/drawing/2014/chart" uri="{C3380CC4-5D6E-409C-BE32-E72D297353CC}">
                <c16:uniqueId val="{00000030-B850-4D15-8F1F-1B65DDE09348}"/>
              </c:ext>
            </c:extLst>
          </c:dPt>
          <c:dPt>
            <c:idx val="3"/>
            <c:invertIfNegative val="0"/>
            <c:bubble3D val="0"/>
            <c:spPr>
              <a:solidFill>
                <a:srgbClr val="155452"/>
              </a:solidFill>
              <a:ln>
                <a:noFill/>
              </a:ln>
              <a:effectLst/>
            </c:spPr>
            <c:extLst>
              <c:ext xmlns:c16="http://schemas.microsoft.com/office/drawing/2014/chart" uri="{C3380CC4-5D6E-409C-BE32-E72D297353CC}">
                <c16:uniqueId val="{00000031-B850-4D15-8F1F-1B65DDE09348}"/>
              </c:ext>
            </c:extLst>
          </c:dPt>
          <c:dPt>
            <c:idx val="4"/>
            <c:invertIfNegative val="0"/>
            <c:bubble3D val="0"/>
            <c:spPr>
              <a:solidFill>
                <a:srgbClr val="1F2A44"/>
              </a:solidFill>
              <a:ln>
                <a:noFill/>
              </a:ln>
              <a:effectLst/>
            </c:spPr>
            <c:extLst>
              <c:ext xmlns:c16="http://schemas.microsoft.com/office/drawing/2014/chart" uri="{C3380CC4-5D6E-409C-BE32-E72D297353CC}">
                <c16:uniqueId val="{00000009-B850-4D15-8F1F-1B65DDE09348}"/>
              </c:ext>
            </c:extLst>
          </c:dPt>
          <c:dPt>
            <c:idx val="5"/>
            <c:invertIfNegative val="0"/>
            <c:bubble3D val="0"/>
            <c:spPr>
              <a:solidFill>
                <a:srgbClr val="012169"/>
              </a:solidFill>
              <a:ln>
                <a:noFill/>
              </a:ln>
              <a:effectLst/>
            </c:spPr>
            <c:extLst>
              <c:ext xmlns:c16="http://schemas.microsoft.com/office/drawing/2014/chart" uri="{C3380CC4-5D6E-409C-BE32-E72D297353CC}">
                <c16:uniqueId val="{00000032-B850-4D15-8F1F-1B65DDE09348}"/>
              </c:ext>
            </c:extLst>
          </c:dPt>
          <c:dPt>
            <c:idx val="6"/>
            <c:invertIfNegative val="0"/>
            <c:bubble3D val="0"/>
            <c:spPr>
              <a:solidFill>
                <a:srgbClr val="6BA539"/>
              </a:solidFill>
              <a:ln>
                <a:noFill/>
              </a:ln>
              <a:effectLst/>
            </c:spPr>
            <c:extLst>
              <c:ext xmlns:c16="http://schemas.microsoft.com/office/drawing/2014/chart" uri="{C3380CC4-5D6E-409C-BE32-E72D297353CC}">
                <c16:uniqueId val="{00000033-B850-4D15-8F1F-1B65DDE09348}"/>
              </c:ext>
            </c:extLst>
          </c:dPt>
          <c:dPt>
            <c:idx val="7"/>
            <c:invertIfNegative val="0"/>
            <c:bubble3D val="0"/>
            <c:spPr>
              <a:solidFill>
                <a:srgbClr val="E57200"/>
              </a:solidFill>
              <a:ln>
                <a:noFill/>
              </a:ln>
              <a:effectLst/>
            </c:spPr>
            <c:extLst>
              <c:ext xmlns:c16="http://schemas.microsoft.com/office/drawing/2014/chart" uri="{C3380CC4-5D6E-409C-BE32-E72D297353CC}">
                <c16:uniqueId val="{00000034-B850-4D15-8F1F-1B65DDE09348}"/>
              </c:ext>
            </c:extLst>
          </c:dPt>
          <c:dPt>
            <c:idx val="8"/>
            <c:invertIfNegative val="0"/>
            <c:bubble3D val="0"/>
            <c:spPr>
              <a:solidFill>
                <a:srgbClr val="68478D"/>
              </a:solidFill>
              <a:ln>
                <a:noFill/>
              </a:ln>
              <a:effectLst/>
            </c:spPr>
            <c:extLst>
              <c:ext xmlns:c16="http://schemas.microsoft.com/office/drawing/2014/chart" uri="{C3380CC4-5D6E-409C-BE32-E72D297353CC}">
                <c16:uniqueId val="{00000035-B850-4D15-8F1F-1B65DDE09348}"/>
              </c:ext>
            </c:extLst>
          </c:dPt>
          <c:dPt>
            <c:idx val="9"/>
            <c:invertIfNegative val="0"/>
            <c:bubble3D val="0"/>
            <c:spPr>
              <a:solidFill>
                <a:srgbClr val="227B8B"/>
              </a:solidFill>
              <a:ln>
                <a:noFill/>
              </a:ln>
              <a:effectLst/>
            </c:spPr>
            <c:extLst>
              <c:ext xmlns:c16="http://schemas.microsoft.com/office/drawing/2014/chart" uri="{C3380CC4-5D6E-409C-BE32-E72D297353CC}">
                <c16:uniqueId val="{00000036-B850-4D15-8F1F-1B65DDE09348}"/>
              </c:ext>
            </c:extLst>
          </c:dPt>
          <c:dPt>
            <c:idx val="10"/>
            <c:invertIfNegative val="0"/>
            <c:bubble3D val="0"/>
            <c:spPr>
              <a:solidFill>
                <a:srgbClr val="425563"/>
              </a:solidFill>
              <a:ln>
                <a:noFill/>
              </a:ln>
              <a:effectLst/>
            </c:spPr>
            <c:extLst>
              <c:ext xmlns:c16="http://schemas.microsoft.com/office/drawing/2014/chart" uri="{C3380CC4-5D6E-409C-BE32-E72D297353CC}">
                <c16:uniqueId val="{00000037-B850-4D15-8F1F-1B65DDE09348}"/>
              </c:ext>
            </c:extLst>
          </c:dPt>
          <c:dPt>
            <c:idx val="11"/>
            <c:invertIfNegative val="0"/>
            <c:bubble3D val="0"/>
            <c:spPr>
              <a:solidFill>
                <a:srgbClr val="4A773C"/>
              </a:solidFill>
              <a:ln>
                <a:noFill/>
              </a:ln>
              <a:effectLst/>
            </c:spPr>
            <c:extLst>
              <c:ext xmlns:c16="http://schemas.microsoft.com/office/drawing/2014/chart" uri="{C3380CC4-5D6E-409C-BE32-E72D297353CC}">
                <c16:uniqueId val="{00000038-B850-4D15-8F1F-1B65DDE09348}"/>
              </c:ext>
            </c:extLst>
          </c:dPt>
          <c:dLbls>
            <c:dLbl>
              <c:idx val="0"/>
              <c:tx>
                <c:rich>
                  <a:bodyPr/>
                  <a:lstStyle/>
                  <a:p>
                    <a:fld id="{ED644682-4A5C-4F5D-9665-42EF0358A67A}"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B850-4D15-8F1F-1B65DDE09348}"/>
                </c:ext>
              </c:extLst>
            </c:dLbl>
            <c:dLbl>
              <c:idx val="1"/>
              <c:tx>
                <c:rich>
                  <a:bodyPr/>
                  <a:lstStyle/>
                  <a:p>
                    <a:fld id="{0E028CFE-22B7-4536-8E13-4D291C4A849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B850-4D15-8F1F-1B65DDE09348}"/>
                </c:ext>
              </c:extLst>
            </c:dLbl>
            <c:dLbl>
              <c:idx val="2"/>
              <c:layout>
                <c:manualLayout>
                  <c:x val="4.4820675954277064E-3"/>
                  <c:y val="-2.0409986815469934E-3"/>
                </c:manualLayout>
              </c:layout>
              <c:tx>
                <c:rich>
                  <a:bodyPr/>
                  <a:lstStyle/>
                  <a:p>
                    <a:fld id="{521FFAA7-CCE5-483A-B6A4-1617CC35BD7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B850-4D15-8F1F-1B65DDE09348}"/>
                </c:ext>
              </c:extLst>
            </c:dLbl>
            <c:dLbl>
              <c:idx val="3"/>
              <c:tx>
                <c:rich>
                  <a:bodyPr/>
                  <a:lstStyle/>
                  <a:p>
                    <a:fld id="{3A5312D3-EA44-4D63-A9F7-81B5AF795142}"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B850-4D15-8F1F-1B65DDE09348}"/>
                </c:ext>
              </c:extLst>
            </c:dLbl>
            <c:dLbl>
              <c:idx val="4"/>
              <c:layout>
                <c:manualLayout>
                  <c:x val="8.131750798869268E-2"/>
                  <c:y val="-7.4835753814375709E-17"/>
                </c:manualLayout>
              </c:layout>
              <c:tx>
                <c:rich>
                  <a:bodyPr/>
                  <a:lstStyle/>
                  <a:p>
                    <a:fld id="{F8F1AC3E-F116-49E3-9C4A-865E8054EF58}"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850-4D15-8F1F-1B65DDE09348}"/>
                </c:ext>
              </c:extLst>
            </c:dLbl>
            <c:dLbl>
              <c:idx val="5"/>
              <c:layout>
                <c:manualLayout>
                  <c:x val="0.13646659537537323"/>
                  <c:y val="0"/>
                </c:manualLayout>
              </c:layout>
              <c:tx>
                <c:rich>
                  <a:bodyPr/>
                  <a:lstStyle/>
                  <a:p>
                    <a:fld id="{6788E2D9-B232-43F6-9089-5807AB9A1AE0}"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B850-4D15-8F1F-1B65DDE09348}"/>
                </c:ext>
              </c:extLst>
            </c:dLbl>
            <c:dLbl>
              <c:idx val="6"/>
              <c:tx>
                <c:rich>
                  <a:bodyPr/>
                  <a:lstStyle/>
                  <a:p>
                    <a:fld id="{7CAAEF2C-63BE-43F0-A7C4-2510097E6DB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B850-4D15-8F1F-1B65DDE09348}"/>
                </c:ext>
              </c:extLst>
            </c:dLbl>
            <c:dLbl>
              <c:idx val="7"/>
              <c:tx>
                <c:rich>
                  <a:bodyPr/>
                  <a:lstStyle/>
                  <a:p>
                    <a:fld id="{F2CDE0B6-662B-4B6E-A5BE-3E913BAF8CE0}"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B850-4D15-8F1F-1B65DDE09348}"/>
                </c:ext>
              </c:extLst>
            </c:dLbl>
            <c:dLbl>
              <c:idx val="8"/>
              <c:tx>
                <c:rich>
                  <a:bodyPr/>
                  <a:lstStyle/>
                  <a:p>
                    <a:fld id="{CE4C9CB0-5C58-441C-89BD-278E73301C78}"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B850-4D15-8F1F-1B65DDE09348}"/>
                </c:ext>
              </c:extLst>
            </c:dLbl>
            <c:dLbl>
              <c:idx val="9"/>
              <c:tx>
                <c:rich>
                  <a:bodyPr/>
                  <a:lstStyle/>
                  <a:p>
                    <a:fld id="{C62C99D3-11A6-421D-8F5B-83709C0EFB6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B850-4D15-8F1F-1B65DDE09348}"/>
                </c:ext>
              </c:extLst>
            </c:dLbl>
            <c:dLbl>
              <c:idx val="10"/>
              <c:tx>
                <c:rich>
                  <a:bodyPr/>
                  <a:lstStyle/>
                  <a:p>
                    <a:fld id="{6EB8159B-FBDA-4595-9C9A-481528E6C9D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B850-4D15-8F1F-1B65DDE09348}"/>
                </c:ext>
              </c:extLst>
            </c:dLbl>
            <c:dLbl>
              <c:idx val="11"/>
              <c:layout>
                <c:manualLayout>
                  <c:x val="6.481024092618075E-4"/>
                  <c:y val="1.0061707581108454E-3"/>
                </c:manualLayout>
              </c:layout>
              <c:tx>
                <c:rich>
                  <a:bodyPr/>
                  <a:lstStyle/>
                  <a:p>
                    <a:fld id="{A8A79FF5-FC26-4572-91F7-505E96FE1DAD}"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8-B850-4D15-8F1F-1B65DDE09348}"/>
                </c:ext>
              </c:extLst>
            </c:dLbl>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Ministrijas!$AA$11:$AA$22</c:f>
              <c:strCache>
                <c:ptCount val="12"/>
                <c:pt idx="0">
                  <c:v>TM</c:v>
                </c:pt>
                <c:pt idx="1">
                  <c:v>VK</c:v>
                </c:pt>
                <c:pt idx="2">
                  <c:v>KM</c:v>
                </c:pt>
                <c:pt idx="3">
                  <c:v>KEM</c:v>
                </c:pt>
                <c:pt idx="4">
                  <c:v>FM</c:v>
                </c:pt>
                <c:pt idx="5">
                  <c:v>IeM</c:v>
                </c:pt>
                <c:pt idx="6">
                  <c:v>LM</c:v>
                </c:pt>
                <c:pt idx="7">
                  <c:v>VM</c:v>
                </c:pt>
                <c:pt idx="8">
                  <c:v>IZM</c:v>
                </c:pt>
                <c:pt idx="9">
                  <c:v>EM</c:v>
                </c:pt>
                <c:pt idx="10">
                  <c:v>SM</c:v>
                </c:pt>
                <c:pt idx="11">
                  <c:v>VARAM</c:v>
                </c:pt>
              </c:strCache>
            </c:strRef>
          </c:cat>
          <c:val>
            <c:numRef>
              <c:f>Ministrijas!$AE$11:$AE$22</c:f>
              <c:numCache>
                <c:formatCode>General</c:formatCode>
                <c:ptCount val="12"/>
                <c:pt idx="0">
                  <c:v>6704058</c:v>
                </c:pt>
                <c:pt idx="1">
                  <c:v>58816425</c:v>
                </c:pt>
                <c:pt idx="2">
                  <c:v>75410982</c:v>
                </c:pt>
                <c:pt idx="3">
                  <c:v>100686295</c:v>
                </c:pt>
                <c:pt idx="4">
                  <c:v>181027203.60500005</c:v>
                </c:pt>
                <c:pt idx="5">
                  <c:v>74794476</c:v>
                </c:pt>
                <c:pt idx="6">
                  <c:v>295085006</c:v>
                </c:pt>
                <c:pt idx="7">
                  <c:v>374395678</c:v>
                </c:pt>
                <c:pt idx="8">
                  <c:v>653923371</c:v>
                </c:pt>
                <c:pt idx="9">
                  <c:v>820600037</c:v>
                </c:pt>
                <c:pt idx="10">
                  <c:v>841370826</c:v>
                </c:pt>
                <c:pt idx="11">
                  <c:v>891578557</c:v>
                </c:pt>
              </c:numCache>
            </c:numRef>
          </c:val>
          <c:extLst>
            <c:ext xmlns:c15="http://schemas.microsoft.com/office/drawing/2012/chart" uri="{02D57815-91ED-43cb-92C2-25804820EDAC}">
              <c15:datalabelsRange>
                <c15:f>Ministrijas!$AM$11:$AM$22</c15:f>
                <c15:dlblRangeCache>
                  <c:ptCount val="12"/>
                  <c:pt idx="0">
                    <c:v>6,7</c:v>
                  </c:pt>
                  <c:pt idx="1">
                    <c:v>58,8</c:v>
                  </c:pt>
                  <c:pt idx="2">
                    <c:v>75,4+ 2,5</c:v>
                  </c:pt>
                  <c:pt idx="3">
                    <c:v>100,7</c:v>
                  </c:pt>
                  <c:pt idx="4">
                    <c:v>181,0</c:v>
                  </c:pt>
                  <c:pt idx="5">
                    <c:v>74,8+ 153,2</c:v>
                  </c:pt>
                  <c:pt idx="6">
                    <c:v>295,1</c:v>
                  </c:pt>
                  <c:pt idx="7">
                    <c:v>374,4</c:v>
                  </c:pt>
                  <c:pt idx="8">
                    <c:v>653,9</c:v>
                  </c:pt>
                  <c:pt idx="9">
                    <c:v>820,6</c:v>
                  </c:pt>
                  <c:pt idx="10">
                    <c:v>841,4</c:v>
                  </c:pt>
                  <c:pt idx="11">
                    <c:v>891,6</c:v>
                  </c:pt>
                </c15:dlblRangeCache>
              </c15:datalabelsRange>
            </c:ext>
            <c:ext xmlns:c16="http://schemas.microsoft.com/office/drawing/2014/chart" uri="{C3380CC4-5D6E-409C-BE32-E72D297353CC}">
              <c16:uniqueId val="{00000003-B850-4D15-8F1F-1B65DDE09348}"/>
            </c:ext>
          </c:extLst>
        </c:ser>
        <c:dLbls>
          <c:showLegendKey val="0"/>
          <c:showVal val="0"/>
          <c:showCatName val="0"/>
          <c:showSerName val="0"/>
          <c:showPercent val="0"/>
          <c:showBubbleSize val="0"/>
        </c:dLbls>
        <c:gapWidth val="0"/>
        <c:axId val="344239872"/>
        <c:axId val="344236992"/>
      </c:barChart>
      <c:catAx>
        <c:axId val="1921652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921668880"/>
        <c:crosses val="autoZero"/>
        <c:auto val="1"/>
        <c:lblAlgn val="ctr"/>
        <c:lblOffset val="100"/>
        <c:noMultiLvlLbl val="0"/>
      </c:catAx>
      <c:valAx>
        <c:axId val="1921668880"/>
        <c:scaling>
          <c:orientation val="minMax"/>
        </c:scaling>
        <c:delete val="1"/>
        <c:axPos val="b"/>
        <c:numFmt formatCode="General" sourceLinked="1"/>
        <c:majorTickMark val="none"/>
        <c:minorTickMark val="none"/>
        <c:tickLblPos val="nextTo"/>
        <c:crossAx val="1921652080"/>
        <c:crosses val="autoZero"/>
        <c:crossBetween val="between"/>
      </c:valAx>
      <c:valAx>
        <c:axId val="344236992"/>
        <c:scaling>
          <c:orientation val="minMax"/>
        </c:scaling>
        <c:delete val="1"/>
        <c:axPos val="t"/>
        <c:numFmt formatCode="General" sourceLinked="1"/>
        <c:majorTickMark val="out"/>
        <c:minorTickMark val="none"/>
        <c:tickLblPos val="nextTo"/>
        <c:crossAx val="344239872"/>
        <c:crosses val="max"/>
        <c:crossBetween val="between"/>
      </c:valAx>
      <c:catAx>
        <c:axId val="344239872"/>
        <c:scaling>
          <c:orientation val="minMax"/>
        </c:scaling>
        <c:delete val="1"/>
        <c:axPos val="l"/>
        <c:numFmt formatCode="General" sourceLinked="1"/>
        <c:majorTickMark val="out"/>
        <c:minorTickMark val="none"/>
        <c:tickLblPos val="nextTo"/>
        <c:crossAx val="344236992"/>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defRPr>
      </a:pPr>
      <a:endParaRPr lang="lv-LV"/>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22849500211178"/>
          <c:y val="5.9005988095881604E-2"/>
          <c:w val="0.81872639860181107"/>
          <c:h val="0.92236286919831223"/>
        </c:manualLayout>
      </c:layout>
      <c:doughnutChart>
        <c:varyColors val="1"/>
        <c:ser>
          <c:idx val="0"/>
          <c:order val="0"/>
          <c:tx>
            <c:strRef>
              <c:f>Butiskais_grafiski!$Z$54:$Z$56</c:f>
              <c:strCache>
                <c:ptCount val="3"/>
                <c:pt idx="0">
                  <c:v>23,58835876</c:v>
                </c:pt>
                <c:pt idx="1">
                  <c:v>0,5</c:v>
                </c:pt>
                <c:pt idx="2">
                  <c:v>175,9116412</c:v>
                </c:pt>
              </c:strCache>
            </c:strRef>
          </c:tx>
          <c:spPr>
            <a:solidFill>
              <a:srgbClr val="0070C0"/>
            </a:solidFill>
            <a:ln>
              <a:noFill/>
            </a:ln>
          </c:spPr>
          <c:dPt>
            <c:idx val="0"/>
            <c:bubble3D val="0"/>
            <c:spPr>
              <a:solidFill>
                <a:srgbClr val="0070C0"/>
              </a:solidFill>
              <a:ln w="19050">
                <a:noFill/>
              </a:ln>
              <a:effectLst/>
            </c:spPr>
            <c:extLst>
              <c:ext xmlns:c16="http://schemas.microsoft.com/office/drawing/2014/chart" uri="{C3380CC4-5D6E-409C-BE32-E72D297353CC}">
                <c16:uniqueId val="{00000001-7AE3-497B-8F90-442F54514FC3}"/>
              </c:ext>
            </c:extLst>
          </c:dPt>
          <c:dPt>
            <c:idx val="1"/>
            <c:bubble3D val="0"/>
            <c:spPr>
              <a:solidFill>
                <a:srgbClr val="0070C0"/>
              </a:solidFill>
              <a:ln w="19050">
                <a:noFill/>
              </a:ln>
              <a:effectLst/>
            </c:spPr>
            <c:extLst>
              <c:ext xmlns:c16="http://schemas.microsoft.com/office/drawing/2014/chart" uri="{C3380CC4-5D6E-409C-BE32-E72D297353CC}">
                <c16:uniqueId val="{00000003-7AE3-497B-8F90-442F54514FC3}"/>
              </c:ext>
            </c:extLst>
          </c:dPt>
          <c:dPt>
            <c:idx val="2"/>
            <c:bubble3D val="0"/>
            <c:spPr>
              <a:solidFill>
                <a:srgbClr val="0070C0"/>
              </a:solidFill>
              <a:ln w="19050">
                <a:noFill/>
              </a:ln>
              <a:effectLst/>
            </c:spPr>
            <c:extLst>
              <c:ext xmlns:c16="http://schemas.microsoft.com/office/drawing/2014/chart" uri="{C3380CC4-5D6E-409C-BE32-E72D297353CC}">
                <c16:uniqueId val="{00000005-7AE3-497B-8F90-442F54514FC3}"/>
              </c:ext>
            </c:extLst>
          </c:dPt>
          <c:dPt>
            <c:idx val="3"/>
            <c:bubble3D val="0"/>
            <c:spPr>
              <a:solidFill>
                <a:srgbClr val="0070C0"/>
              </a:solidFill>
              <a:ln w="19050">
                <a:noFill/>
              </a:ln>
              <a:effectLst/>
            </c:spPr>
            <c:extLst>
              <c:ext xmlns:c16="http://schemas.microsoft.com/office/drawing/2014/chart" uri="{C3380CC4-5D6E-409C-BE32-E72D297353CC}">
                <c16:uniqueId val="{00000007-7AE3-497B-8F90-442F54514FC3}"/>
              </c:ext>
            </c:extLst>
          </c:dPt>
          <c:dPt>
            <c:idx val="4"/>
            <c:bubble3D val="0"/>
            <c:spPr>
              <a:solidFill>
                <a:schemeClr val="bg1">
                  <a:alpha val="0"/>
                </a:schemeClr>
              </a:solidFill>
              <a:ln w="19050">
                <a:noFill/>
              </a:ln>
              <a:effectLst/>
            </c:spPr>
            <c:extLst>
              <c:ext xmlns:c16="http://schemas.microsoft.com/office/drawing/2014/chart" uri="{C3380CC4-5D6E-409C-BE32-E72D297353CC}">
                <c16:uniqueId val="{00000009-7AE3-497B-8F90-442F54514FC3}"/>
              </c:ext>
            </c:extLst>
          </c:dPt>
          <c:dPt>
            <c:idx val="5"/>
            <c:bubble3D val="0"/>
            <c:spPr>
              <a:noFill/>
              <a:ln w="19050">
                <a:noFill/>
              </a:ln>
              <a:effectLst/>
            </c:spPr>
            <c:extLst>
              <c:ext xmlns:c16="http://schemas.microsoft.com/office/drawing/2014/chart" uri="{C3380CC4-5D6E-409C-BE32-E72D297353CC}">
                <c16:uniqueId val="{0000000B-7AE3-497B-8F90-442F54514FC3}"/>
              </c:ext>
            </c:extLst>
          </c:dPt>
          <c:cat>
            <c:numRef>
              <c:f>Butiskais_grafiski!$Z$38:$Z$42</c:f>
              <c:numCache>
                <c:formatCode>General</c:formatCode>
                <c:ptCount val="5"/>
                <c:pt idx="0">
                  <c:v>0</c:v>
                </c:pt>
                <c:pt idx="3">
                  <c:v>100</c:v>
                </c:pt>
                <c:pt idx="4">
                  <c:v>100</c:v>
                </c:pt>
              </c:numCache>
            </c:numRef>
          </c:cat>
          <c:val>
            <c:numRef>
              <c:f>Butiskais_grafiski!$Z$38:$Z$42</c:f>
              <c:numCache>
                <c:formatCode>General</c:formatCode>
                <c:ptCount val="5"/>
                <c:pt idx="0">
                  <c:v>0</c:v>
                </c:pt>
                <c:pt idx="3">
                  <c:v>100</c:v>
                </c:pt>
                <c:pt idx="4">
                  <c:v>100</c:v>
                </c:pt>
              </c:numCache>
            </c:numRef>
          </c:val>
          <c:extLst>
            <c:ext xmlns:c16="http://schemas.microsoft.com/office/drawing/2014/chart" uri="{C3380CC4-5D6E-409C-BE32-E72D297353CC}">
              <c16:uniqueId val="{0000000C-7AE3-497B-8F90-442F54514FC3}"/>
            </c:ext>
          </c:extLst>
        </c:ser>
        <c:dLbls>
          <c:showLegendKey val="0"/>
          <c:showVal val="0"/>
          <c:showCatName val="0"/>
          <c:showSerName val="0"/>
          <c:showPercent val="0"/>
          <c:showBubbleSize val="0"/>
          <c:showLeaderLines val="1"/>
        </c:dLbls>
        <c:firstSliceAng val="270"/>
        <c:holeSize val="71"/>
      </c:doughnutChart>
      <c:pieChart>
        <c:varyColors val="1"/>
        <c:ser>
          <c:idx val="1"/>
          <c:order val="1"/>
          <c:tx>
            <c:strRef>
              <c:f>Butiskais_grafiski!$Y$46</c:f>
              <c:strCache>
                <c:ptCount val="1"/>
                <c:pt idx="0">
                  <c:v>Value</c:v>
                </c:pt>
              </c:strCache>
            </c:strRef>
          </c:tx>
          <c:spPr>
            <a:ln>
              <a:noFill/>
            </a:ln>
          </c:spPr>
          <c:explosion val="1"/>
          <c:dPt>
            <c:idx val="0"/>
            <c:bubble3D val="0"/>
            <c:spPr>
              <a:noFill/>
              <a:ln w="19050">
                <a:noFill/>
              </a:ln>
              <a:effectLst/>
            </c:spPr>
            <c:extLst>
              <c:ext xmlns:c16="http://schemas.microsoft.com/office/drawing/2014/chart" uri="{C3380CC4-5D6E-409C-BE32-E72D297353CC}">
                <c16:uniqueId val="{0000000E-7AE3-497B-8F90-442F54514FC3}"/>
              </c:ext>
            </c:extLst>
          </c:dPt>
          <c:dPt>
            <c:idx val="1"/>
            <c:bubble3D val="0"/>
            <c:spPr>
              <a:solidFill>
                <a:schemeClr val="tx1"/>
              </a:solidFill>
              <a:ln w="19050">
                <a:noFill/>
              </a:ln>
              <a:effectLst/>
            </c:spPr>
            <c:extLst>
              <c:ext xmlns:c16="http://schemas.microsoft.com/office/drawing/2014/chart" uri="{C3380CC4-5D6E-409C-BE32-E72D297353CC}">
                <c16:uniqueId val="{00000010-7AE3-497B-8F90-442F54514FC3}"/>
              </c:ext>
            </c:extLst>
          </c:dPt>
          <c:dPt>
            <c:idx val="2"/>
            <c:bubble3D val="0"/>
            <c:spPr>
              <a:noFill/>
              <a:ln w="19050">
                <a:noFill/>
              </a:ln>
              <a:effectLst/>
            </c:spPr>
            <c:extLst>
              <c:ext xmlns:c16="http://schemas.microsoft.com/office/drawing/2014/chart" uri="{C3380CC4-5D6E-409C-BE32-E72D297353CC}">
                <c16:uniqueId val="{00000012-7AE3-497B-8F90-442F54514FC3}"/>
              </c:ext>
            </c:extLst>
          </c:dPt>
          <c:dLbls>
            <c:dLbl>
              <c:idx val="0"/>
              <c:delete val="1"/>
              <c:extLst>
                <c:ext xmlns:c15="http://schemas.microsoft.com/office/drawing/2012/chart" uri="{CE6537A1-D6FC-4f65-9D91-7224C49458BB}"/>
                <c:ext xmlns:c16="http://schemas.microsoft.com/office/drawing/2014/chart" uri="{C3380CC4-5D6E-409C-BE32-E72D297353CC}">
                  <c16:uniqueId val="{0000000E-7AE3-497B-8F90-442F54514FC3}"/>
                </c:ext>
              </c:extLst>
            </c:dLbl>
            <c:dLbl>
              <c:idx val="1"/>
              <c:layout>
                <c:manualLayout>
                  <c:x val="2.8318578808709485E-2"/>
                  <c:y val="9.6532391889301E-3"/>
                </c:manualLayout>
              </c:layout>
              <c:tx>
                <c:rich>
                  <a:bodyPr rot="0" spcFirstLastPara="1" vertOverflow="ellipsis" vert="horz" wrap="square" lIns="38100" tIns="19050" rIns="38100" bIns="19050" anchor="ctr" anchorCtr="1">
                    <a:noAutofit/>
                  </a:bodyPr>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Times New Roman" panose="02020603050405020304" pitchFamily="18" charset="0"/>
                      </a:defRPr>
                    </a:pPr>
                    <a:fld id="{EB1C1984-1261-49CF-832D-C702BD2AA298}" type="CELLRANGE">
                      <a:rPr lang="en-US"/>
                      <a:pPr>
                        <a:defRPr sz="1400">
                          <a:solidFill>
                            <a:sysClr val="windowText" lastClr="000000"/>
                          </a:solidFill>
                          <a:latin typeface="Verdana" panose="020B0604030504040204" pitchFamily="34" charset="0"/>
                          <a:ea typeface="Verdana" panose="020B0604030504040204" pitchFamily="34" charset="0"/>
                          <a:cs typeface="Times New Roman" panose="02020603050405020304" pitchFamily="18" charset="0"/>
                        </a:defRPr>
                      </a:pPr>
                      <a:t>[CELLRANGE]</a:t>
                    </a:fld>
                    <a:endParaRPr lang="lv-LV"/>
                  </a:p>
                </c:rich>
              </c:tx>
              <c:numFmt formatCode="#,##0.00" sourceLinked="0"/>
              <c:spPr>
                <a:noFill/>
                <a:ln>
                  <a:noFill/>
                </a:ln>
                <a:effectLst/>
              </c:spPr>
              <c:txPr>
                <a:bodyPr rot="0" spcFirstLastPara="1" vertOverflow="ellipsis" vert="horz" wrap="square" lIns="38100" tIns="19050" rIns="38100" bIns="19050" anchor="ctr" anchorCtr="1">
                  <a:noAutofit/>
                </a:bodyPr>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Times New Roman" panose="02020603050405020304" pitchFamily="18" charset="0"/>
                    </a:defRPr>
                  </a:pPr>
                  <a:endParaRPr lang="lv-LV"/>
                </a:p>
              </c:txPr>
              <c:dLblPos val="bestFit"/>
              <c:showLegendKey val="0"/>
              <c:showVal val="0"/>
              <c:showCatName val="0"/>
              <c:showSerName val="0"/>
              <c:showPercent val="0"/>
              <c:showBubbleSize val="0"/>
              <c:extLst>
                <c:ext xmlns:c15="http://schemas.microsoft.com/office/drawing/2012/chart" uri="{CE6537A1-D6FC-4f65-9D91-7224C49458BB}">
                  <c15:layout>
                    <c:manualLayout>
                      <c:w val="0.19391221166242323"/>
                      <c:h val="7.0925643110732059E-2"/>
                    </c:manualLayout>
                  </c15:layout>
                  <c15:dlblFieldTable/>
                  <c15:showDataLabelsRange val="1"/>
                </c:ext>
                <c:ext xmlns:c16="http://schemas.microsoft.com/office/drawing/2014/chart" uri="{C3380CC4-5D6E-409C-BE32-E72D297353CC}">
                  <c16:uniqueId val="{00000010-7AE3-497B-8F90-442F54514FC3}"/>
                </c:ext>
              </c:extLst>
            </c:dLbl>
            <c:dLbl>
              <c:idx val="2"/>
              <c:delete val="1"/>
              <c:extLst>
                <c:ext xmlns:c15="http://schemas.microsoft.com/office/drawing/2012/chart" uri="{CE6537A1-D6FC-4f65-9D91-7224C49458BB}"/>
                <c:ext xmlns:c16="http://schemas.microsoft.com/office/drawing/2014/chart" uri="{C3380CC4-5D6E-409C-BE32-E72D297353CC}">
                  <c16:uniqueId val="{00000012-7AE3-497B-8F90-442F54514FC3}"/>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Butiskais_grafiski!$Z$54:$Z$56</c:f>
              <c:numCache>
                <c:formatCode>General</c:formatCode>
                <c:ptCount val="3"/>
                <c:pt idx="0">
                  <c:v>23.58835875690362</c:v>
                </c:pt>
                <c:pt idx="1">
                  <c:v>0.5</c:v>
                </c:pt>
                <c:pt idx="2">
                  <c:v>175.91164124309637</c:v>
                </c:pt>
              </c:numCache>
            </c:numRef>
          </c:val>
          <c:extLst>
            <c:ext xmlns:c15="http://schemas.microsoft.com/office/drawing/2012/chart" uri="{02D57815-91ED-43cb-92C2-25804820EDAC}">
              <c15:datalabelsRange>
                <c15:f>Butiskais_grafiski!$AA$54:$AA$56</c15:f>
                <c15:dlblRangeCache>
                  <c:ptCount val="3"/>
                  <c:pt idx="0">
                    <c:v>1</c:v>
                  </c:pt>
                  <c:pt idx="1">
                    <c:v>23,6%</c:v>
                  </c:pt>
                  <c:pt idx="2">
                    <c:v>1</c:v>
                  </c:pt>
                </c15:dlblRangeCache>
              </c15:datalabelsRange>
            </c:ext>
            <c:ext xmlns:c16="http://schemas.microsoft.com/office/drawing/2014/chart" uri="{C3380CC4-5D6E-409C-BE32-E72D297353CC}">
              <c16:uniqueId val="{00000013-7AE3-497B-8F90-442F54514FC3}"/>
            </c:ext>
          </c:extLst>
        </c:ser>
        <c:dLbls>
          <c:showLegendKey val="0"/>
          <c:showVal val="0"/>
          <c:showCatName val="0"/>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lv-LV"/>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cat>
            <c:strRef>
              <c:f>Butiskais_grafiski!$H$53</c:f>
              <c:strCache>
                <c:ptCount val="1"/>
                <c:pt idx="0">
                  <c:v> VARAM </c:v>
                </c:pt>
              </c:strCache>
            </c:strRef>
          </c:cat>
          <c:val>
            <c:numRef>
              <c:f>Butiskais_grafiski!$F$53</c:f>
              <c:numCache>
                <c:formatCode>0%</c:formatCode>
                <c:ptCount val="1"/>
              </c:numCache>
            </c:numRef>
          </c:val>
          <c:extLst>
            <c:ext xmlns:c16="http://schemas.microsoft.com/office/drawing/2014/chart" uri="{C3380CC4-5D6E-409C-BE32-E72D297353CC}">
              <c16:uniqueId val="{00000000-3C8D-4C3C-8D09-CFA030B70CF4}"/>
            </c:ext>
          </c:extLst>
        </c:ser>
        <c:ser>
          <c:idx val="1"/>
          <c:order val="1"/>
          <c:spPr>
            <a:solidFill>
              <a:schemeClr val="bg1">
                <a:lumMod val="95000"/>
              </a:schemeClr>
            </a:solidFill>
            <a:ln>
              <a:noFill/>
            </a:ln>
            <a:effectLst/>
          </c:spPr>
          <c:invertIfNegative val="0"/>
          <c:dPt>
            <c:idx val="0"/>
            <c:invertIfNegative val="0"/>
            <c:bubble3D val="0"/>
            <c:spPr>
              <a:solidFill>
                <a:srgbClr val="4A773C"/>
              </a:solidFill>
              <a:ln>
                <a:noFill/>
              </a:ln>
              <a:effectLst/>
            </c:spPr>
            <c:extLst>
              <c:ext xmlns:c16="http://schemas.microsoft.com/office/drawing/2014/chart" uri="{C3380CC4-5D6E-409C-BE32-E72D297353CC}">
                <c16:uniqueId val="{00000002-3C8D-4C3C-8D09-CFA030B70CF4}"/>
              </c:ext>
            </c:extLst>
          </c:dPt>
          <c:cat>
            <c:strRef>
              <c:f>Butiskais_grafiski!$H$53</c:f>
              <c:strCache>
                <c:ptCount val="1"/>
                <c:pt idx="0">
                  <c:v> VARAM </c:v>
                </c:pt>
              </c:strCache>
            </c:strRef>
          </c:cat>
          <c:val>
            <c:numRef>
              <c:f>Butiskais_grafiski!$M$53</c:f>
              <c:numCache>
                <c:formatCode>0%</c:formatCode>
                <c:ptCount val="1"/>
                <c:pt idx="0">
                  <c:v>0.63805244168742381</c:v>
                </c:pt>
              </c:numCache>
            </c:numRef>
          </c:val>
          <c:extLst>
            <c:ext xmlns:c16="http://schemas.microsoft.com/office/drawing/2014/chart" uri="{C3380CC4-5D6E-409C-BE32-E72D297353CC}">
              <c16:uniqueId val="{00000001-3C8D-4C3C-8D09-CFA030B70CF4}"/>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425563"/>
            </a:solidFill>
            <a:ln>
              <a:noFill/>
            </a:ln>
            <a:effectLst/>
          </c:spPr>
          <c:invertIfNegative val="0"/>
          <c:cat>
            <c:strRef>
              <c:f>Butiskais_grafiski!$H$54</c:f>
              <c:strCache>
                <c:ptCount val="1"/>
                <c:pt idx="0">
                  <c:v> SM </c:v>
                </c:pt>
              </c:strCache>
            </c:strRef>
          </c:cat>
          <c:val>
            <c:numRef>
              <c:f>Butiskais_grafiski!$M$54</c:f>
              <c:numCache>
                <c:formatCode>0%</c:formatCode>
                <c:ptCount val="1"/>
                <c:pt idx="0">
                  <c:v>0.59147058501645744</c:v>
                </c:pt>
              </c:numCache>
            </c:numRef>
          </c:val>
          <c:extLst>
            <c:ext xmlns:c16="http://schemas.microsoft.com/office/drawing/2014/chart" uri="{C3380CC4-5D6E-409C-BE32-E72D297353CC}">
              <c16:uniqueId val="{00000000-92B2-4259-906B-1DF0C452CC00}"/>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dPt>
            <c:idx val="0"/>
            <c:invertIfNegative val="0"/>
            <c:bubble3D val="0"/>
            <c:spPr>
              <a:solidFill>
                <a:srgbClr val="227B8B"/>
              </a:solidFill>
              <a:ln>
                <a:noFill/>
              </a:ln>
              <a:effectLst/>
            </c:spPr>
            <c:extLst>
              <c:ext xmlns:c16="http://schemas.microsoft.com/office/drawing/2014/chart" uri="{C3380CC4-5D6E-409C-BE32-E72D297353CC}">
                <c16:uniqueId val="{00000001-E160-4D83-AE85-1E0E6E802766}"/>
              </c:ext>
            </c:extLst>
          </c:dPt>
          <c:cat>
            <c:strRef>
              <c:f>Butiskais_grafiski!$H$55</c:f>
              <c:strCache>
                <c:ptCount val="1"/>
                <c:pt idx="0">
                  <c:v> EM </c:v>
                </c:pt>
              </c:strCache>
            </c:strRef>
          </c:cat>
          <c:val>
            <c:numRef>
              <c:f>Butiskais_grafiski!$M$55</c:f>
              <c:numCache>
                <c:formatCode>0%</c:formatCode>
                <c:ptCount val="1"/>
                <c:pt idx="0">
                  <c:v>0.87939444559152502</c:v>
                </c:pt>
              </c:numCache>
            </c:numRef>
          </c:val>
          <c:extLst>
            <c:ext xmlns:c16="http://schemas.microsoft.com/office/drawing/2014/chart" uri="{C3380CC4-5D6E-409C-BE32-E72D297353CC}">
              <c16:uniqueId val="{00000000-E160-4D83-AE85-1E0E6E802766}"/>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rgbClr val="68478D"/>
            </a:solidFill>
            <a:ln>
              <a:noFill/>
            </a:ln>
            <a:effectLst/>
          </c:spPr>
          <c:invertIfNegative val="0"/>
          <c:cat>
            <c:strRef>
              <c:f>Butiskais_grafiski!$H$56</c:f>
              <c:strCache>
                <c:ptCount val="1"/>
                <c:pt idx="0">
                  <c:v> IZM </c:v>
                </c:pt>
              </c:strCache>
            </c:strRef>
          </c:cat>
          <c:val>
            <c:numRef>
              <c:f>Butiskais_grafiski!$M$56</c:f>
              <c:numCache>
                <c:formatCode>0%</c:formatCode>
                <c:ptCount val="1"/>
                <c:pt idx="0">
                  <c:v>0.89805988108658674</c:v>
                </c:pt>
              </c:numCache>
            </c:numRef>
          </c:val>
          <c:extLst>
            <c:ext xmlns:c16="http://schemas.microsoft.com/office/drawing/2014/chart" uri="{C3380CC4-5D6E-409C-BE32-E72D297353CC}">
              <c16:uniqueId val="{00000000-649B-446C-B476-C24415E39B25}"/>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0.97499999999999998"/>
          <c:h val="1"/>
        </c:manualLayout>
      </c:layout>
      <c:barChart>
        <c:barDir val="bar"/>
        <c:grouping val="stacked"/>
        <c:varyColors val="0"/>
        <c:ser>
          <c:idx val="0"/>
          <c:order val="0"/>
          <c:spPr>
            <a:solidFill>
              <a:schemeClr val="accent1"/>
            </a:solidFill>
            <a:ln>
              <a:noFill/>
            </a:ln>
            <a:effectLst/>
          </c:spPr>
          <c:invertIfNegative val="0"/>
          <c:dPt>
            <c:idx val="0"/>
            <c:invertIfNegative val="0"/>
            <c:bubble3D val="0"/>
            <c:spPr>
              <a:solidFill>
                <a:srgbClr val="E57200"/>
              </a:solidFill>
              <a:ln>
                <a:noFill/>
              </a:ln>
              <a:effectLst/>
            </c:spPr>
            <c:extLst>
              <c:ext xmlns:c16="http://schemas.microsoft.com/office/drawing/2014/chart" uri="{C3380CC4-5D6E-409C-BE32-E72D297353CC}">
                <c16:uniqueId val="{00000001-0F99-44C9-8414-EA1CEA295B95}"/>
              </c:ext>
            </c:extLst>
          </c:dPt>
          <c:cat>
            <c:strRef>
              <c:f>Butiskais_grafiski!$H$57</c:f>
              <c:strCache>
                <c:ptCount val="1"/>
                <c:pt idx="0">
                  <c:v> VM </c:v>
                </c:pt>
              </c:strCache>
            </c:strRef>
          </c:cat>
          <c:val>
            <c:numRef>
              <c:f>Butiskais_grafiski!$M$57</c:f>
              <c:numCache>
                <c:formatCode>0%</c:formatCode>
                <c:ptCount val="1"/>
                <c:pt idx="0">
                  <c:v>0.96328590518611745</c:v>
                </c:pt>
              </c:numCache>
            </c:numRef>
          </c:val>
          <c:extLst>
            <c:ext xmlns:c16="http://schemas.microsoft.com/office/drawing/2014/chart" uri="{C3380CC4-5D6E-409C-BE32-E72D297353CC}">
              <c16:uniqueId val="{00000000-0F99-44C9-8414-EA1CEA295B95}"/>
            </c:ext>
          </c:extLst>
        </c:ser>
        <c:dLbls>
          <c:showLegendKey val="0"/>
          <c:showVal val="0"/>
          <c:showCatName val="0"/>
          <c:showSerName val="0"/>
          <c:showPercent val="0"/>
          <c:showBubbleSize val="0"/>
        </c:dLbls>
        <c:gapWidth val="0"/>
        <c:overlap val="100"/>
        <c:axId val="211542832"/>
        <c:axId val="211541872"/>
      </c:barChart>
      <c:catAx>
        <c:axId val="211542832"/>
        <c:scaling>
          <c:orientation val="minMax"/>
        </c:scaling>
        <c:delete val="1"/>
        <c:axPos val="l"/>
        <c:numFmt formatCode="General" sourceLinked="1"/>
        <c:majorTickMark val="out"/>
        <c:minorTickMark val="none"/>
        <c:tickLblPos val="nextTo"/>
        <c:crossAx val="211541872"/>
        <c:crosses val="autoZero"/>
        <c:auto val="1"/>
        <c:lblAlgn val="ctr"/>
        <c:lblOffset val="100"/>
        <c:noMultiLvlLbl val="0"/>
      </c:catAx>
      <c:valAx>
        <c:axId val="211541872"/>
        <c:scaling>
          <c:orientation val="minMax"/>
          <c:max val="1"/>
          <c:min val="0"/>
        </c:scaling>
        <c:delete val="1"/>
        <c:axPos val="b"/>
        <c:numFmt formatCode="0%" sourceLinked="1"/>
        <c:majorTickMark val="out"/>
        <c:minorTickMark val="none"/>
        <c:tickLblPos val="nextTo"/>
        <c:crossAx val="211542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110587</xdr:rowOff>
    </xdr:from>
    <xdr:to>
      <xdr:col>10</xdr:col>
      <xdr:colOff>579013</xdr:colOff>
      <xdr:row>49</xdr:row>
      <xdr:rowOff>152400</xdr:rowOff>
    </xdr:to>
    <xdr:graphicFrame macro="">
      <xdr:nvGraphicFramePr>
        <xdr:cNvPr id="2" name="Chart 1">
          <a:extLst>
            <a:ext uri="{FF2B5EF4-FFF2-40B4-BE49-F238E27FC236}">
              <a16:creationId xmlns:a16="http://schemas.microsoft.com/office/drawing/2014/main" id="{10CC39C7-852D-D3A6-67E0-5407221F19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1903218</xdr:colOff>
      <xdr:row>14</xdr:row>
      <xdr:rowOff>35277</xdr:rowOff>
    </xdr:from>
    <xdr:to>
      <xdr:col>22</xdr:col>
      <xdr:colOff>1111250</xdr:colOff>
      <xdr:row>49</xdr:row>
      <xdr:rowOff>228600</xdr:rowOff>
    </xdr:to>
    <xdr:graphicFrame macro="">
      <xdr:nvGraphicFramePr>
        <xdr:cNvPr id="3" name="Chart 2">
          <a:extLst>
            <a:ext uri="{FF2B5EF4-FFF2-40B4-BE49-F238E27FC236}">
              <a16:creationId xmlns:a16="http://schemas.microsoft.com/office/drawing/2014/main" id="{E6AE2C19-EF08-AA80-04E4-C8D44805B1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546806</xdr:colOff>
      <xdr:row>3</xdr:row>
      <xdr:rowOff>90888</xdr:rowOff>
    </xdr:from>
    <xdr:to>
      <xdr:col>13</xdr:col>
      <xdr:colOff>585364</xdr:colOff>
      <xdr:row>17</xdr:row>
      <xdr:rowOff>176389</xdr:rowOff>
    </xdr:to>
    <xdr:graphicFrame macro="">
      <xdr:nvGraphicFramePr>
        <xdr:cNvPr id="6" name="Chart 5">
          <a:extLst>
            <a:ext uri="{FF2B5EF4-FFF2-40B4-BE49-F238E27FC236}">
              <a16:creationId xmlns:a16="http://schemas.microsoft.com/office/drawing/2014/main" id="{A436BF5D-8208-4562-8B25-4212E913A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352776</xdr:colOff>
      <xdr:row>3</xdr:row>
      <xdr:rowOff>176390</xdr:rowOff>
    </xdr:from>
    <xdr:to>
      <xdr:col>19</xdr:col>
      <xdr:colOff>335137</xdr:colOff>
      <xdr:row>17</xdr:row>
      <xdr:rowOff>1</xdr:rowOff>
    </xdr:to>
    <xdr:graphicFrame macro="">
      <xdr:nvGraphicFramePr>
        <xdr:cNvPr id="7" name="Chart 6">
          <a:extLst>
            <a:ext uri="{FF2B5EF4-FFF2-40B4-BE49-F238E27FC236}">
              <a16:creationId xmlns:a16="http://schemas.microsoft.com/office/drawing/2014/main" id="{FCD7D1A6-7969-41C7-B726-B8D58ECF5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14287</xdr:colOff>
      <xdr:row>52</xdr:row>
      <xdr:rowOff>14289</xdr:rowOff>
    </xdr:from>
    <xdr:to>
      <xdr:col>11</xdr:col>
      <xdr:colOff>2228850</xdr:colOff>
      <xdr:row>52</xdr:row>
      <xdr:rowOff>247650</xdr:rowOff>
    </xdr:to>
    <xdr:graphicFrame macro="">
      <xdr:nvGraphicFramePr>
        <xdr:cNvPr id="9" name="Chart 8">
          <a:extLst>
            <a:ext uri="{FF2B5EF4-FFF2-40B4-BE49-F238E27FC236}">
              <a16:creationId xmlns:a16="http://schemas.microsoft.com/office/drawing/2014/main" id="{C589C27A-A8D6-6806-F039-DF32F44E52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19050</xdr:colOff>
      <xdr:row>53</xdr:row>
      <xdr:rowOff>9525</xdr:rowOff>
    </xdr:from>
    <xdr:to>
      <xdr:col>11</xdr:col>
      <xdr:colOff>2233613</xdr:colOff>
      <xdr:row>53</xdr:row>
      <xdr:rowOff>261937</xdr:rowOff>
    </xdr:to>
    <xdr:graphicFrame macro="">
      <xdr:nvGraphicFramePr>
        <xdr:cNvPr id="22" name="Chart 21">
          <a:extLst>
            <a:ext uri="{FF2B5EF4-FFF2-40B4-BE49-F238E27FC236}">
              <a16:creationId xmlns:a16="http://schemas.microsoft.com/office/drawing/2014/main" id="{5A7B653F-088A-4641-A1EF-2E338B5F7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19050</xdr:colOff>
      <xdr:row>54</xdr:row>
      <xdr:rowOff>0</xdr:rowOff>
    </xdr:from>
    <xdr:to>
      <xdr:col>11</xdr:col>
      <xdr:colOff>2233613</xdr:colOff>
      <xdr:row>54</xdr:row>
      <xdr:rowOff>252412</xdr:rowOff>
    </xdr:to>
    <xdr:graphicFrame macro="">
      <xdr:nvGraphicFramePr>
        <xdr:cNvPr id="23" name="Chart 22">
          <a:extLst>
            <a:ext uri="{FF2B5EF4-FFF2-40B4-BE49-F238E27FC236}">
              <a16:creationId xmlns:a16="http://schemas.microsoft.com/office/drawing/2014/main" id="{BDA9A14B-A93C-467B-9B07-C99532E62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19050</xdr:colOff>
      <xdr:row>55</xdr:row>
      <xdr:rowOff>0</xdr:rowOff>
    </xdr:from>
    <xdr:to>
      <xdr:col>11</xdr:col>
      <xdr:colOff>2185988</xdr:colOff>
      <xdr:row>55</xdr:row>
      <xdr:rowOff>247650</xdr:rowOff>
    </xdr:to>
    <xdr:graphicFrame macro="">
      <xdr:nvGraphicFramePr>
        <xdr:cNvPr id="24" name="Chart 23">
          <a:extLst>
            <a:ext uri="{FF2B5EF4-FFF2-40B4-BE49-F238E27FC236}">
              <a16:creationId xmlns:a16="http://schemas.microsoft.com/office/drawing/2014/main" id="{F53614BE-C420-4FF2-B905-745939A6E0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19050</xdr:colOff>
      <xdr:row>56</xdr:row>
      <xdr:rowOff>9524</xdr:rowOff>
    </xdr:from>
    <xdr:to>
      <xdr:col>11</xdr:col>
      <xdr:colOff>2185988</xdr:colOff>
      <xdr:row>57</xdr:row>
      <xdr:rowOff>19049</xdr:rowOff>
    </xdr:to>
    <xdr:graphicFrame macro="">
      <xdr:nvGraphicFramePr>
        <xdr:cNvPr id="25" name="Chart 24">
          <a:extLst>
            <a:ext uri="{FF2B5EF4-FFF2-40B4-BE49-F238E27FC236}">
              <a16:creationId xmlns:a16="http://schemas.microsoft.com/office/drawing/2014/main" id="{7C2A7E7D-445E-40AB-A7BC-D94106400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19050</xdr:colOff>
      <xdr:row>57</xdr:row>
      <xdr:rowOff>19050</xdr:rowOff>
    </xdr:from>
    <xdr:to>
      <xdr:col>11</xdr:col>
      <xdr:colOff>2233613</xdr:colOff>
      <xdr:row>58</xdr:row>
      <xdr:rowOff>4762</xdr:rowOff>
    </xdr:to>
    <xdr:graphicFrame macro="">
      <xdr:nvGraphicFramePr>
        <xdr:cNvPr id="26" name="Chart 25">
          <a:extLst>
            <a:ext uri="{FF2B5EF4-FFF2-40B4-BE49-F238E27FC236}">
              <a16:creationId xmlns:a16="http://schemas.microsoft.com/office/drawing/2014/main" id="{46CEEC55-0BFE-44E8-B52B-A3EBFC3A0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19050</xdr:colOff>
      <xdr:row>58</xdr:row>
      <xdr:rowOff>9525</xdr:rowOff>
    </xdr:from>
    <xdr:to>
      <xdr:col>12</xdr:col>
      <xdr:colOff>14288</xdr:colOff>
      <xdr:row>58</xdr:row>
      <xdr:rowOff>261937</xdr:rowOff>
    </xdr:to>
    <xdr:graphicFrame macro="">
      <xdr:nvGraphicFramePr>
        <xdr:cNvPr id="27" name="Chart 26">
          <a:extLst>
            <a:ext uri="{FF2B5EF4-FFF2-40B4-BE49-F238E27FC236}">
              <a16:creationId xmlns:a16="http://schemas.microsoft.com/office/drawing/2014/main" id="{D7BB6554-33C2-4076-95AD-3668629B88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19050</xdr:colOff>
      <xdr:row>59</xdr:row>
      <xdr:rowOff>9525</xdr:rowOff>
    </xdr:from>
    <xdr:to>
      <xdr:col>12</xdr:col>
      <xdr:colOff>14288</xdr:colOff>
      <xdr:row>59</xdr:row>
      <xdr:rowOff>261937</xdr:rowOff>
    </xdr:to>
    <xdr:graphicFrame macro="">
      <xdr:nvGraphicFramePr>
        <xdr:cNvPr id="28" name="Chart 27">
          <a:extLst>
            <a:ext uri="{FF2B5EF4-FFF2-40B4-BE49-F238E27FC236}">
              <a16:creationId xmlns:a16="http://schemas.microsoft.com/office/drawing/2014/main" id="{56AD818D-7CCB-4C5D-8460-BF14D7015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19050</xdr:colOff>
      <xdr:row>60</xdr:row>
      <xdr:rowOff>19050</xdr:rowOff>
    </xdr:from>
    <xdr:to>
      <xdr:col>12</xdr:col>
      <xdr:colOff>14288</xdr:colOff>
      <xdr:row>61</xdr:row>
      <xdr:rowOff>4762</xdr:rowOff>
    </xdr:to>
    <xdr:graphicFrame macro="">
      <xdr:nvGraphicFramePr>
        <xdr:cNvPr id="29" name="Chart 28">
          <a:extLst>
            <a:ext uri="{FF2B5EF4-FFF2-40B4-BE49-F238E27FC236}">
              <a16:creationId xmlns:a16="http://schemas.microsoft.com/office/drawing/2014/main" id="{51C12329-D13F-4AD9-B7FD-A58BD7314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9525</xdr:colOff>
      <xdr:row>61</xdr:row>
      <xdr:rowOff>19050</xdr:rowOff>
    </xdr:from>
    <xdr:to>
      <xdr:col>12</xdr:col>
      <xdr:colOff>4763</xdr:colOff>
      <xdr:row>62</xdr:row>
      <xdr:rowOff>4762</xdr:rowOff>
    </xdr:to>
    <xdr:graphicFrame macro="">
      <xdr:nvGraphicFramePr>
        <xdr:cNvPr id="30" name="Chart 29">
          <a:extLst>
            <a:ext uri="{FF2B5EF4-FFF2-40B4-BE49-F238E27FC236}">
              <a16:creationId xmlns:a16="http://schemas.microsoft.com/office/drawing/2014/main" id="{19AFA615-C577-449B-97F4-278E752CEA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9525</xdr:colOff>
      <xdr:row>62</xdr:row>
      <xdr:rowOff>9525</xdr:rowOff>
    </xdr:from>
    <xdr:to>
      <xdr:col>12</xdr:col>
      <xdr:colOff>4763</xdr:colOff>
      <xdr:row>62</xdr:row>
      <xdr:rowOff>261937</xdr:rowOff>
    </xdr:to>
    <xdr:graphicFrame macro="">
      <xdr:nvGraphicFramePr>
        <xdr:cNvPr id="31" name="Chart 30">
          <a:extLst>
            <a:ext uri="{FF2B5EF4-FFF2-40B4-BE49-F238E27FC236}">
              <a16:creationId xmlns:a16="http://schemas.microsoft.com/office/drawing/2014/main" id="{8EB6B89C-6104-49E8-ADBA-D9A1B0E7E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19050</xdr:colOff>
      <xdr:row>63</xdr:row>
      <xdr:rowOff>19050</xdr:rowOff>
    </xdr:from>
    <xdr:to>
      <xdr:col>12</xdr:col>
      <xdr:colOff>14288</xdr:colOff>
      <xdr:row>63</xdr:row>
      <xdr:rowOff>271462</xdr:rowOff>
    </xdr:to>
    <xdr:graphicFrame macro="">
      <xdr:nvGraphicFramePr>
        <xdr:cNvPr id="32" name="Chart 31">
          <a:extLst>
            <a:ext uri="{FF2B5EF4-FFF2-40B4-BE49-F238E27FC236}">
              <a16:creationId xmlns:a16="http://schemas.microsoft.com/office/drawing/2014/main" id="{F9F31CCD-9239-4190-B796-1A68E5E68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10</xdr:col>
      <xdr:colOff>14287</xdr:colOff>
      <xdr:row>66</xdr:row>
      <xdr:rowOff>14289</xdr:rowOff>
    </xdr:from>
    <xdr:to>
      <xdr:col>11</xdr:col>
      <xdr:colOff>2228850</xdr:colOff>
      <xdr:row>66</xdr:row>
      <xdr:rowOff>247650</xdr:rowOff>
    </xdr:to>
    <xdr:graphicFrame macro="">
      <xdr:nvGraphicFramePr>
        <xdr:cNvPr id="46" name="Chart 45">
          <a:extLst>
            <a:ext uri="{FF2B5EF4-FFF2-40B4-BE49-F238E27FC236}">
              <a16:creationId xmlns:a16="http://schemas.microsoft.com/office/drawing/2014/main" id="{5B7D19D9-75E2-4CFE-BCB8-B2DBFEB82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19050</xdr:colOff>
      <xdr:row>67</xdr:row>
      <xdr:rowOff>9525</xdr:rowOff>
    </xdr:from>
    <xdr:to>
      <xdr:col>11</xdr:col>
      <xdr:colOff>2233613</xdr:colOff>
      <xdr:row>67</xdr:row>
      <xdr:rowOff>261937</xdr:rowOff>
    </xdr:to>
    <xdr:graphicFrame macro="">
      <xdr:nvGraphicFramePr>
        <xdr:cNvPr id="47" name="Chart 46">
          <a:extLst>
            <a:ext uri="{FF2B5EF4-FFF2-40B4-BE49-F238E27FC236}">
              <a16:creationId xmlns:a16="http://schemas.microsoft.com/office/drawing/2014/main" id="{3D604F39-108E-4802-8ADC-DC3B2F0ED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10</xdr:col>
      <xdr:colOff>19050</xdr:colOff>
      <xdr:row>68</xdr:row>
      <xdr:rowOff>0</xdr:rowOff>
    </xdr:from>
    <xdr:to>
      <xdr:col>11</xdr:col>
      <xdr:colOff>2233613</xdr:colOff>
      <xdr:row>68</xdr:row>
      <xdr:rowOff>252412</xdr:rowOff>
    </xdr:to>
    <xdr:graphicFrame macro="">
      <xdr:nvGraphicFramePr>
        <xdr:cNvPr id="48" name="Chart 47">
          <a:extLst>
            <a:ext uri="{FF2B5EF4-FFF2-40B4-BE49-F238E27FC236}">
              <a16:creationId xmlns:a16="http://schemas.microsoft.com/office/drawing/2014/main" id="{DE3F9420-075F-4FED-AE16-5FC847AEC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19050</xdr:colOff>
      <xdr:row>69</xdr:row>
      <xdr:rowOff>0</xdr:rowOff>
    </xdr:from>
    <xdr:to>
      <xdr:col>11</xdr:col>
      <xdr:colOff>2185988</xdr:colOff>
      <xdr:row>69</xdr:row>
      <xdr:rowOff>247650</xdr:rowOff>
    </xdr:to>
    <xdr:graphicFrame macro="">
      <xdr:nvGraphicFramePr>
        <xdr:cNvPr id="49" name="Chart 48">
          <a:extLst>
            <a:ext uri="{FF2B5EF4-FFF2-40B4-BE49-F238E27FC236}">
              <a16:creationId xmlns:a16="http://schemas.microsoft.com/office/drawing/2014/main" id="{86F13C39-B38C-4857-A064-FA662866A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10</xdr:col>
      <xdr:colOff>19050</xdr:colOff>
      <xdr:row>70</xdr:row>
      <xdr:rowOff>9524</xdr:rowOff>
    </xdr:from>
    <xdr:to>
      <xdr:col>11</xdr:col>
      <xdr:colOff>2185988</xdr:colOff>
      <xdr:row>71</xdr:row>
      <xdr:rowOff>19049</xdr:rowOff>
    </xdr:to>
    <xdr:graphicFrame macro="">
      <xdr:nvGraphicFramePr>
        <xdr:cNvPr id="50" name="Chart 49">
          <a:extLst>
            <a:ext uri="{FF2B5EF4-FFF2-40B4-BE49-F238E27FC236}">
              <a16:creationId xmlns:a16="http://schemas.microsoft.com/office/drawing/2014/main" id="{C9BBBAD1-7E0B-4929-A60A-7FEAF03F43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19050</xdr:colOff>
      <xdr:row>71</xdr:row>
      <xdr:rowOff>19050</xdr:rowOff>
    </xdr:from>
    <xdr:to>
      <xdr:col>11</xdr:col>
      <xdr:colOff>2233613</xdr:colOff>
      <xdr:row>72</xdr:row>
      <xdr:rowOff>4762</xdr:rowOff>
    </xdr:to>
    <xdr:graphicFrame macro="">
      <xdr:nvGraphicFramePr>
        <xdr:cNvPr id="51" name="Chart 50">
          <a:extLst>
            <a:ext uri="{FF2B5EF4-FFF2-40B4-BE49-F238E27FC236}">
              <a16:creationId xmlns:a16="http://schemas.microsoft.com/office/drawing/2014/main" id="{EE68E969-75BE-4675-85B6-2B64FA87C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19050</xdr:colOff>
      <xdr:row>72</xdr:row>
      <xdr:rowOff>9525</xdr:rowOff>
    </xdr:from>
    <xdr:to>
      <xdr:col>12</xdr:col>
      <xdr:colOff>14288</xdr:colOff>
      <xdr:row>72</xdr:row>
      <xdr:rowOff>261937</xdr:rowOff>
    </xdr:to>
    <xdr:graphicFrame macro="">
      <xdr:nvGraphicFramePr>
        <xdr:cNvPr id="52" name="Chart 51">
          <a:extLst>
            <a:ext uri="{FF2B5EF4-FFF2-40B4-BE49-F238E27FC236}">
              <a16:creationId xmlns:a16="http://schemas.microsoft.com/office/drawing/2014/main" id="{1411BA2F-261E-481E-8F65-23206AB88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19050</xdr:colOff>
      <xdr:row>73</xdr:row>
      <xdr:rowOff>9525</xdr:rowOff>
    </xdr:from>
    <xdr:to>
      <xdr:col>12</xdr:col>
      <xdr:colOff>14288</xdr:colOff>
      <xdr:row>73</xdr:row>
      <xdr:rowOff>261937</xdr:rowOff>
    </xdr:to>
    <xdr:graphicFrame macro="">
      <xdr:nvGraphicFramePr>
        <xdr:cNvPr id="53" name="Chart 52">
          <a:extLst>
            <a:ext uri="{FF2B5EF4-FFF2-40B4-BE49-F238E27FC236}">
              <a16:creationId xmlns:a16="http://schemas.microsoft.com/office/drawing/2014/main" id="{C6653B50-6C73-442C-9931-60C12A29D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19050</xdr:colOff>
      <xdr:row>74</xdr:row>
      <xdr:rowOff>19050</xdr:rowOff>
    </xdr:from>
    <xdr:to>
      <xdr:col>12</xdr:col>
      <xdr:colOff>14288</xdr:colOff>
      <xdr:row>75</xdr:row>
      <xdr:rowOff>4762</xdr:rowOff>
    </xdr:to>
    <xdr:graphicFrame macro="">
      <xdr:nvGraphicFramePr>
        <xdr:cNvPr id="54" name="Chart 53">
          <a:extLst>
            <a:ext uri="{FF2B5EF4-FFF2-40B4-BE49-F238E27FC236}">
              <a16:creationId xmlns:a16="http://schemas.microsoft.com/office/drawing/2014/main" id="{1D8378AB-96CF-4F7F-BBEB-BC40459815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9525</xdr:colOff>
      <xdr:row>75</xdr:row>
      <xdr:rowOff>19050</xdr:rowOff>
    </xdr:from>
    <xdr:to>
      <xdr:col>12</xdr:col>
      <xdr:colOff>4763</xdr:colOff>
      <xdr:row>76</xdr:row>
      <xdr:rowOff>4762</xdr:rowOff>
    </xdr:to>
    <xdr:graphicFrame macro="">
      <xdr:nvGraphicFramePr>
        <xdr:cNvPr id="55" name="Chart 54">
          <a:extLst>
            <a:ext uri="{FF2B5EF4-FFF2-40B4-BE49-F238E27FC236}">
              <a16:creationId xmlns:a16="http://schemas.microsoft.com/office/drawing/2014/main" id="{C31E3150-D940-4155-B8F1-5978A08BC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9525</xdr:colOff>
      <xdr:row>76</xdr:row>
      <xdr:rowOff>9525</xdr:rowOff>
    </xdr:from>
    <xdr:to>
      <xdr:col>12</xdr:col>
      <xdr:colOff>4763</xdr:colOff>
      <xdr:row>76</xdr:row>
      <xdr:rowOff>261937</xdr:rowOff>
    </xdr:to>
    <xdr:graphicFrame macro="">
      <xdr:nvGraphicFramePr>
        <xdr:cNvPr id="56" name="Chart 55">
          <a:extLst>
            <a:ext uri="{FF2B5EF4-FFF2-40B4-BE49-F238E27FC236}">
              <a16:creationId xmlns:a16="http://schemas.microsoft.com/office/drawing/2014/main" id="{78754472-BC5E-45C2-ACF4-D49CC2125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19050</xdr:colOff>
      <xdr:row>77</xdr:row>
      <xdr:rowOff>19050</xdr:rowOff>
    </xdr:from>
    <xdr:to>
      <xdr:col>12</xdr:col>
      <xdr:colOff>14288</xdr:colOff>
      <xdr:row>77</xdr:row>
      <xdr:rowOff>271462</xdr:rowOff>
    </xdr:to>
    <xdr:graphicFrame macro="">
      <xdr:nvGraphicFramePr>
        <xdr:cNvPr id="57" name="Chart 56">
          <a:extLst>
            <a:ext uri="{FF2B5EF4-FFF2-40B4-BE49-F238E27FC236}">
              <a16:creationId xmlns:a16="http://schemas.microsoft.com/office/drawing/2014/main" id="{928DD4AA-509B-401F-A643-7EF82A277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240308</xdr:colOff>
      <xdr:row>2</xdr:row>
      <xdr:rowOff>51911</xdr:rowOff>
    </xdr:from>
    <xdr:to>
      <xdr:col>8</xdr:col>
      <xdr:colOff>1348679</xdr:colOff>
      <xdr:row>16</xdr:row>
      <xdr:rowOff>64004</xdr:rowOff>
    </xdr:to>
    <xdr:graphicFrame macro="">
      <xdr:nvGraphicFramePr>
        <xdr:cNvPr id="8" name="Chart 7">
          <a:extLst>
            <a:ext uri="{FF2B5EF4-FFF2-40B4-BE49-F238E27FC236}">
              <a16:creationId xmlns:a16="http://schemas.microsoft.com/office/drawing/2014/main" id="{5B5AC31D-2207-B9AC-D539-4201E136E1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17</xdr:col>
      <xdr:colOff>511527</xdr:colOff>
      <xdr:row>3</xdr:row>
      <xdr:rowOff>193728</xdr:rowOff>
    </xdr:from>
    <xdr:to>
      <xdr:col>23</xdr:col>
      <xdr:colOff>490794</xdr:colOff>
      <xdr:row>16</xdr:row>
      <xdr:rowOff>176389</xdr:rowOff>
    </xdr:to>
    <xdr:graphicFrame macro="">
      <xdr:nvGraphicFramePr>
        <xdr:cNvPr id="4" name="Chart 3">
          <a:extLst>
            <a:ext uri="{FF2B5EF4-FFF2-40B4-BE49-F238E27FC236}">
              <a16:creationId xmlns:a16="http://schemas.microsoft.com/office/drawing/2014/main" id="{FBE92744-5D0B-4044-98C5-5E54AAA1A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0.77035</cdr:x>
      <cdr:y>0.75969</cdr:y>
    </cdr:from>
    <cdr:to>
      <cdr:x>0.98952</cdr:x>
      <cdr:y>0.8031</cdr:y>
    </cdr:to>
    <cdr:sp macro="" textlink="">
      <cdr:nvSpPr>
        <cdr:cNvPr id="2" name="TextBox 1">
          <a:extLst xmlns:a="http://schemas.openxmlformats.org/drawingml/2006/main">
            <a:ext uri="{FF2B5EF4-FFF2-40B4-BE49-F238E27FC236}">
              <a16:creationId xmlns:a16="http://schemas.microsoft.com/office/drawing/2014/main" id="{EC9FD493-DCEF-1D27-E2C4-394894D2B4F7}"/>
            </a:ext>
          </a:extLst>
        </cdr:cNvPr>
        <cdr:cNvSpPr txBox="1"/>
      </cdr:nvSpPr>
      <cdr:spPr>
        <a:xfrm xmlns:a="http://schemas.openxmlformats.org/drawingml/2006/main">
          <a:off x="11382374" y="5834065"/>
          <a:ext cx="323850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userShapes>
</file>

<file path=xl/drawings/drawing11.xml><?xml version="1.0" encoding="utf-8"?>
<xdr:wsDr xmlns:xdr="http://schemas.openxmlformats.org/drawingml/2006/spreadsheetDrawing" xmlns:a="http://schemas.openxmlformats.org/drawingml/2006/main">
  <xdr:twoCellAnchor>
    <xdr:from>
      <xdr:col>15</xdr:col>
      <xdr:colOff>62262</xdr:colOff>
      <xdr:row>2</xdr:row>
      <xdr:rowOff>171450</xdr:rowOff>
    </xdr:from>
    <xdr:to>
      <xdr:col>22</xdr:col>
      <xdr:colOff>2838450</xdr:colOff>
      <xdr:row>53</xdr:row>
      <xdr:rowOff>125312</xdr:rowOff>
    </xdr:to>
    <xdr:graphicFrame macro="">
      <xdr:nvGraphicFramePr>
        <xdr:cNvPr id="6" name="Chart 5">
          <a:extLst>
            <a:ext uri="{FF2B5EF4-FFF2-40B4-BE49-F238E27FC236}">
              <a16:creationId xmlns:a16="http://schemas.microsoft.com/office/drawing/2014/main" id="{16637F93-29FF-85B6-BF97-78B86B7065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0.57521</cdr:x>
      <cdr:y>0.63174</cdr:y>
    </cdr:from>
    <cdr:to>
      <cdr:x>0.66314</cdr:x>
      <cdr:y>0.69211</cdr:y>
    </cdr:to>
    <cdr:sp macro="" textlink="">
      <cdr:nvSpPr>
        <cdr:cNvPr id="2" name="TextBox 1">
          <a:extLst xmlns:a="http://schemas.openxmlformats.org/drawingml/2006/main">
            <a:ext uri="{FF2B5EF4-FFF2-40B4-BE49-F238E27FC236}">
              <a16:creationId xmlns:a16="http://schemas.microsoft.com/office/drawing/2014/main" id="{08742FE4-C0D8-E5A0-59FD-4D45EB89BF6A}"/>
            </a:ext>
          </a:extLst>
        </cdr:cNvPr>
        <cdr:cNvSpPr txBox="1"/>
      </cdr:nvSpPr>
      <cdr:spPr>
        <a:xfrm xmlns:a="http://schemas.openxmlformats.org/drawingml/2006/main">
          <a:off x="9596088" y="7973912"/>
          <a:ext cx="1466850" cy="762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0.75335</cdr:x>
      <cdr:y>0.86568</cdr:y>
    </cdr:from>
    <cdr:to>
      <cdr:x>0.98287</cdr:x>
      <cdr:y>0.9019</cdr:y>
    </cdr:to>
    <cdr:sp macro="" textlink="Ministrijas!$AC$10">
      <cdr:nvSpPr>
        <cdr:cNvPr id="3" name="TextBox 2">
          <a:extLst xmlns:a="http://schemas.openxmlformats.org/drawingml/2006/main">
            <a:ext uri="{FF2B5EF4-FFF2-40B4-BE49-F238E27FC236}">
              <a16:creationId xmlns:a16="http://schemas.microsoft.com/office/drawing/2014/main" id="{9EA944EF-DD05-70B1-2F1B-5F1E492DD223}"/>
            </a:ext>
          </a:extLst>
        </cdr:cNvPr>
        <cdr:cNvSpPr txBox="1"/>
      </cdr:nvSpPr>
      <cdr:spPr>
        <a:xfrm xmlns:a="http://schemas.openxmlformats.org/drawingml/2006/main">
          <a:off x="12567888" y="10926662"/>
          <a:ext cx="3829050" cy="4572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5DA0A2DA-0342-48D4-8C96-95CC4C21AD4E}" type="TxLink">
            <a:rPr lang="en-US" sz="1600" b="0" i="0" u="none" strike="noStrike">
              <a:solidFill>
                <a:sysClr val="windowText" lastClr="000000"/>
              </a:solidFill>
              <a:latin typeface="Verdana" panose="020B0604030504040204" pitchFamily="34" charset="0"/>
              <a:ea typeface="Verdana" panose="020B0604030504040204" pitchFamily="34" charset="0"/>
              <a:cs typeface="Calibri"/>
            </a:rPr>
            <a:pPr marL="0" indent="0"/>
            <a:t>Līgums 3 582,6 (82%)</a:t>
          </a:fld>
          <a:endParaRPr lang="lv-LV" sz="1600" b="0" i="0" u="none" strike="noStrike">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0.75335</cdr:x>
      <cdr:y>0.82493</cdr:y>
    </cdr:from>
    <cdr:to>
      <cdr:x>0.98516</cdr:x>
      <cdr:y>0.85964</cdr:y>
    </cdr:to>
    <cdr:sp macro="" textlink="Ministrijas!$AD$10">
      <cdr:nvSpPr>
        <cdr:cNvPr id="4" name="TextBox 3">
          <a:extLst xmlns:a="http://schemas.openxmlformats.org/drawingml/2006/main">
            <a:ext uri="{FF2B5EF4-FFF2-40B4-BE49-F238E27FC236}">
              <a16:creationId xmlns:a16="http://schemas.microsoft.com/office/drawing/2014/main" id="{55B2F78A-2BB7-4516-9894-1759B0F429B1}"/>
            </a:ext>
          </a:extLst>
        </cdr:cNvPr>
        <cdr:cNvSpPr txBox="1"/>
      </cdr:nvSpPr>
      <cdr:spPr>
        <a:xfrm xmlns:a="http://schemas.openxmlformats.org/drawingml/2006/main">
          <a:off x="12567888" y="10412312"/>
          <a:ext cx="3867150" cy="43815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6EC9CDE4-BA22-424B-A254-31E5D1658472}" type="TxLink">
            <a:rPr lang="en-US" sz="1600" b="0" i="0" u="none" strike="noStrike">
              <a:solidFill>
                <a:sysClr val="windowText" lastClr="000000"/>
              </a:solidFill>
              <a:latin typeface="Verdana" panose="020B0604030504040204" pitchFamily="34" charset="0"/>
              <a:ea typeface="Verdana" panose="020B0604030504040204" pitchFamily="34" charset="0"/>
              <a:cs typeface="Calibri"/>
            </a:rPr>
            <a:pPr marL="0" indent="0"/>
            <a:t>Iesniegti 4 240,0 (97%)</a:t>
          </a:fld>
          <a:endParaRPr lang="lv-LV" sz="1600" b="0" i="0" u="none" strike="noStrike">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0.74307</cdr:x>
      <cdr:y>0.77663</cdr:y>
    </cdr:from>
    <cdr:to>
      <cdr:x>0.96232</cdr:x>
      <cdr:y>0.80531</cdr:y>
    </cdr:to>
    <cdr:sp macro="" textlink="">
      <cdr:nvSpPr>
        <cdr:cNvPr id="5" name="TextBox 4">
          <a:extLst xmlns:a="http://schemas.openxmlformats.org/drawingml/2006/main">
            <a:ext uri="{FF2B5EF4-FFF2-40B4-BE49-F238E27FC236}">
              <a16:creationId xmlns:a16="http://schemas.microsoft.com/office/drawing/2014/main" id="{754D4C7D-0BC4-FDBB-B778-3DEA98C227DC}"/>
            </a:ext>
          </a:extLst>
        </cdr:cNvPr>
        <cdr:cNvSpPr txBox="1"/>
      </cdr:nvSpPr>
      <cdr:spPr>
        <a:xfrm xmlns:a="http://schemas.openxmlformats.org/drawingml/2006/main">
          <a:off x="12396438" y="9802712"/>
          <a:ext cx="3657600" cy="361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0.74913</cdr:x>
      <cdr:y>0.70268</cdr:y>
    </cdr:from>
    <cdr:to>
      <cdr:x>0.97979</cdr:x>
      <cdr:y>0.74192</cdr:y>
    </cdr:to>
    <cdr:sp macro="" textlink="Ministrijas!$AE$10">
      <cdr:nvSpPr>
        <cdr:cNvPr id="6" name="TextBox 5">
          <a:extLst xmlns:a="http://schemas.openxmlformats.org/drawingml/2006/main">
            <a:ext uri="{FF2B5EF4-FFF2-40B4-BE49-F238E27FC236}">
              <a16:creationId xmlns:a16="http://schemas.microsoft.com/office/drawing/2014/main" id="{220FAFE7-8359-F1BA-6368-2EF66F456F23}"/>
            </a:ext>
          </a:extLst>
        </cdr:cNvPr>
        <cdr:cNvSpPr txBox="1"/>
      </cdr:nvSpPr>
      <cdr:spPr>
        <a:xfrm xmlns:a="http://schemas.openxmlformats.org/drawingml/2006/main">
          <a:off x="9272295" y="8869269"/>
          <a:ext cx="2854968" cy="4952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28FFE362-B86A-439E-A150-0FC24A940604}" type="TxLink">
            <a:rPr lang="en-US" sz="1600" b="0" i="0" u="none" strike="noStrike">
              <a:solidFill>
                <a:sysClr val="windowText" lastClr="000000"/>
              </a:solidFill>
              <a:latin typeface="Verdana" panose="020B0604030504040204" pitchFamily="34" charset="0"/>
              <a:ea typeface="Verdana" panose="020B0604030504040204" pitchFamily="34" charset="0"/>
              <a:cs typeface="Calibri"/>
            </a:rPr>
            <a:pPr marL="0" indent="0"/>
            <a:t>Piešķīrums 4 374,4 </a:t>
          </a:fld>
          <a:endParaRPr lang="lv-LV" sz="1600" b="0" i="0" u="none" strike="noStrike">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0.75449</cdr:x>
      <cdr:y>0.76607</cdr:y>
    </cdr:from>
    <cdr:to>
      <cdr:x>0.95661</cdr:x>
      <cdr:y>0.79776</cdr:y>
    </cdr:to>
    <cdr:sp macro="" textlink="Ministrijas!$AF$10">
      <cdr:nvSpPr>
        <cdr:cNvPr id="7" name="TextBox 6">
          <a:extLst xmlns:a="http://schemas.openxmlformats.org/drawingml/2006/main">
            <a:ext uri="{FF2B5EF4-FFF2-40B4-BE49-F238E27FC236}">
              <a16:creationId xmlns:a16="http://schemas.microsoft.com/office/drawing/2014/main" id="{13DB1B39-10AF-7165-E2D1-2D48E852B050}"/>
            </a:ext>
          </a:extLst>
        </cdr:cNvPr>
        <cdr:cNvSpPr txBox="1"/>
      </cdr:nvSpPr>
      <cdr:spPr>
        <a:xfrm xmlns:a="http://schemas.openxmlformats.org/drawingml/2006/main">
          <a:off x="12586938" y="9669362"/>
          <a:ext cx="33718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6A597AE-9C43-41D5-9CBB-E896A216C61B}" type="TxLink">
            <a:rPr lang="en-US" sz="1100" b="0" i="0" u="none" strike="noStrike" kern="1200">
              <a:solidFill>
                <a:srgbClr val="808080"/>
              </a:solidFill>
              <a:latin typeface="Calibri"/>
              <a:ea typeface="Calibri"/>
              <a:cs typeface="Calibri"/>
            </a:rPr>
            <a:pPr/>
            <a:t> </a:t>
          </a:fld>
          <a:endParaRPr lang="lv-LV" sz="1100" kern="1200"/>
        </a:p>
      </cdr:txBody>
    </cdr:sp>
  </cdr:relSizeAnchor>
  <cdr:relSizeAnchor xmlns:cdr="http://schemas.openxmlformats.org/drawingml/2006/chartDrawing">
    <cdr:from>
      <cdr:x>0.74913</cdr:x>
      <cdr:y>0.73739</cdr:y>
    </cdr:from>
    <cdr:to>
      <cdr:x>1</cdr:x>
      <cdr:y>0.83009</cdr:y>
    </cdr:to>
    <cdr:sp macro="" textlink="Ministrijas!$AH$10">
      <cdr:nvSpPr>
        <cdr:cNvPr id="8" name="TextBox 7">
          <a:extLst xmlns:a="http://schemas.openxmlformats.org/drawingml/2006/main">
            <a:ext uri="{FF2B5EF4-FFF2-40B4-BE49-F238E27FC236}">
              <a16:creationId xmlns:a16="http://schemas.microsoft.com/office/drawing/2014/main" id="{72369FD2-F452-9036-3201-C8B0AEF36256}"/>
            </a:ext>
          </a:extLst>
        </cdr:cNvPr>
        <cdr:cNvSpPr txBox="1"/>
      </cdr:nvSpPr>
      <cdr:spPr>
        <a:xfrm xmlns:a="http://schemas.openxmlformats.org/drawingml/2006/main">
          <a:off x="9272239" y="9307448"/>
          <a:ext cx="3105149" cy="117005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BC681A31-652B-480E-AA60-D38639677645}" type="TxLink">
            <a:rPr lang="en-US" sz="1600" b="0" i="0" u="none" strike="noStrike">
              <a:solidFill>
                <a:sysClr val="windowText" lastClr="000000"/>
              </a:solidFill>
              <a:latin typeface="Verdana" panose="020B0604030504040204" pitchFamily="34" charset="0"/>
              <a:ea typeface="Verdana" panose="020B0604030504040204" pitchFamily="34" charset="0"/>
              <a:cs typeface="Calibri"/>
            </a:rPr>
            <a:pPr marL="0" indent="0"/>
            <a:t>Valsts budžets, kas pārsniedz pasākuma ES fondu finansējumu 155,8 Milj. EUR</a:t>
          </a:fld>
          <a:endParaRPr lang="lv-LV" sz="1600" b="0" i="0" u="none" strike="noStrike">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0.71338</cdr:x>
      <cdr:y>0.7057</cdr:y>
    </cdr:from>
    <cdr:to>
      <cdr:x>0.74421</cdr:x>
      <cdr:y>0.73437</cdr:y>
    </cdr:to>
    <cdr:sp macro="" textlink="">
      <cdr:nvSpPr>
        <cdr:cNvPr id="9" name="Rectangle 8">
          <a:extLst xmlns:a="http://schemas.openxmlformats.org/drawingml/2006/main">
            <a:ext uri="{FF2B5EF4-FFF2-40B4-BE49-F238E27FC236}">
              <a16:creationId xmlns:a16="http://schemas.microsoft.com/office/drawing/2014/main" id="{7E59C4E3-6864-69BA-BAB3-9B247DB8B771}"/>
            </a:ext>
          </a:extLst>
        </cdr:cNvPr>
        <cdr:cNvSpPr/>
      </cdr:nvSpPr>
      <cdr:spPr>
        <a:xfrm xmlns:a="http://schemas.openxmlformats.org/drawingml/2006/main">
          <a:off x="8829781" y="8907407"/>
          <a:ext cx="381595" cy="361876"/>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v-LV" kern="1200"/>
        </a:p>
      </cdr:txBody>
    </cdr:sp>
  </cdr:relSizeAnchor>
  <cdr:relSizeAnchor xmlns:cdr="http://schemas.openxmlformats.org/drawingml/2006/chartDrawing">
    <cdr:from>
      <cdr:x>0.75449</cdr:x>
      <cdr:y>0.90857</cdr:y>
    </cdr:from>
    <cdr:to>
      <cdr:x>0.98516</cdr:x>
      <cdr:y>0.9463</cdr:y>
    </cdr:to>
    <cdr:sp macro="" textlink="Ministrijas!$AB$10">
      <cdr:nvSpPr>
        <cdr:cNvPr id="13" name="TextBox 12">
          <a:extLst xmlns:a="http://schemas.openxmlformats.org/drawingml/2006/main">
            <a:ext uri="{FF2B5EF4-FFF2-40B4-BE49-F238E27FC236}">
              <a16:creationId xmlns:a16="http://schemas.microsoft.com/office/drawing/2014/main" id="{3AB9A911-4EB0-C5E0-080B-725A3B5D6590}"/>
            </a:ext>
          </a:extLst>
        </cdr:cNvPr>
        <cdr:cNvSpPr txBox="1"/>
      </cdr:nvSpPr>
      <cdr:spPr>
        <a:xfrm xmlns:a="http://schemas.openxmlformats.org/drawingml/2006/main">
          <a:off x="12586938" y="11468100"/>
          <a:ext cx="3848100" cy="47625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lstStyle xmlns:a="http://schemas.openxmlformats.org/drawingml/2006/main"/>
        <a:p xmlns:a="http://schemas.openxmlformats.org/drawingml/2006/main">
          <a:pPr marL="0" indent="0"/>
          <a:fld id="{879AFF2D-3365-4D84-91BC-8B14AE462368}" type="TxLink">
            <a:rPr lang="en-US" sz="1600" b="0" i="0" u="none" strike="noStrike">
              <a:solidFill>
                <a:sysClr val="windowText" lastClr="000000"/>
              </a:solidFill>
              <a:latin typeface="Verdana" panose="020B0604030504040204" pitchFamily="34" charset="0"/>
              <a:ea typeface="Verdana" panose="020B0604030504040204" pitchFamily="34" charset="0"/>
              <a:cs typeface="Calibri"/>
            </a:rPr>
            <a:pPr marL="0" indent="0"/>
            <a:t>Maksājumi 1 031,8 (24%)</a:t>
          </a:fld>
          <a:endParaRPr lang="lv-LV" sz="1600" b="0" i="0" u="none" strike="noStrike">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0.71445</cdr:x>
      <cdr:y>0.74507</cdr:y>
    </cdr:from>
    <cdr:to>
      <cdr:x>0.74528</cdr:x>
      <cdr:y>0.77374</cdr:y>
    </cdr:to>
    <cdr:sp macro="" textlink="">
      <cdr:nvSpPr>
        <cdr:cNvPr id="14" name="Rectangle 13">
          <a:extLst xmlns:a="http://schemas.openxmlformats.org/drawingml/2006/main">
            <a:ext uri="{FF2B5EF4-FFF2-40B4-BE49-F238E27FC236}">
              <a16:creationId xmlns:a16="http://schemas.microsoft.com/office/drawing/2014/main" id="{D3D34593-DF87-E6C2-8FCA-D262097B94E9}"/>
            </a:ext>
          </a:extLst>
        </cdr:cNvPr>
        <cdr:cNvSpPr/>
      </cdr:nvSpPr>
      <cdr:spPr>
        <a:xfrm xmlns:a="http://schemas.openxmlformats.org/drawingml/2006/main">
          <a:off x="8843025" y="9404367"/>
          <a:ext cx="381595" cy="361876"/>
        </a:xfrm>
        <a:prstGeom xmlns:a="http://schemas.openxmlformats.org/drawingml/2006/main" prst="rect">
          <a:avLst/>
        </a:prstGeom>
        <a:pattFill xmlns:a="http://schemas.openxmlformats.org/drawingml/2006/main" prst="pct75">
          <a:fgClr>
            <a:schemeClr val="tx1">
              <a:lumMod val="50000"/>
              <a:lumOff val="50000"/>
            </a:schemeClr>
          </a:fgClr>
          <a:bgClr>
            <a:schemeClr val="bg1"/>
          </a:bgClr>
        </a:pattFill>
        <a:ln xmlns:a="http://schemas.openxmlformats.org/drawingml/2006/main">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accent6"/>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0.71599</cdr:x>
      <cdr:y>0.83261</cdr:y>
    </cdr:from>
    <cdr:to>
      <cdr:x>0.74682</cdr:x>
      <cdr:y>0.86128</cdr:y>
    </cdr:to>
    <cdr:sp macro="" textlink="">
      <cdr:nvSpPr>
        <cdr:cNvPr id="15" name="Rectangle 14">
          <a:extLst xmlns:a="http://schemas.openxmlformats.org/drawingml/2006/main">
            <a:ext uri="{FF2B5EF4-FFF2-40B4-BE49-F238E27FC236}">
              <a16:creationId xmlns:a16="http://schemas.microsoft.com/office/drawing/2014/main" id="{D3D34593-DF87-E6C2-8FCA-D262097B94E9}"/>
            </a:ext>
          </a:extLst>
        </cdr:cNvPr>
        <cdr:cNvSpPr/>
      </cdr:nvSpPr>
      <cdr:spPr>
        <a:xfrm xmlns:a="http://schemas.openxmlformats.org/drawingml/2006/main">
          <a:off x="8862075" y="10509278"/>
          <a:ext cx="381595" cy="361876"/>
        </a:xfrm>
        <a:prstGeom xmlns:a="http://schemas.openxmlformats.org/drawingml/2006/main" prst="rect">
          <a:avLst/>
        </a:prstGeom>
        <a:solidFill xmlns:a="http://schemas.openxmlformats.org/drawingml/2006/main">
          <a:srgbClr val="7F7F7F">
            <a:alpha val="8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0.71445</cdr:x>
      <cdr:y>0.87185</cdr:y>
    </cdr:from>
    <cdr:to>
      <cdr:x>0.74528</cdr:x>
      <cdr:y>0.90052</cdr:y>
    </cdr:to>
    <cdr:sp macro="" textlink="">
      <cdr:nvSpPr>
        <cdr:cNvPr id="16" name="Rectangle 15">
          <a:extLst xmlns:a="http://schemas.openxmlformats.org/drawingml/2006/main">
            <a:ext uri="{FF2B5EF4-FFF2-40B4-BE49-F238E27FC236}">
              <a16:creationId xmlns:a16="http://schemas.microsoft.com/office/drawing/2014/main" id="{D3D34593-DF87-E6C2-8FCA-D262097B94E9}"/>
            </a:ext>
          </a:extLst>
        </cdr:cNvPr>
        <cdr:cNvSpPr/>
      </cdr:nvSpPr>
      <cdr:spPr>
        <a:xfrm xmlns:a="http://schemas.openxmlformats.org/drawingml/2006/main">
          <a:off x="11918950" y="11004550"/>
          <a:ext cx="514350" cy="361950"/>
        </a:xfrm>
        <a:prstGeom xmlns:a="http://schemas.openxmlformats.org/drawingml/2006/main" prst="rect">
          <a:avLst/>
        </a:prstGeom>
        <a:solidFill xmlns:a="http://schemas.openxmlformats.org/drawingml/2006/main">
          <a:srgbClr val="7F7F7F">
            <a:alpha val="6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0.71445</cdr:x>
      <cdr:y>0.90958</cdr:y>
    </cdr:from>
    <cdr:to>
      <cdr:x>0.74528</cdr:x>
      <cdr:y>0.93825</cdr:y>
    </cdr:to>
    <cdr:sp macro="" textlink="">
      <cdr:nvSpPr>
        <cdr:cNvPr id="17" name="Rectangle 16">
          <a:extLst xmlns:a="http://schemas.openxmlformats.org/drawingml/2006/main">
            <a:ext uri="{FF2B5EF4-FFF2-40B4-BE49-F238E27FC236}">
              <a16:creationId xmlns:a16="http://schemas.microsoft.com/office/drawing/2014/main" id="{D3D34593-DF87-E6C2-8FCA-D262097B94E9}"/>
            </a:ext>
          </a:extLst>
        </cdr:cNvPr>
        <cdr:cNvSpPr/>
      </cdr:nvSpPr>
      <cdr:spPr>
        <a:xfrm xmlns:a="http://schemas.openxmlformats.org/drawingml/2006/main">
          <a:off x="11918950" y="11480800"/>
          <a:ext cx="514350" cy="361950"/>
        </a:xfrm>
        <a:prstGeom xmlns:a="http://schemas.openxmlformats.org/drawingml/2006/main" prst="rect">
          <a:avLst/>
        </a:prstGeom>
        <a:solidFill xmlns:a="http://schemas.openxmlformats.org/drawingml/2006/main">
          <a:srgbClr val="7F7F7F">
            <a:alpha val="4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userShapes>
</file>

<file path=xl/drawings/drawing2.xml><?xml version="1.0" encoding="utf-8"?>
<c:userShapes xmlns:c="http://schemas.openxmlformats.org/drawingml/2006/chart">
  <cdr:relSizeAnchor xmlns:cdr="http://schemas.openxmlformats.org/drawingml/2006/chartDrawing">
    <cdr:from>
      <cdr:x>0.208</cdr:x>
      <cdr:y>0.40772</cdr:y>
    </cdr:from>
    <cdr:to>
      <cdr:x>0.4973</cdr:x>
      <cdr:y>0.59513</cdr:y>
    </cdr:to>
    <cdr:sp macro="" textlink="">
      <cdr:nvSpPr>
        <cdr:cNvPr id="2" name="TextBox 1">
          <a:extLst xmlns:a="http://schemas.openxmlformats.org/drawingml/2006/main">
            <a:ext uri="{FF2B5EF4-FFF2-40B4-BE49-F238E27FC236}">
              <a16:creationId xmlns:a16="http://schemas.microsoft.com/office/drawing/2014/main" id="{447EFCF4-1672-B871-2F19-65165D513FEE}"/>
            </a:ext>
          </a:extLst>
        </cdr:cNvPr>
        <cdr:cNvSpPr txBox="1"/>
      </cdr:nvSpPr>
      <cdr:spPr>
        <a:xfrm xmlns:a="http://schemas.openxmlformats.org/drawingml/2006/main">
          <a:off x="1974850" y="2489200"/>
          <a:ext cx="2746712" cy="114417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517D1EEE-C428-4454-BA78-57C86B76FA44}" type="TxLink">
            <a:rPr lang="en-US" sz="2000" b="0" i="0" u="none" strike="noStrike" kern="1200">
              <a:solidFill>
                <a:srgbClr val="000000"/>
              </a:solidFill>
              <a:latin typeface="Verdana" panose="020B0604030504040204" pitchFamily="34" charset="0"/>
              <a:ea typeface="Verdana" panose="020B0604030504040204" pitchFamily="34" charset="0"/>
              <a:cs typeface="Calibri"/>
            </a:rPr>
            <a:pPr algn="ctr"/>
            <a:t>Kopā: 4 374,4</a:t>
          </a:fld>
          <a:endParaRPr lang="lv-LV" sz="2000" kern="1200">
            <a:latin typeface="Verdana" panose="020B0604030504040204" pitchFamily="34" charset="0"/>
            <a:ea typeface="Verdana" panose="020B060403050404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0.32163</cdr:x>
      <cdr:y>0.35458</cdr:y>
    </cdr:from>
    <cdr:to>
      <cdr:x>0.59803</cdr:x>
      <cdr:y>0.63958</cdr:y>
    </cdr:to>
    <cdr:sp macro="" textlink="Butiskais_grafiski!$Z$5">
      <cdr:nvSpPr>
        <cdr:cNvPr id="2" name="TextBox 1">
          <a:extLst xmlns:a="http://schemas.openxmlformats.org/drawingml/2006/main">
            <a:ext uri="{FF2B5EF4-FFF2-40B4-BE49-F238E27FC236}">
              <a16:creationId xmlns:a16="http://schemas.microsoft.com/office/drawing/2014/main" id="{ABA76FCF-2FCF-EE89-8CA8-3D89F04C98A1}"/>
            </a:ext>
          </a:extLst>
        </cdr:cNvPr>
        <cdr:cNvSpPr txBox="1"/>
      </cdr:nvSpPr>
      <cdr:spPr>
        <a:xfrm xmlns:a="http://schemas.openxmlformats.org/drawingml/2006/main">
          <a:off x="2992632" y="2441223"/>
          <a:ext cx="2571750" cy="196215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69BA039-22D5-42A1-8DE8-C83DE58BBFCB}" type="TxLink">
            <a:rPr lang="en-US" sz="2000" b="0" i="0" u="none" strike="noStrike" kern="1200">
              <a:solidFill>
                <a:srgbClr val="000000"/>
              </a:solidFill>
              <a:latin typeface="Calibri"/>
              <a:ea typeface="Calibri"/>
              <a:cs typeface="Calibri"/>
            </a:rPr>
            <a:pPr algn="ctr"/>
            <a:t>Kopā: 4 374,4</a:t>
          </a:fld>
          <a:endParaRPr lang="lv-LV" sz="2000" kern="1200">
            <a:latin typeface="Verdana" panose="020B0604030504040204" pitchFamily="34" charset="0"/>
            <a:ea typeface="Verdana" panose="020B060403050404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0.04045</cdr:x>
      <cdr:y>0.51579</cdr:y>
    </cdr:from>
    <cdr:to>
      <cdr:x>0.88989</cdr:x>
      <cdr:y>0.76842</cdr:y>
    </cdr:to>
    <cdr:sp macro="" textlink="">
      <cdr:nvSpPr>
        <cdr:cNvPr id="2" name="TextBox 1">
          <a:extLst xmlns:a="http://schemas.openxmlformats.org/drawingml/2006/main">
            <a:ext uri="{FF2B5EF4-FFF2-40B4-BE49-F238E27FC236}">
              <a16:creationId xmlns:a16="http://schemas.microsoft.com/office/drawing/2014/main" id="{17173D1B-E115-82EA-E30F-4B32AF8B56E0}"/>
            </a:ext>
          </a:extLst>
        </cdr:cNvPr>
        <cdr:cNvSpPr txBox="1"/>
      </cdr:nvSpPr>
      <cdr:spPr>
        <a:xfrm xmlns:a="http://schemas.openxmlformats.org/drawingml/2006/main">
          <a:off x="171450" y="1866900"/>
          <a:ext cx="3600449"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0.17528</cdr:x>
      <cdr:y>0.59474</cdr:y>
    </cdr:from>
    <cdr:to>
      <cdr:x>0.78427</cdr:x>
      <cdr:y>0.74474</cdr:y>
    </cdr:to>
    <cdr:sp macro="" textlink="">
      <cdr:nvSpPr>
        <cdr:cNvPr id="3" name="TextBox 2">
          <a:extLst xmlns:a="http://schemas.openxmlformats.org/drawingml/2006/main">
            <a:ext uri="{FF2B5EF4-FFF2-40B4-BE49-F238E27FC236}">
              <a16:creationId xmlns:a16="http://schemas.microsoft.com/office/drawing/2014/main" id="{8494085A-E035-5917-AE1B-B97C4E6CA3FF}"/>
            </a:ext>
          </a:extLst>
        </cdr:cNvPr>
        <cdr:cNvSpPr txBox="1"/>
      </cdr:nvSpPr>
      <cdr:spPr>
        <a:xfrm xmlns:a="http://schemas.openxmlformats.org/drawingml/2006/main">
          <a:off x="742950" y="2152651"/>
          <a:ext cx="258127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0.08764</cdr:x>
      <cdr:y>0.58158</cdr:y>
    </cdr:from>
    <cdr:to>
      <cdr:x>0.69213</cdr:x>
      <cdr:y>0.72368</cdr:y>
    </cdr:to>
    <cdr:sp macro="" textlink="">
      <cdr:nvSpPr>
        <cdr:cNvPr id="4" name="TextBox 3">
          <a:extLst xmlns:a="http://schemas.openxmlformats.org/drawingml/2006/main">
            <a:ext uri="{FF2B5EF4-FFF2-40B4-BE49-F238E27FC236}">
              <a16:creationId xmlns:a16="http://schemas.microsoft.com/office/drawing/2014/main" id="{E2642E01-D930-2FF5-E6F0-5F23FD0D5FA6}"/>
            </a:ext>
          </a:extLst>
        </cdr:cNvPr>
        <cdr:cNvSpPr txBox="1"/>
      </cdr:nvSpPr>
      <cdr:spPr>
        <a:xfrm xmlns:a="http://schemas.openxmlformats.org/drawingml/2006/main">
          <a:off x="371475" y="2105026"/>
          <a:ext cx="2562225"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0.17978</cdr:x>
      <cdr:y>0.6</cdr:y>
    </cdr:from>
    <cdr:to>
      <cdr:x>0.92584</cdr:x>
      <cdr:y>0.8</cdr:y>
    </cdr:to>
    <cdr:sp macro="" textlink="">
      <cdr:nvSpPr>
        <cdr:cNvPr id="5" name="TextBox 4">
          <a:extLst xmlns:a="http://schemas.openxmlformats.org/drawingml/2006/main">
            <a:ext uri="{FF2B5EF4-FFF2-40B4-BE49-F238E27FC236}">
              <a16:creationId xmlns:a16="http://schemas.microsoft.com/office/drawing/2014/main" id="{A65AE3E0-B947-1EEC-516C-D75BB5F46063}"/>
            </a:ext>
          </a:extLst>
        </cdr:cNvPr>
        <cdr:cNvSpPr txBox="1"/>
      </cdr:nvSpPr>
      <cdr:spPr>
        <a:xfrm xmlns:a="http://schemas.openxmlformats.org/drawingml/2006/main">
          <a:off x="762000" y="2171701"/>
          <a:ext cx="3162300" cy="723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0.07205</cdr:x>
      <cdr:y>0.52056</cdr:y>
    </cdr:from>
    <cdr:to>
      <cdr:x>0.9847</cdr:x>
      <cdr:y>0.67781</cdr:y>
    </cdr:to>
    <cdr:sp macro="" textlink="Butiskais_grafiski!$Y$31">
      <cdr:nvSpPr>
        <cdr:cNvPr id="6" name="TextBox 5">
          <a:extLst xmlns:a="http://schemas.openxmlformats.org/drawingml/2006/main">
            <a:ext uri="{FF2B5EF4-FFF2-40B4-BE49-F238E27FC236}">
              <a16:creationId xmlns:a16="http://schemas.microsoft.com/office/drawing/2014/main" id="{F6AFE475-48ED-8221-9C82-BE2F710C7305}"/>
            </a:ext>
          </a:extLst>
        </cdr:cNvPr>
        <cdr:cNvSpPr txBox="1"/>
      </cdr:nvSpPr>
      <cdr:spPr>
        <a:xfrm xmlns:a="http://schemas.openxmlformats.org/drawingml/2006/main">
          <a:off x="264584" y="1880929"/>
          <a:ext cx="3351388" cy="56818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2FA70B17-DBC7-4F00-8A5D-15C984785CEB}" type="TxLink">
            <a:rPr lang="en-US" sz="1400" b="0" i="0" u="none" strike="noStrike" kern="1200">
              <a:solidFill>
                <a:srgbClr val="000000"/>
              </a:solidFill>
              <a:latin typeface="Verdana" panose="020B0604030504040204" pitchFamily="34" charset="0"/>
              <a:ea typeface="Verdana" panose="020B0604030504040204" pitchFamily="34" charset="0"/>
              <a:cs typeface="Calibri"/>
            </a:rPr>
            <a:pPr algn="ctr"/>
            <a:t>Noslēgti līgumi 3 582,6  (+322,9)</a:t>
          </a:fld>
          <a:endParaRPr lang="lv-LV" sz="1400" kern="1200">
            <a:latin typeface="Verdana" panose="020B0604030504040204" pitchFamily="34" charset="0"/>
            <a:ea typeface="Verdana" panose="020B060403050404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0.04045</cdr:x>
      <cdr:y>0.51579</cdr:y>
    </cdr:from>
    <cdr:to>
      <cdr:x>0.88989</cdr:x>
      <cdr:y>0.76842</cdr:y>
    </cdr:to>
    <cdr:sp macro="" textlink="">
      <cdr:nvSpPr>
        <cdr:cNvPr id="2" name="TextBox 1">
          <a:extLst xmlns:a="http://schemas.openxmlformats.org/drawingml/2006/main">
            <a:ext uri="{FF2B5EF4-FFF2-40B4-BE49-F238E27FC236}">
              <a16:creationId xmlns:a16="http://schemas.microsoft.com/office/drawing/2014/main" id="{17173D1B-E115-82EA-E30F-4B32AF8B56E0}"/>
            </a:ext>
          </a:extLst>
        </cdr:cNvPr>
        <cdr:cNvSpPr txBox="1"/>
      </cdr:nvSpPr>
      <cdr:spPr>
        <a:xfrm xmlns:a="http://schemas.openxmlformats.org/drawingml/2006/main">
          <a:off x="171450" y="1866900"/>
          <a:ext cx="3600449"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0.17528</cdr:x>
      <cdr:y>0.59474</cdr:y>
    </cdr:from>
    <cdr:to>
      <cdr:x>0.78427</cdr:x>
      <cdr:y>0.74474</cdr:y>
    </cdr:to>
    <cdr:sp macro="" textlink="">
      <cdr:nvSpPr>
        <cdr:cNvPr id="3" name="TextBox 2">
          <a:extLst xmlns:a="http://schemas.openxmlformats.org/drawingml/2006/main">
            <a:ext uri="{FF2B5EF4-FFF2-40B4-BE49-F238E27FC236}">
              <a16:creationId xmlns:a16="http://schemas.microsoft.com/office/drawing/2014/main" id="{8494085A-E035-5917-AE1B-B97C4E6CA3FF}"/>
            </a:ext>
          </a:extLst>
        </cdr:cNvPr>
        <cdr:cNvSpPr txBox="1"/>
      </cdr:nvSpPr>
      <cdr:spPr>
        <a:xfrm xmlns:a="http://schemas.openxmlformats.org/drawingml/2006/main">
          <a:off x="742950" y="2152651"/>
          <a:ext cx="258127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0.14381</cdr:x>
      <cdr:y>0.51295</cdr:y>
    </cdr:from>
    <cdr:to>
      <cdr:x>1</cdr:x>
      <cdr:y>0.71</cdr:y>
    </cdr:to>
    <cdr:sp macro="" textlink="Butiskais_grafiski!$Y$34">
      <cdr:nvSpPr>
        <cdr:cNvPr id="6" name="TextBox 5">
          <a:extLst xmlns:a="http://schemas.openxmlformats.org/drawingml/2006/main">
            <a:ext uri="{FF2B5EF4-FFF2-40B4-BE49-F238E27FC236}">
              <a16:creationId xmlns:a16="http://schemas.microsoft.com/office/drawing/2014/main" id="{F6AFE475-48ED-8221-9C82-BE2F710C7305}"/>
            </a:ext>
          </a:extLst>
        </cdr:cNvPr>
        <cdr:cNvSpPr txBox="1"/>
      </cdr:nvSpPr>
      <cdr:spPr>
        <a:xfrm xmlns:a="http://schemas.openxmlformats.org/drawingml/2006/main">
          <a:off x="806654" y="1809574"/>
          <a:ext cx="4802513" cy="69514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41ED1861-E233-427C-B302-57C6695FA971}"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algn="ctr"/>
            <a:t>Maksājumi finansējuma saņēmējiem 
1 031,8  (+65,2 )</a:t>
          </a:fld>
          <a:endParaRPr lang="lv-LV" sz="1400" kern="1200">
            <a:solidFill>
              <a:sysClr val="windowText" lastClr="000000"/>
            </a:solidFill>
            <a:latin typeface="Verdana" panose="020B0604030504040204" pitchFamily="34" charset="0"/>
            <a:ea typeface="Verdana" panose="020B060403050404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0.17697</cdr:x>
      <cdr:y>0.36145</cdr:y>
    </cdr:from>
    <cdr:to>
      <cdr:x>0.58989</cdr:x>
      <cdr:y>0.68675</cdr:y>
    </cdr:to>
    <cdr:sp macro="" textlink="Butiskais_grafiski!$Z$5">
      <cdr:nvSpPr>
        <cdr:cNvPr id="2" name="TextBox 1">
          <a:extLst xmlns:a="http://schemas.openxmlformats.org/drawingml/2006/main">
            <a:ext uri="{FF2B5EF4-FFF2-40B4-BE49-F238E27FC236}">
              <a16:creationId xmlns:a16="http://schemas.microsoft.com/office/drawing/2014/main" id="{8835129B-1B4E-477F-BF20-17BC867F831F}"/>
            </a:ext>
          </a:extLst>
        </cdr:cNvPr>
        <cdr:cNvSpPr txBox="1"/>
      </cdr:nvSpPr>
      <cdr:spPr>
        <a:xfrm xmlns:a="http://schemas.openxmlformats.org/drawingml/2006/main">
          <a:off x="857250" y="1224640"/>
          <a:ext cx="2000250" cy="1102179"/>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517D1EEE-C428-4454-BA78-57C86B76FA44}" type="TxLink">
            <a:rPr lang="en-US" sz="2000" b="0" i="0" u="none" strike="noStrike" kern="1200">
              <a:solidFill>
                <a:srgbClr val="000000"/>
              </a:solidFill>
              <a:latin typeface="Verdana" panose="020B0604030504040204" pitchFamily="34" charset="0"/>
              <a:ea typeface="Verdana" panose="020B0604030504040204" pitchFamily="34" charset="0"/>
              <a:cs typeface="Calibri"/>
            </a:rPr>
            <a:pPr algn="ctr"/>
            <a:t>Kopā: 4 374,4</a:t>
          </a:fld>
          <a:endParaRPr lang="lv-LV" sz="2000" kern="1200">
            <a:latin typeface="Verdana" panose="020B0604030504040204" pitchFamily="34" charset="0"/>
            <a:ea typeface="Verdana" panose="020B060403050404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0.04045</cdr:x>
      <cdr:y>0.51579</cdr:y>
    </cdr:from>
    <cdr:to>
      <cdr:x>0.88989</cdr:x>
      <cdr:y>0.76842</cdr:y>
    </cdr:to>
    <cdr:sp macro="" textlink="">
      <cdr:nvSpPr>
        <cdr:cNvPr id="2" name="TextBox 1">
          <a:extLst xmlns:a="http://schemas.openxmlformats.org/drawingml/2006/main">
            <a:ext uri="{FF2B5EF4-FFF2-40B4-BE49-F238E27FC236}">
              <a16:creationId xmlns:a16="http://schemas.microsoft.com/office/drawing/2014/main" id="{17173D1B-E115-82EA-E30F-4B32AF8B56E0}"/>
            </a:ext>
          </a:extLst>
        </cdr:cNvPr>
        <cdr:cNvSpPr txBox="1"/>
      </cdr:nvSpPr>
      <cdr:spPr>
        <a:xfrm xmlns:a="http://schemas.openxmlformats.org/drawingml/2006/main">
          <a:off x="171450" y="1866900"/>
          <a:ext cx="3600449"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0.17528</cdr:x>
      <cdr:y>0.59474</cdr:y>
    </cdr:from>
    <cdr:to>
      <cdr:x>0.78427</cdr:x>
      <cdr:y>0.74474</cdr:y>
    </cdr:to>
    <cdr:sp macro="" textlink="">
      <cdr:nvSpPr>
        <cdr:cNvPr id="3" name="TextBox 2">
          <a:extLst xmlns:a="http://schemas.openxmlformats.org/drawingml/2006/main">
            <a:ext uri="{FF2B5EF4-FFF2-40B4-BE49-F238E27FC236}">
              <a16:creationId xmlns:a16="http://schemas.microsoft.com/office/drawing/2014/main" id="{8494085A-E035-5917-AE1B-B97C4E6CA3FF}"/>
            </a:ext>
          </a:extLst>
        </cdr:cNvPr>
        <cdr:cNvSpPr txBox="1"/>
      </cdr:nvSpPr>
      <cdr:spPr>
        <a:xfrm xmlns:a="http://schemas.openxmlformats.org/drawingml/2006/main">
          <a:off x="742950" y="2152651"/>
          <a:ext cx="258127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0.08764</cdr:x>
      <cdr:y>0.58158</cdr:y>
    </cdr:from>
    <cdr:to>
      <cdr:x>0.69213</cdr:x>
      <cdr:y>0.72368</cdr:y>
    </cdr:to>
    <cdr:sp macro="" textlink="">
      <cdr:nvSpPr>
        <cdr:cNvPr id="4" name="TextBox 3">
          <a:extLst xmlns:a="http://schemas.openxmlformats.org/drawingml/2006/main">
            <a:ext uri="{FF2B5EF4-FFF2-40B4-BE49-F238E27FC236}">
              <a16:creationId xmlns:a16="http://schemas.microsoft.com/office/drawing/2014/main" id="{E2642E01-D930-2FF5-E6F0-5F23FD0D5FA6}"/>
            </a:ext>
          </a:extLst>
        </cdr:cNvPr>
        <cdr:cNvSpPr txBox="1"/>
      </cdr:nvSpPr>
      <cdr:spPr>
        <a:xfrm xmlns:a="http://schemas.openxmlformats.org/drawingml/2006/main">
          <a:off x="371475" y="2105026"/>
          <a:ext cx="2562225"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0.14381</cdr:x>
      <cdr:y>0.51295</cdr:y>
    </cdr:from>
    <cdr:to>
      <cdr:x>1</cdr:x>
      <cdr:y>0.6419</cdr:y>
    </cdr:to>
    <cdr:sp macro="" textlink="Butiskais_grafiski!$AC$34">
      <cdr:nvSpPr>
        <cdr:cNvPr id="6" name="TextBox 5">
          <a:extLst xmlns:a="http://schemas.openxmlformats.org/drawingml/2006/main">
            <a:ext uri="{FF2B5EF4-FFF2-40B4-BE49-F238E27FC236}">
              <a16:creationId xmlns:a16="http://schemas.microsoft.com/office/drawing/2014/main" id="{F6AFE475-48ED-8221-9C82-BE2F710C7305}"/>
            </a:ext>
          </a:extLst>
        </cdr:cNvPr>
        <cdr:cNvSpPr txBox="1"/>
      </cdr:nvSpPr>
      <cdr:spPr>
        <a:xfrm xmlns:a="http://schemas.openxmlformats.org/drawingml/2006/main">
          <a:off x="889538" y="1997653"/>
          <a:ext cx="5295970" cy="50218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83E868EB-457E-4A1C-801F-BB253AB69E22}" type="TxLink">
            <a:rPr lang="en-US" sz="1400" b="0" i="0" u="none" strike="noStrike" kern="1200">
              <a:solidFill>
                <a:srgbClr val="000000"/>
              </a:solidFill>
              <a:latin typeface="Verdana" panose="020B0604030504040204" pitchFamily="34" charset="0"/>
              <a:ea typeface="Verdana" panose="020B0604030504040204" pitchFamily="34" charset="0"/>
              <a:cs typeface="Calibri"/>
            </a:rPr>
            <a:pPr algn="ctr"/>
            <a:t>No EK saņemti maksājumi 1 465,9</a:t>
          </a:fld>
          <a:endParaRPr lang="lv-LV" sz="1400" kern="1200">
            <a:solidFill>
              <a:sysClr val="windowText" lastClr="000000"/>
            </a:solidFill>
            <a:latin typeface="Verdana" panose="020B0604030504040204" pitchFamily="34" charset="0"/>
            <a:ea typeface="Verdana" panose="020B060403050404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24</xdr:row>
      <xdr:rowOff>161582</xdr:rowOff>
    </xdr:from>
    <xdr:to>
      <xdr:col>7</xdr:col>
      <xdr:colOff>680357</xdr:colOff>
      <xdr:row>64</xdr:row>
      <xdr:rowOff>149680</xdr:rowOff>
    </xdr:to>
    <xdr:graphicFrame macro="">
      <xdr:nvGraphicFramePr>
        <xdr:cNvPr id="6" name="Chart 5">
          <a:extLst>
            <a:ext uri="{FF2B5EF4-FFF2-40B4-BE49-F238E27FC236}">
              <a16:creationId xmlns:a16="http://schemas.microsoft.com/office/drawing/2014/main" id="{50D91597-DD90-C30E-9C12-7B620D441A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595312</xdr:colOff>
      <xdr:row>24</xdr:row>
      <xdr:rowOff>35718</xdr:rowOff>
    </xdr:from>
    <xdr:to>
      <xdr:col>13</xdr:col>
      <xdr:colOff>1643062</xdr:colOff>
      <xdr:row>64</xdr:row>
      <xdr:rowOff>27215</xdr:rowOff>
    </xdr:to>
    <xdr:graphicFrame macro="">
      <xdr:nvGraphicFramePr>
        <xdr:cNvPr id="9" name="Chart 8">
          <a:extLst>
            <a:ext uri="{FF2B5EF4-FFF2-40B4-BE49-F238E27FC236}">
              <a16:creationId xmlns:a16="http://schemas.microsoft.com/office/drawing/2014/main" id="{E05089A6-6B58-4F66-8A84-B5744FF48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0.77035</cdr:x>
      <cdr:y>0.75969</cdr:y>
    </cdr:from>
    <cdr:to>
      <cdr:x>0.98952</cdr:x>
      <cdr:y>0.8031</cdr:y>
    </cdr:to>
    <cdr:sp macro="" textlink="">
      <cdr:nvSpPr>
        <cdr:cNvPr id="2" name="TextBox 1">
          <a:extLst xmlns:a="http://schemas.openxmlformats.org/drawingml/2006/main">
            <a:ext uri="{FF2B5EF4-FFF2-40B4-BE49-F238E27FC236}">
              <a16:creationId xmlns:a16="http://schemas.microsoft.com/office/drawing/2014/main" id="{EC9FD493-DCEF-1D27-E2C4-394894D2B4F7}"/>
            </a:ext>
          </a:extLst>
        </cdr:cNvPr>
        <cdr:cNvSpPr txBox="1"/>
      </cdr:nvSpPr>
      <cdr:spPr>
        <a:xfrm xmlns:a="http://schemas.openxmlformats.org/drawingml/2006/main">
          <a:off x="11382374" y="5834065"/>
          <a:ext cx="323850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0.70928</cdr:x>
      <cdr:y>0.93482</cdr:y>
    </cdr:from>
    <cdr:to>
      <cdr:x>0.98229</cdr:x>
      <cdr:y>0.98007</cdr:y>
    </cdr:to>
    <cdr:sp macro="" textlink="'Politikas mērķi'!$V$26">
      <cdr:nvSpPr>
        <cdr:cNvPr id="4" name="TextBox 3">
          <a:extLst xmlns:a="http://schemas.openxmlformats.org/drawingml/2006/main">
            <a:ext uri="{FF2B5EF4-FFF2-40B4-BE49-F238E27FC236}">
              <a16:creationId xmlns:a16="http://schemas.microsoft.com/office/drawing/2014/main" id="{2D6AE44F-368C-E5C0-F7D5-7FD5F8471800}"/>
            </a:ext>
          </a:extLst>
        </cdr:cNvPr>
        <cdr:cNvSpPr txBox="1"/>
      </cdr:nvSpPr>
      <cdr:spPr>
        <a:xfrm xmlns:a="http://schemas.openxmlformats.org/drawingml/2006/main">
          <a:off x="9266463" y="7178959"/>
          <a:ext cx="3566771" cy="3474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fld id="{8D143425-E34D-4DA2-928A-C7C0A3FF9167}"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marL="0" indent="0"/>
            <a:t>Maksājumi 1 031,8 (24%)</a:t>
          </a:fld>
          <a:endParaRPr lang="lv-LV" sz="1400" b="0" i="0" u="none" strike="noStrike" kern="1200">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0.71137</cdr:x>
      <cdr:y>0.89147</cdr:y>
    </cdr:from>
    <cdr:to>
      <cdr:x>0.97696</cdr:x>
      <cdr:y>0.93754</cdr:y>
    </cdr:to>
    <cdr:sp macro="" textlink="'Politikas mērķi'!$W$26">
      <cdr:nvSpPr>
        <cdr:cNvPr id="5" name="TextBox 4">
          <a:extLst xmlns:a="http://schemas.openxmlformats.org/drawingml/2006/main">
            <a:ext uri="{FF2B5EF4-FFF2-40B4-BE49-F238E27FC236}">
              <a16:creationId xmlns:a16="http://schemas.microsoft.com/office/drawing/2014/main" id="{3C9AB6E4-BC61-1BBE-CD22-C2C1D63AC5DA}"/>
            </a:ext>
          </a:extLst>
        </cdr:cNvPr>
        <cdr:cNvSpPr txBox="1"/>
      </cdr:nvSpPr>
      <cdr:spPr>
        <a:xfrm xmlns:a="http://schemas.openxmlformats.org/drawingml/2006/main">
          <a:off x="9293677" y="6846098"/>
          <a:ext cx="3469822" cy="3537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fld id="{D7A96F1A-8EE3-4CC8-B507-E2C5E56AD19F}"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marL="0" indent="0"/>
            <a:t>Līgums 3 582,6 (82%)</a:t>
          </a:fld>
          <a:endParaRPr lang="lv-LV" sz="1400" b="0" i="0" u="none" strike="noStrike" kern="1200">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0.71761</cdr:x>
      <cdr:y>0.84718</cdr:y>
    </cdr:from>
    <cdr:to>
      <cdr:x>0.96446</cdr:x>
      <cdr:y>0.89147</cdr:y>
    </cdr:to>
    <cdr:sp macro="" textlink="">
      <cdr:nvSpPr>
        <cdr:cNvPr id="6" name="TextBox 5">
          <a:extLst xmlns:a="http://schemas.openxmlformats.org/drawingml/2006/main">
            <a:ext uri="{FF2B5EF4-FFF2-40B4-BE49-F238E27FC236}">
              <a16:creationId xmlns:a16="http://schemas.microsoft.com/office/drawing/2014/main" id="{B032C7AB-B335-9AD6-42D7-6EABDBE133EC}"/>
            </a:ext>
          </a:extLst>
        </cdr:cNvPr>
        <cdr:cNvSpPr txBox="1"/>
      </cdr:nvSpPr>
      <cdr:spPr>
        <a:xfrm xmlns:a="http://schemas.openxmlformats.org/drawingml/2006/main">
          <a:off x="9375321" y="6505919"/>
          <a:ext cx="3224893" cy="3401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0.71345</cdr:x>
      <cdr:y>0.8454</cdr:y>
    </cdr:from>
    <cdr:to>
      <cdr:x>0.96342</cdr:x>
      <cdr:y>0.8897</cdr:y>
    </cdr:to>
    <cdr:sp macro="" textlink="">
      <cdr:nvSpPr>
        <cdr:cNvPr id="7" name="TextBox 6">
          <a:extLst xmlns:a="http://schemas.openxmlformats.org/drawingml/2006/main">
            <a:ext uri="{FF2B5EF4-FFF2-40B4-BE49-F238E27FC236}">
              <a16:creationId xmlns:a16="http://schemas.microsoft.com/office/drawing/2014/main" id="{724591AA-5E07-924B-ACC7-9C540B050855}"/>
            </a:ext>
          </a:extLst>
        </cdr:cNvPr>
        <cdr:cNvSpPr txBox="1"/>
      </cdr:nvSpPr>
      <cdr:spPr>
        <a:xfrm xmlns:a="http://schemas.openxmlformats.org/drawingml/2006/main">
          <a:off x="9320892" y="6492312"/>
          <a:ext cx="3265715" cy="3401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0.71241</cdr:x>
      <cdr:y>0.86312</cdr:y>
    </cdr:from>
    <cdr:to>
      <cdr:x>0.96029</cdr:x>
      <cdr:y>0.90919</cdr:y>
    </cdr:to>
    <cdr:sp macro="" textlink="'Politikas mērķi'!$AA$26">
      <cdr:nvSpPr>
        <cdr:cNvPr id="8" name="TextBox 7">
          <a:extLst xmlns:a="http://schemas.openxmlformats.org/drawingml/2006/main">
            <a:ext uri="{FF2B5EF4-FFF2-40B4-BE49-F238E27FC236}">
              <a16:creationId xmlns:a16="http://schemas.microsoft.com/office/drawing/2014/main" id="{6059CD2F-68E8-A736-18B6-D8C1A9997693}"/>
            </a:ext>
          </a:extLst>
        </cdr:cNvPr>
        <cdr:cNvSpPr txBox="1"/>
      </cdr:nvSpPr>
      <cdr:spPr>
        <a:xfrm xmlns:a="http://schemas.openxmlformats.org/drawingml/2006/main">
          <a:off x="9307285" y="6628383"/>
          <a:ext cx="3238500" cy="3537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010A261-B60E-489C-B0C1-A44CD5BE574A}" type="TxLink">
            <a:rPr lang="en-US" sz="1100" b="0" i="0" u="none" strike="noStrike" kern="1200">
              <a:solidFill>
                <a:srgbClr val="808080"/>
              </a:solidFill>
              <a:latin typeface="Calibri"/>
              <a:ea typeface="Calibri"/>
              <a:cs typeface="Calibri"/>
            </a:rPr>
            <a:pPr/>
            <a:t> </a:t>
          </a:fld>
          <a:endParaRPr lang="lv-LV" sz="1100" kern="1200"/>
        </a:p>
      </cdr:txBody>
    </cdr:sp>
  </cdr:relSizeAnchor>
  <cdr:relSizeAnchor xmlns:cdr="http://schemas.openxmlformats.org/drawingml/2006/chartDrawing">
    <cdr:from>
      <cdr:x>0.71345</cdr:x>
      <cdr:y>0.84895</cdr:y>
    </cdr:from>
    <cdr:to>
      <cdr:x>0.9681</cdr:x>
      <cdr:y>0.90565</cdr:y>
    </cdr:to>
    <cdr:sp macro="" textlink="'Politikas mērķi'!$X$26">
      <cdr:nvSpPr>
        <cdr:cNvPr id="9" name="TextBox 8">
          <a:extLst xmlns:a="http://schemas.openxmlformats.org/drawingml/2006/main">
            <a:ext uri="{FF2B5EF4-FFF2-40B4-BE49-F238E27FC236}">
              <a16:creationId xmlns:a16="http://schemas.microsoft.com/office/drawing/2014/main" id="{302D3BC1-EC84-2B8D-2544-B6BECD74D6D9}"/>
            </a:ext>
          </a:extLst>
        </cdr:cNvPr>
        <cdr:cNvSpPr txBox="1"/>
      </cdr:nvSpPr>
      <cdr:spPr>
        <a:xfrm xmlns:a="http://schemas.openxmlformats.org/drawingml/2006/main">
          <a:off x="9777184" y="6632171"/>
          <a:ext cx="3489779" cy="4429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fld id="{540FFEB7-6546-48CC-8DBB-FDBCAA90765C}"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marL="0" indent="0"/>
            <a:t>Iesniegti 4 240,0 (97%)</a:t>
          </a:fld>
          <a:endParaRPr lang="lv-LV" sz="1400" b="0" i="0" u="none" strike="noStrike" kern="1200">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0.71657</cdr:x>
      <cdr:y>0.81883</cdr:y>
    </cdr:from>
    <cdr:to>
      <cdr:x>0.94259</cdr:x>
      <cdr:y>0.87021</cdr:y>
    </cdr:to>
    <cdr:sp macro="" textlink="">
      <cdr:nvSpPr>
        <cdr:cNvPr id="10" name="TextBox 9">
          <a:extLst xmlns:a="http://schemas.openxmlformats.org/drawingml/2006/main">
            <a:ext uri="{FF2B5EF4-FFF2-40B4-BE49-F238E27FC236}">
              <a16:creationId xmlns:a16="http://schemas.microsoft.com/office/drawing/2014/main" id="{04084A97-AFA9-4DAB-F4FD-C6718F01E998}"/>
            </a:ext>
          </a:extLst>
        </cdr:cNvPr>
        <cdr:cNvSpPr txBox="1"/>
      </cdr:nvSpPr>
      <cdr:spPr>
        <a:xfrm xmlns:a="http://schemas.openxmlformats.org/drawingml/2006/main">
          <a:off x="9361714" y="6288205"/>
          <a:ext cx="2952750" cy="3946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0.71364</cdr:x>
      <cdr:y>0.73765</cdr:y>
    </cdr:from>
    <cdr:to>
      <cdr:x>0.96882</cdr:x>
      <cdr:y>0.79435</cdr:y>
    </cdr:to>
    <cdr:sp macro="" textlink="'Politikas mērķi'!$Y$26">
      <cdr:nvSpPr>
        <cdr:cNvPr id="11" name="TextBox 10">
          <a:extLst xmlns:a="http://schemas.openxmlformats.org/drawingml/2006/main">
            <a:ext uri="{FF2B5EF4-FFF2-40B4-BE49-F238E27FC236}">
              <a16:creationId xmlns:a16="http://schemas.microsoft.com/office/drawing/2014/main" id="{BDAFCD17-C2C2-DED3-DA7C-3D69D94BE0D3}"/>
            </a:ext>
          </a:extLst>
        </cdr:cNvPr>
        <cdr:cNvSpPr txBox="1"/>
      </cdr:nvSpPr>
      <cdr:spPr>
        <a:xfrm xmlns:a="http://schemas.openxmlformats.org/drawingml/2006/main">
          <a:off x="9933909" y="5762676"/>
          <a:ext cx="3552133" cy="4429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fld id="{05032F15-B318-4C7A-AD5F-0B9B11D0A3C7}"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marL="0" indent="0"/>
            <a:t>Piešķīrums 4 374,4</a:t>
          </a:fld>
          <a:endParaRPr lang="lv-LV" sz="1400" b="0" i="0" u="none" strike="noStrike" kern="1200">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0.7126</cdr:x>
      <cdr:y>0.77678</cdr:y>
    </cdr:from>
    <cdr:to>
      <cdr:x>0.99413</cdr:x>
      <cdr:y>0.87459</cdr:y>
    </cdr:to>
    <cdr:sp macro="" textlink="'Politikas mērķi'!$AD$26">
      <cdr:nvSpPr>
        <cdr:cNvPr id="12" name="TextBox 11">
          <a:extLst xmlns:a="http://schemas.openxmlformats.org/drawingml/2006/main">
            <a:ext uri="{FF2B5EF4-FFF2-40B4-BE49-F238E27FC236}">
              <a16:creationId xmlns:a16="http://schemas.microsoft.com/office/drawing/2014/main" id="{7740D335-35CA-E8C3-7470-9EBB6FA7EEF6}"/>
            </a:ext>
          </a:extLst>
        </cdr:cNvPr>
        <cdr:cNvSpPr txBox="1"/>
      </cdr:nvSpPr>
      <cdr:spPr>
        <a:xfrm xmlns:a="http://schemas.openxmlformats.org/drawingml/2006/main">
          <a:off x="9919434" y="6068375"/>
          <a:ext cx="3919031" cy="764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fld id="{76B7ED46-C5F7-4BC6-B7A0-3E7E60C37910}" type="TxLink">
            <a:rPr lang="en-US" sz="1400" b="0" i="0" u="none" strike="noStrike" kern="1200">
              <a:solidFill>
                <a:sysClr val="windowText" lastClr="000000"/>
              </a:solidFill>
              <a:latin typeface="Verdana" panose="020B0604030504040204" pitchFamily="34" charset="0"/>
              <a:ea typeface="Verdana" panose="020B0604030504040204" pitchFamily="34" charset="0"/>
              <a:cs typeface="Calibri"/>
            </a:rPr>
            <a:pPr marL="0" indent="0"/>
            <a:t>Valsts budžets, kas pārsniedz pasākuma ES fondu finansējumu 155,8 </a:t>
          </a:fld>
          <a:endParaRPr lang="lv-LV" sz="1400" b="0" i="0" u="none" strike="noStrike" kern="1200">
            <a:solidFill>
              <a:sysClr val="windowText" lastClr="000000"/>
            </a:solidFill>
            <a:latin typeface="Verdana" panose="020B0604030504040204" pitchFamily="34" charset="0"/>
            <a:ea typeface="Verdana" panose="020B0604030504040204" pitchFamily="34" charset="0"/>
            <a:cs typeface="Calibri"/>
          </a:endParaRPr>
        </a:p>
      </cdr:txBody>
    </cdr:sp>
  </cdr:relSizeAnchor>
  <cdr:relSizeAnchor xmlns:cdr="http://schemas.openxmlformats.org/drawingml/2006/chartDrawing">
    <cdr:from>
      <cdr:x>0.68429</cdr:x>
      <cdr:y>0.74999</cdr:y>
    </cdr:from>
    <cdr:to>
      <cdr:x>0.71241</cdr:x>
      <cdr:y>0.77125</cdr:y>
    </cdr:to>
    <cdr:sp macro="" textlink="">
      <cdr:nvSpPr>
        <cdr:cNvPr id="13" name="Rectangle 12">
          <a:extLst xmlns:a="http://schemas.openxmlformats.org/drawingml/2006/main">
            <a:ext uri="{FF2B5EF4-FFF2-40B4-BE49-F238E27FC236}">
              <a16:creationId xmlns:a16="http://schemas.microsoft.com/office/drawing/2014/main" id="{5351EBC0-2F26-C610-B1BF-297BBE03B96C}"/>
            </a:ext>
          </a:extLst>
        </cdr:cNvPr>
        <cdr:cNvSpPr/>
      </cdr:nvSpPr>
      <cdr:spPr>
        <a:xfrm xmlns:a="http://schemas.openxmlformats.org/drawingml/2006/main">
          <a:off x="9525390" y="5859107"/>
          <a:ext cx="391433" cy="166087"/>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v-LV" kern="1200"/>
        </a:p>
      </cdr:txBody>
    </cdr:sp>
  </cdr:relSizeAnchor>
  <cdr:relSizeAnchor xmlns:cdr="http://schemas.openxmlformats.org/drawingml/2006/chartDrawing">
    <cdr:from>
      <cdr:x>0.68407</cdr:x>
      <cdr:y>0.7884</cdr:y>
    </cdr:from>
    <cdr:to>
      <cdr:x>0.71219</cdr:x>
      <cdr:y>0.80967</cdr:y>
    </cdr:to>
    <cdr:sp macro="" textlink="">
      <cdr:nvSpPr>
        <cdr:cNvPr id="14" name="Rectangle 13">
          <a:extLst xmlns:a="http://schemas.openxmlformats.org/drawingml/2006/main">
            <a:ext uri="{FF2B5EF4-FFF2-40B4-BE49-F238E27FC236}">
              <a16:creationId xmlns:a16="http://schemas.microsoft.com/office/drawing/2014/main" id="{39155427-13D0-C816-EC0B-D61E00AA5170}"/>
            </a:ext>
          </a:extLst>
        </cdr:cNvPr>
        <cdr:cNvSpPr/>
      </cdr:nvSpPr>
      <cdr:spPr>
        <a:xfrm xmlns:a="http://schemas.openxmlformats.org/drawingml/2006/main">
          <a:off x="9522362" y="6159118"/>
          <a:ext cx="391434" cy="166165"/>
        </a:xfrm>
        <a:prstGeom xmlns:a="http://schemas.openxmlformats.org/drawingml/2006/main" prst="rect">
          <a:avLst/>
        </a:prstGeom>
        <a:pattFill xmlns:a="http://schemas.openxmlformats.org/drawingml/2006/main" prst="pct75">
          <a:fgClr>
            <a:schemeClr val="tx1">
              <a:lumMod val="50000"/>
              <a:lumOff val="50000"/>
            </a:schemeClr>
          </a:fgClr>
          <a:bgClr>
            <a:schemeClr val="bg1"/>
          </a:bgClr>
        </a:patt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0.68401</cdr:x>
      <cdr:y>0.85534</cdr:y>
    </cdr:from>
    <cdr:to>
      <cdr:x>0.71213</cdr:x>
      <cdr:y>0.8766</cdr:y>
    </cdr:to>
    <cdr:sp macro="" textlink="">
      <cdr:nvSpPr>
        <cdr:cNvPr id="15" name="Rectangle 14">
          <a:extLst xmlns:a="http://schemas.openxmlformats.org/drawingml/2006/main">
            <a:ext uri="{FF2B5EF4-FFF2-40B4-BE49-F238E27FC236}">
              <a16:creationId xmlns:a16="http://schemas.microsoft.com/office/drawing/2014/main" id="{39155427-13D0-C816-EC0B-D61E00AA5170}"/>
            </a:ext>
          </a:extLst>
        </cdr:cNvPr>
        <cdr:cNvSpPr/>
      </cdr:nvSpPr>
      <cdr:spPr>
        <a:xfrm xmlns:a="http://schemas.openxmlformats.org/drawingml/2006/main">
          <a:off x="8936265" y="6568621"/>
          <a:ext cx="367393" cy="163286"/>
        </a:xfrm>
        <a:prstGeom xmlns:a="http://schemas.openxmlformats.org/drawingml/2006/main" prst="rect">
          <a:avLst/>
        </a:prstGeom>
        <a:solidFill xmlns:a="http://schemas.openxmlformats.org/drawingml/2006/main">
          <a:srgbClr val="7F7F7F">
            <a:alpha val="8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0.68401</cdr:x>
      <cdr:y>0.89787</cdr:y>
    </cdr:from>
    <cdr:to>
      <cdr:x>0.71213</cdr:x>
      <cdr:y>0.91913</cdr:y>
    </cdr:to>
    <cdr:sp macro="" textlink="">
      <cdr:nvSpPr>
        <cdr:cNvPr id="16" name="Rectangle 15">
          <a:extLst xmlns:a="http://schemas.openxmlformats.org/drawingml/2006/main">
            <a:ext uri="{FF2B5EF4-FFF2-40B4-BE49-F238E27FC236}">
              <a16:creationId xmlns:a16="http://schemas.microsoft.com/office/drawing/2014/main" id="{39155427-13D0-C816-EC0B-D61E00AA5170}"/>
            </a:ext>
          </a:extLst>
        </cdr:cNvPr>
        <cdr:cNvSpPr/>
      </cdr:nvSpPr>
      <cdr:spPr>
        <a:xfrm xmlns:a="http://schemas.openxmlformats.org/drawingml/2006/main">
          <a:off x="8936264" y="6895193"/>
          <a:ext cx="367393" cy="163286"/>
        </a:xfrm>
        <a:prstGeom xmlns:a="http://schemas.openxmlformats.org/drawingml/2006/main" prst="rect">
          <a:avLst/>
        </a:prstGeom>
        <a:solidFill xmlns:a="http://schemas.openxmlformats.org/drawingml/2006/main">
          <a:srgbClr val="7F7F7F">
            <a:alpha val="6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dr:relSizeAnchor xmlns:cdr="http://schemas.openxmlformats.org/drawingml/2006/chartDrawing">
    <cdr:from>
      <cdr:x>0.68401</cdr:x>
      <cdr:y>0.94393</cdr:y>
    </cdr:from>
    <cdr:to>
      <cdr:x>0.71213</cdr:x>
      <cdr:y>0.9652</cdr:y>
    </cdr:to>
    <cdr:sp macro="" textlink="">
      <cdr:nvSpPr>
        <cdr:cNvPr id="17" name="Rectangle 16">
          <a:extLst xmlns:a="http://schemas.openxmlformats.org/drawingml/2006/main">
            <a:ext uri="{FF2B5EF4-FFF2-40B4-BE49-F238E27FC236}">
              <a16:creationId xmlns:a16="http://schemas.microsoft.com/office/drawing/2014/main" id="{39155427-13D0-C816-EC0B-D61E00AA5170}"/>
            </a:ext>
          </a:extLst>
        </cdr:cNvPr>
        <cdr:cNvSpPr/>
      </cdr:nvSpPr>
      <cdr:spPr>
        <a:xfrm xmlns:a="http://schemas.openxmlformats.org/drawingml/2006/main">
          <a:off x="8936265" y="7248979"/>
          <a:ext cx="367393" cy="163286"/>
        </a:xfrm>
        <a:prstGeom xmlns:a="http://schemas.openxmlformats.org/drawingml/2006/main" prst="rect">
          <a:avLst/>
        </a:prstGeom>
        <a:solidFill xmlns:a="http://schemas.openxmlformats.org/drawingml/2006/main">
          <a:srgbClr val="7F7F7F">
            <a:alpha val="4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lv-LV" kern="1200"/>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kase.gov.lv/parskati/es-lidzeklu-izmantosa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tint="0.59999389629810485"/>
    <pageSetUpPr fitToPage="1"/>
  </sheetPr>
  <dimension ref="A1:BF244"/>
  <sheetViews>
    <sheetView tabSelected="1" zoomScale="69" zoomScaleNormal="69" workbookViewId="0">
      <pane xSplit="9" ySplit="10" topLeftCell="L11" activePane="bottomRight" state="frozen"/>
      <selection pane="topRight" activeCell="I1" sqref="I1"/>
      <selection pane="bottomLeft" activeCell="A11" sqref="A11"/>
      <selection pane="bottomRight" activeCell="M1" sqref="M1"/>
    </sheetView>
  </sheetViews>
  <sheetFormatPr defaultColWidth="9.28515625" defaultRowHeight="18.75" outlineLevelCol="1" x14ac:dyDescent="0.3"/>
  <cols>
    <col min="1" max="1" width="11.5703125" style="7" bestFit="1" customWidth="1"/>
    <col min="2" max="2" width="27.28515625" style="7" customWidth="1"/>
    <col min="3" max="3" width="27.28515625" style="7" hidden="1" customWidth="1" outlineLevel="1"/>
    <col min="4" max="4" width="11.5703125" style="7" bestFit="1" customWidth="1" collapsed="1"/>
    <col min="5" max="5" width="16.28515625" style="7" customWidth="1"/>
    <col min="6" max="6" width="11.5703125" style="7" bestFit="1" customWidth="1"/>
    <col min="7" max="7" width="17" style="7" customWidth="1"/>
    <col min="8" max="8" width="14.140625" style="32" customWidth="1"/>
    <col min="9" max="11" width="18.7109375" style="32" hidden="1" customWidth="1" outlineLevel="1"/>
    <col min="12" max="12" width="44.28515625" style="7" customWidth="1" collapsed="1"/>
    <col min="13" max="13" width="17" style="31" customWidth="1"/>
    <col min="14" max="14" width="35.5703125" style="7" hidden="1" customWidth="1" outlineLevel="1"/>
    <col min="15" max="15" width="13.42578125" style="7" customWidth="1" collapsed="1"/>
    <col min="16" max="16" width="15.5703125" style="7" customWidth="1"/>
    <col min="17" max="18" width="35.140625" style="7" customWidth="1"/>
    <col min="19" max="19" width="26.7109375" style="7" hidden="1" customWidth="1" outlineLevel="1"/>
    <col min="20" max="20" width="22.140625" style="26" hidden="1" customWidth="1" outlineLevel="1"/>
    <col min="21" max="22" width="18.5703125" style="26" hidden="1" customWidth="1" outlineLevel="1"/>
    <col min="23" max="23" width="19.28515625" style="7" hidden="1" customWidth="1" outlineLevel="1"/>
    <col min="24" max="24" width="19.42578125" style="7" customWidth="1" collapsed="1"/>
    <col min="25" max="25" width="19.42578125" style="26" customWidth="1"/>
    <col min="26" max="27" width="29.7109375" style="7" hidden="1" customWidth="1" outlineLevel="1"/>
    <col min="28" max="28" width="23.5703125" style="7" hidden="1" customWidth="1" outlineLevel="1"/>
    <col min="29" max="29" width="15.85546875" style="7" hidden="1" customWidth="1" outlineLevel="1"/>
    <col min="30" max="30" width="10.7109375" style="7" customWidth="1" collapsed="1"/>
    <col min="31" max="31" width="19.7109375" style="7" hidden="1" customWidth="1" outlineLevel="1"/>
    <col min="32" max="32" width="19.7109375" style="26" hidden="1" customWidth="1" outlineLevel="1"/>
    <col min="33" max="33" width="19.7109375" style="7" hidden="1" customWidth="1" outlineLevel="1"/>
    <col min="34" max="34" width="19.5703125" style="7" hidden="1" customWidth="1" outlineLevel="1"/>
    <col min="35" max="36" width="15.7109375" style="7" hidden="1" customWidth="1" outlineLevel="1"/>
    <col min="37" max="37" width="12.42578125" style="7" hidden="1" customWidth="1" outlineLevel="1"/>
    <col min="38" max="38" width="21.5703125" style="146" customWidth="1" collapsed="1"/>
    <col min="39" max="39" width="17.28515625" style="26" customWidth="1"/>
    <col min="40" max="41" width="17.28515625" style="7" hidden="1" customWidth="1" outlineLevel="1"/>
    <col min="42" max="42" width="16.28515625" style="7" hidden="1" customWidth="1" outlineLevel="1"/>
    <col min="43" max="43" width="15.7109375" style="7" hidden="1" customWidth="1" outlineLevel="1"/>
    <col min="44" max="44" width="16" style="7" customWidth="1" collapsed="1"/>
    <col min="45" max="45" width="16" style="7" customWidth="1"/>
    <col min="46" max="46" width="16" style="26" customWidth="1"/>
    <col min="47" max="50" width="16" style="7" hidden="1" customWidth="1" outlineLevel="1"/>
    <col min="51" max="51" width="16" style="7" customWidth="1" collapsed="1"/>
    <col min="52" max="52" width="23.5703125" style="7" bestFit="1" customWidth="1"/>
    <col min="53" max="53" width="17.42578125" style="26" customWidth="1"/>
    <col min="54" max="55" width="16.42578125" style="7" hidden="1" customWidth="1" outlineLevel="1"/>
    <col min="56" max="56" width="14.85546875" style="7" hidden="1" customWidth="1" outlineLevel="1"/>
    <col min="57" max="57" width="15.140625" style="7" hidden="1" customWidth="1" outlineLevel="1"/>
    <col min="58" max="58" width="9.28515625" style="7" collapsed="1"/>
    <col min="59" max="16384" width="9.28515625" style="7"/>
  </cols>
  <sheetData>
    <row r="1" spans="1:57" ht="32.25" customHeight="1" x14ac:dyDescent="0.3">
      <c r="A1" s="12" t="s">
        <v>1084</v>
      </c>
      <c r="B1" s="12"/>
      <c r="C1" s="12"/>
      <c r="L1" s="12"/>
      <c r="M1" s="27"/>
      <c r="N1" s="40"/>
      <c r="O1" s="12"/>
      <c r="P1" s="12"/>
      <c r="Q1" s="40"/>
      <c r="R1" s="40"/>
      <c r="S1" s="234"/>
      <c r="T1" s="235"/>
      <c r="U1" s="22"/>
      <c r="V1" s="22"/>
      <c r="W1" s="12"/>
      <c r="X1" s="12"/>
      <c r="Y1" s="22"/>
      <c r="Z1" s="12"/>
      <c r="AA1" s="12"/>
      <c r="AB1" s="12"/>
      <c r="AC1" s="12"/>
      <c r="AD1" s="12"/>
      <c r="AE1" s="12"/>
      <c r="AF1" s="22"/>
      <c r="AG1" s="12"/>
      <c r="AH1" s="12"/>
      <c r="AI1" s="12"/>
      <c r="AJ1" s="12"/>
      <c r="AK1" s="12"/>
      <c r="AL1" s="144"/>
      <c r="AM1" s="42"/>
      <c r="AN1" s="12"/>
      <c r="AO1" s="12"/>
      <c r="AP1" s="12"/>
      <c r="AQ1" s="12"/>
      <c r="AR1" s="12"/>
      <c r="AS1" s="12"/>
      <c r="AT1" s="22"/>
      <c r="AU1" s="12"/>
      <c r="AV1" s="12"/>
      <c r="AW1" s="12"/>
      <c r="AX1" s="12"/>
      <c r="AY1" s="12"/>
      <c r="AZ1" s="12"/>
      <c r="BA1" s="22"/>
      <c r="BB1" s="12"/>
      <c r="BC1" s="12"/>
    </row>
    <row r="2" spans="1:57" ht="20.25" customHeight="1" x14ac:dyDescent="0.35">
      <c r="A2" s="9" t="s">
        <v>0</v>
      </c>
      <c r="B2" s="9"/>
      <c r="C2" s="9"/>
      <c r="L2" s="8"/>
      <c r="M2" s="28"/>
      <c r="P2" s="11"/>
      <c r="Q2" s="43"/>
      <c r="R2" s="43"/>
      <c r="S2" s="236"/>
      <c r="T2" s="237"/>
      <c r="U2" s="23"/>
      <c r="V2" s="23"/>
      <c r="W2" s="175"/>
      <c r="X2" s="13"/>
      <c r="Y2" s="23"/>
      <c r="Z2" s="11"/>
      <c r="AA2" s="11"/>
      <c r="AB2" s="11"/>
      <c r="AE2" s="13"/>
      <c r="AF2" s="23"/>
      <c r="AG2" s="13"/>
      <c r="AL2" s="145"/>
      <c r="AM2" s="44"/>
      <c r="AZ2"/>
    </row>
    <row r="3" spans="1:57" ht="51.75" customHeight="1" x14ac:dyDescent="0.3">
      <c r="A3" s="192" t="s">
        <v>1</v>
      </c>
      <c r="B3" s="193"/>
      <c r="C3" s="193"/>
      <c r="D3" s="193"/>
      <c r="E3" s="193"/>
      <c r="F3" s="193"/>
      <c r="G3" s="193"/>
      <c r="H3" s="193"/>
      <c r="I3" s="193"/>
      <c r="J3" s="193"/>
      <c r="K3" s="193"/>
      <c r="L3" s="193"/>
      <c r="M3" s="193"/>
      <c r="N3" s="193"/>
      <c r="O3" s="193"/>
      <c r="P3" s="194"/>
      <c r="Q3" s="199" t="s">
        <v>2</v>
      </c>
      <c r="R3" s="200"/>
      <c r="S3" s="193"/>
      <c r="T3" s="199" t="s">
        <v>3</v>
      </c>
      <c r="U3" s="200"/>
      <c r="V3" s="200"/>
      <c r="W3" s="201"/>
      <c r="X3" s="199" t="s">
        <v>4</v>
      </c>
      <c r="Y3" s="200"/>
      <c r="Z3" s="200"/>
      <c r="AA3" s="200"/>
      <c r="AB3" s="200"/>
      <c r="AC3" s="200"/>
      <c r="AD3" s="201"/>
      <c r="AE3" s="192" t="s">
        <v>5</v>
      </c>
      <c r="AF3" s="193"/>
      <c r="AG3" s="193"/>
      <c r="AH3" s="193"/>
      <c r="AI3" s="193"/>
      <c r="AJ3" s="193"/>
      <c r="AK3" s="194"/>
      <c r="AL3" s="192" t="s">
        <v>6</v>
      </c>
      <c r="AM3" s="193"/>
      <c r="AN3" s="193"/>
      <c r="AO3" s="193"/>
      <c r="AP3" s="193"/>
      <c r="AQ3" s="193"/>
      <c r="AR3" s="194"/>
      <c r="AS3" s="192" t="s">
        <v>7</v>
      </c>
      <c r="AT3" s="193"/>
      <c r="AU3" s="193"/>
      <c r="AV3" s="193"/>
      <c r="AW3" s="193"/>
      <c r="AX3" s="193"/>
      <c r="AY3" s="194"/>
      <c r="AZ3" s="198" t="s">
        <v>8</v>
      </c>
      <c r="BA3" s="198"/>
      <c r="BB3" s="198"/>
      <c r="BC3" s="198"/>
      <c r="BD3" s="198"/>
      <c r="BE3" s="198"/>
    </row>
    <row r="4" spans="1:57" ht="120" customHeight="1" x14ac:dyDescent="0.3">
      <c r="A4" s="195" t="s">
        <v>9</v>
      </c>
      <c r="B4" s="195" t="s">
        <v>10</v>
      </c>
      <c r="C4" s="195" t="s">
        <v>10</v>
      </c>
      <c r="D4" s="195" t="s">
        <v>11</v>
      </c>
      <c r="E4" s="195" t="s">
        <v>12</v>
      </c>
      <c r="F4" s="195" t="s">
        <v>13</v>
      </c>
      <c r="G4" s="195" t="s">
        <v>14</v>
      </c>
      <c r="H4" s="195" t="s">
        <v>15</v>
      </c>
      <c r="I4" s="195" t="s">
        <v>16</v>
      </c>
      <c r="J4" s="102"/>
      <c r="K4" s="195" t="s">
        <v>17</v>
      </c>
      <c r="L4" s="15" t="s">
        <v>18</v>
      </c>
      <c r="M4" s="15" t="s">
        <v>19</v>
      </c>
      <c r="N4" s="15" t="s">
        <v>20</v>
      </c>
      <c r="O4" s="16" t="s">
        <v>21</v>
      </c>
      <c r="P4" s="15" t="s">
        <v>22</v>
      </c>
      <c r="Q4" s="15" t="s">
        <v>23</v>
      </c>
      <c r="R4" s="15" t="s">
        <v>24</v>
      </c>
      <c r="S4" s="15" t="s">
        <v>25</v>
      </c>
      <c r="T4" s="24" t="s">
        <v>26</v>
      </c>
      <c r="U4" s="24" t="s">
        <v>27</v>
      </c>
      <c r="V4" s="24" t="s">
        <v>28</v>
      </c>
      <c r="W4" s="176" t="s">
        <v>29</v>
      </c>
      <c r="X4" s="17" t="s">
        <v>30</v>
      </c>
      <c r="Y4" s="24" t="s">
        <v>31</v>
      </c>
      <c r="Z4" s="17" t="s">
        <v>32</v>
      </c>
      <c r="AA4" s="17" t="s">
        <v>33</v>
      </c>
      <c r="AB4" s="17" t="s">
        <v>34</v>
      </c>
      <c r="AC4" s="17" t="s">
        <v>35</v>
      </c>
      <c r="AD4" s="17" t="s">
        <v>36</v>
      </c>
      <c r="AE4" s="17" t="s">
        <v>30</v>
      </c>
      <c r="AF4" s="24" t="s">
        <v>31</v>
      </c>
      <c r="AG4" s="17" t="s">
        <v>32</v>
      </c>
      <c r="AH4" s="17" t="s">
        <v>33</v>
      </c>
      <c r="AI4" s="17" t="s">
        <v>34</v>
      </c>
      <c r="AJ4" s="17" t="s">
        <v>35</v>
      </c>
      <c r="AK4" s="17" t="s">
        <v>36</v>
      </c>
      <c r="AL4" s="17" t="s">
        <v>30</v>
      </c>
      <c r="AM4" s="24" t="s">
        <v>31</v>
      </c>
      <c r="AN4" s="17" t="s">
        <v>32</v>
      </c>
      <c r="AO4" s="17" t="s">
        <v>33</v>
      </c>
      <c r="AP4" s="17" t="s">
        <v>34</v>
      </c>
      <c r="AQ4" s="17" t="s">
        <v>35</v>
      </c>
      <c r="AR4" s="17" t="s">
        <v>36</v>
      </c>
      <c r="AS4" s="17" t="s">
        <v>30</v>
      </c>
      <c r="AT4" s="24" t="s">
        <v>31</v>
      </c>
      <c r="AU4" s="17" t="s">
        <v>32</v>
      </c>
      <c r="AV4" s="17" t="s">
        <v>33</v>
      </c>
      <c r="AW4" s="17" t="s">
        <v>34</v>
      </c>
      <c r="AX4" s="17" t="s">
        <v>35</v>
      </c>
      <c r="AY4" s="17" t="s">
        <v>36</v>
      </c>
      <c r="AZ4" s="17" t="s">
        <v>30</v>
      </c>
      <c r="BA4" s="24" t="s">
        <v>31</v>
      </c>
      <c r="BB4" s="17" t="s">
        <v>32</v>
      </c>
      <c r="BC4" s="17" t="s">
        <v>33</v>
      </c>
      <c r="BD4" s="17" t="s">
        <v>34</v>
      </c>
      <c r="BE4" s="17" t="s">
        <v>35</v>
      </c>
    </row>
    <row r="5" spans="1:57" x14ac:dyDescent="0.3">
      <c r="A5" s="196"/>
      <c r="B5" s="196"/>
      <c r="C5" s="196"/>
      <c r="D5" s="196"/>
      <c r="E5" s="196"/>
      <c r="F5" s="196"/>
      <c r="G5" s="196"/>
      <c r="H5" s="196"/>
      <c r="I5" s="196"/>
      <c r="J5" s="103"/>
      <c r="K5" s="196"/>
      <c r="L5" s="18" t="s">
        <v>37</v>
      </c>
      <c r="M5" s="29"/>
      <c r="N5" s="19"/>
      <c r="O5" s="20"/>
      <c r="P5" s="20"/>
      <c r="Q5" s="21">
        <f>SUM(Q6:Q9)</f>
        <v>4374392914.6050005</v>
      </c>
      <c r="R5" s="21">
        <f>SUM(R6:R9)</f>
        <v>155767728</v>
      </c>
      <c r="S5" s="21">
        <f>SUM(S6:S9)</f>
        <v>5092220336.6050005</v>
      </c>
      <c r="T5" s="21">
        <f>SUM(T6:T9)</f>
        <v>0</v>
      </c>
      <c r="U5" s="25">
        <f>T5/Q5</f>
        <v>0</v>
      </c>
      <c r="V5" s="21">
        <f t="shared" ref="V5" si="0">SUM(V6:V9)</f>
        <v>0</v>
      </c>
      <c r="W5" s="21">
        <f>SUM(W6:W9)</f>
        <v>0</v>
      </c>
      <c r="X5" s="21">
        <f>SUM(X6:X9)</f>
        <v>4240017154.1750007</v>
      </c>
      <c r="Y5" s="25">
        <f>X5/Q5</f>
        <v>0.96928127787027252</v>
      </c>
      <c r="Z5" s="21">
        <f t="shared" ref="Z5:AE5" si="1">SUM(Z6:Z9)</f>
        <v>539221105.06840169</v>
      </c>
      <c r="AA5" s="21">
        <f t="shared" si="1"/>
        <v>0</v>
      </c>
      <c r="AB5" s="21">
        <f t="shared" si="1"/>
        <v>334308122.81999999</v>
      </c>
      <c r="AC5" s="21">
        <f t="shared" si="1"/>
        <v>246379746.63</v>
      </c>
      <c r="AD5" s="21">
        <f>SUM(AD6:AD9)</f>
        <v>2807</v>
      </c>
      <c r="AE5" s="21">
        <f t="shared" si="1"/>
        <v>3595204355.9249997</v>
      </c>
      <c r="AF5" s="25">
        <f>AE5/Q5</f>
        <v>0.82187504097346042</v>
      </c>
      <c r="AG5" s="21">
        <f t="shared" ref="AG5:AK5" si="2">SUM(AG6:AG9)</f>
        <v>463745745.04612517</v>
      </c>
      <c r="AH5" s="21">
        <f t="shared" si="2"/>
        <v>0</v>
      </c>
      <c r="AI5" s="21">
        <f t="shared" si="2"/>
        <v>287534940.69</v>
      </c>
      <c r="AJ5" s="21">
        <f t="shared" si="2"/>
        <v>195048573.14000002</v>
      </c>
      <c r="AK5" s="21">
        <f t="shared" si="2"/>
        <v>2417</v>
      </c>
      <c r="AL5" s="21">
        <f>SUM(AL6:AL9)</f>
        <v>3582575888.2150002</v>
      </c>
      <c r="AM5" s="25">
        <f>AL5/Q5</f>
        <v>0.81898813347417376</v>
      </c>
      <c r="AN5" s="21">
        <f t="shared" ref="AN5:AS5" si="3">SUM(AN6:AN9)</f>
        <v>462964153.16612518</v>
      </c>
      <c r="AO5" s="21">
        <f t="shared" si="3"/>
        <v>0</v>
      </c>
      <c r="AP5" s="21">
        <f t="shared" si="3"/>
        <v>286396872.97000003</v>
      </c>
      <c r="AQ5" s="21">
        <f t="shared" si="3"/>
        <v>193244291.03</v>
      </c>
      <c r="AR5" s="21">
        <f t="shared" si="3"/>
        <v>2414</v>
      </c>
      <c r="AS5" s="21">
        <f t="shared" si="3"/>
        <v>133532699.99000002</v>
      </c>
      <c r="AT5" s="25">
        <f>AS5/Q5</f>
        <v>3.0525995857429232E-2</v>
      </c>
      <c r="AU5" s="21">
        <f t="shared" ref="AU5:AY5" si="4">SUM(AU6:AU9)</f>
        <v>20278759.550000004</v>
      </c>
      <c r="AV5" s="21">
        <f t="shared" si="4"/>
        <v>0</v>
      </c>
      <c r="AW5" s="21">
        <f t="shared" si="4"/>
        <v>14577536.59</v>
      </c>
      <c r="AX5" s="21">
        <f t="shared" si="4"/>
        <v>7633652.75</v>
      </c>
      <c r="AY5" s="21">
        <f t="shared" si="4"/>
        <v>945</v>
      </c>
      <c r="AZ5" s="21">
        <f>SUM(AZ6:AZ9)</f>
        <v>1031847494.1336002</v>
      </c>
      <c r="BA5" s="25">
        <f>AZ5/Q5</f>
        <v>0.23588358756903621</v>
      </c>
      <c r="BB5" s="21">
        <f>SUM(BB6:BB9)</f>
        <v>139612649.31999999</v>
      </c>
      <c r="BC5" s="21">
        <f>SUM(BC6:BC9)</f>
        <v>0</v>
      </c>
      <c r="BD5" s="21">
        <f>SUM(BD6:BD9)</f>
        <v>66763776.140000001</v>
      </c>
      <c r="BE5" s="21">
        <f>SUM(BE6:BE9)</f>
        <v>35139025.949999996</v>
      </c>
    </row>
    <row r="6" spans="1:57" x14ac:dyDescent="0.3">
      <c r="A6" s="196"/>
      <c r="B6" s="196"/>
      <c r="C6" s="196"/>
      <c r="D6" s="196"/>
      <c r="E6" s="196"/>
      <c r="F6" s="196"/>
      <c r="G6" s="196"/>
      <c r="H6" s="196"/>
      <c r="I6" s="196"/>
      <c r="J6" s="103"/>
      <c r="K6" s="196"/>
      <c r="L6" s="20" t="s">
        <v>38</v>
      </c>
      <c r="M6" s="30"/>
      <c r="N6" s="19"/>
      <c r="O6" s="20"/>
      <c r="P6" s="20"/>
      <c r="Q6" s="21">
        <f>SUMIF(O:O,L6,Q:Q)</f>
        <v>651907354.79999995</v>
      </c>
      <c r="R6" s="21">
        <f>SUMIF(O:O,L6,R:R)</f>
        <v>0</v>
      </c>
      <c r="S6" s="21">
        <f>SUMIF($O:$O,$L$6,S:S)</f>
        <v>762525138.79999995</v>
      </c>
      <c r="T6" s="21">
        <f>SUMIF($O:$O,$L$6,T:T)</f>
        <v>0</v>
      </c>
      <c r="U6" s="25">
        <f>T6/Q6</f>
        <v>0</v>
      </c>
      <c r="V6" s="21">
        <f>SUMIF($O:$O,$L$6,V:V)</f>
        <v>0</v>
      </c>
      <c r="W6" s="21">
        <f>SUMIF($O:$O,$L$6,W:W)</f>
        <v>0</v>
      </c>
      <c r="X6" s="21">
        <f>SUMIF($O:$O,$L$6,X:X)</f>
        <v>625353289.18999994</v>
      </c>
      <c r="Y6" s="25">
        <f>X6/Q6</f>
        <v>0.95926711761344274</v>
      </c>
      <c r="Z6" s="21">
        <f t="shared" ref="Z6:AE6" si="5">SUMIF($O:$O,$L$6,Z:Z)</f>
        <v>96193106.609999999</v>
      </c>
      <c r="AA6" s="21">
        <f t="shared" si="5"/>
        <v>0</v>
      </c>
      <c r="AB6" s="21">
        <f t="shared" si="5"/>
        <v>8826280.629999999</v>
      </c>
      <c r="AC6" s="21">
        <f t="shared" si="5"/>
        <v>14687548.710000001</v>
      </c>
      <c r="AD6" s="21">
        <f t="shared" si="5"/>
        <v>257</v>
      </c>
      <c r="AE6" s="21">
        <f t="shared" si="5"/>
        <v>590232985.1099999</v>
      </c>
      <c r="AF6" s="25">
        <f>AE6/Q6</f>
        <v>0.90539396551382478</v>
      </c>
      <c r="AG6" s="21">
        <f t="shared" ref="AG6:AL6" si="6">SUMIF($O:$O,$L$6,AG:AG)</f>
        <v>91876777.560000002</v>
      </c>
      <c r="AH6" s="21">
        <f t="shared" si="6"/>
        <v>0</v>
      </c>
      <c r="AI6" s="21">
        <f t="shared" si="6"/>
        <v>8589782.6400000006</v>
      </c>
      <c r="AJ6" s="21">
        <f t="shared" si="6"/>
        <v>13070138.029999999</v>
      </c>
      <c r="AK6" s="21">
        <f t="shared" si="6"/>
        <v>218</v>
      </c>
      <c r="AL6" s="21">
        <f t="shared" si="6"/>
        <v>590232985.1099999</v>
      </c>
      <c r="AM6" s="25">
        <f>AL6/Q6</f>
        <v>0.90539396551382478</v>
      </c>
      <c r="AN6" s="21">
        <f t="shared" ref="AN6:AS6" si="7">SUMIF($O:$O,$L$6,AN:AN)</f>
        <v>91876777.560000002</v>
      </c>
      <c r="AO6" s="21">
        <f t="shared" si="7"/>
        <v>0</v>
      </c>
      <c r="AP6" s="21">
        <f t="shared" si="7"/>
        <v>8589782.6400000006</v>
      </c>
      <c r="AQ6" s="21">
        <f t="shared" si="7"/>
        <v>13070138.029999999</v>
      </c>
      <c r="AR6" s="21">
        <f t="shared" si="7"/>
        <v>218</v>
      </c>
      <c r="AS6" s="21">
        <f t="shared" si="7"/>
        <v>958688.18</v>
      </c>
      <c r="AT6" s="25">
        <f>AS6/Q6</f>
        <v>1.4705896059327604E-3</v>
      </c>
      <c r="AU6" s="21">
        <f t="shared" ref="AU6:AZ6" si="8">SUMIF($O:$O,$L$6,AU:AU)</f>
        <v>169180.3</v>
      </c>
      <c r="AV6" s="21">
        <f t="shared" si="8"/>
        <v>0</v>
      </c>
      <c r="AW6" s="21">
        <f t="shared" si="8"/>
        <v>0</v>
      </c>
      <c r="AX6" s="21">
        <f t="shared" si="8"/>
        <v>0</v>
      </c>
      <c r="AY6" s="21">
        <f t="shared" si="8"/>
        <v>28</v>
      </c>
      <c r="AZ6" s="21">
        <f t="shared" si="8"/>
        <v>114705085.7888</v>
      </c>
      <c r="BA6" s="25">
        <f>AZ6/Q6</f>
        <v>0.17595304753693203</v>
      </c>
      <c r="BB6" s="21">
        <f>SUMIF($O:$O,$L$6,BB:BB)</f>
        <v>17692911.029999994</v>
      </c>
      <c r="BC6" s="21">
        <f>SUMIF($O:$O,$L$6,BC:BC)</f>
        <v>0</v>
      </c>
      <c r="BD6" s="21">
        <f>SUMIF($O:$O,$L$6,BD:BD)</f>
        <v>2144511.85</v>
      </c>
      <c r="BE6" s="21">
        <f>SUMIF($O:$O,$L$6,BE:BE)</f>
        <v>1403739.48</v>
      </c>
    </row>
    <row r="7" spans="1:57" x14ac:dyDescent="0.3">
      <c r="A7" s="196"/>
      <c r="B7" s="196"/>
      <c r="C7" s="196"/>
      <c r="D7" s="196"/>
      <c r="E7" s="196"/>
      <c r="F7" s="196"/>
      <c r="G7" s="196"/>
      <c r="H7" s="196"/>
      <c r="I7" s="196"/>
      <c r="J7" s="103"/>
      <c r="K7" s="196"/>
      <c r="L7" s="20" t="s">
        <v>39</v>
      </c>
      <c r="M7" s="30"/>
      <c r="N7" s="19"/>
      <c r="O7" s="20"/>
      <c r="P7" s="20"/>
      <c r="Q7" s="21">
        <f>SUMIF(O:O,L7,Q:Q)</f>
        <v>2666416953.9250002</v>
      </c>
      <c r="R7" s="21">
        <f>SUMIF(O:O,L7,R:R)</f>
        <v>155767728</v>
      </c>
      <c r="S7" s="21">
        <f>SUMIF($O:$O,$L$7,S:S)</f>
        <v>3089334341.9250002</v>
      </c>
      <c r="T7" s="21">
        <f>SUMIF($O:$O,$L$7,T:T)</f>
        <v>0</v>
      </c>
      <c r="U7" s="25">
        <f>T7/Q7</f>
        <v>0</v>
      </c>
      <c r="V7" s="21">
        <f>SUMIF($O:$O,$L$7,V:V)</f>
        <v>0</v>
      </c>
      <c r="W7" s="21">
        <f>SUMIF($O:$O,$L$7,W:W)</f>
        <v>0</v>
      </c>
      <c r="X7" s="21">
        <f>SUMIF($O:$O,$L$7,X:X)</f>
        <v>2604768395.6950006</v>
      </c>
      <c r="Y7" s="25">
        <f>X7/Q7</f>
        <v>0.97687962561922204</v>
      </c>
      <c r="Z7" s="21">
        <f t="shared" ref="Z7:AE7" si="9">SUMIF($O:$O,$L$7,Z:Z)</f>
        <v>322099624.94840163</v>
      </c>
      <c r="AA7" s="21">
        <f t="shared" si="9"/>
        <v>0</v>
      </c>
      <c r="AB7" s="21">
        <f t="shared" si="9"/>
        <v>257370014.70000002</v>
      </c>
      <c r="AC7" s="21">
        <f t="shared" si="9"/>
        <v>171403758.43000001</v>
      </c>
      <c r="AD7" s="21">
        <f t="shared" si="9"/>
        <v>2420</v>
      </c>
      <c r="AE7" s="21">
        <f t="shared" si="9"/>
        <v>2297299195.085</v>
      </c>
      <c r="AF7" s="25">
        <f>AE7/Q7</f>
        <v>0.86156787733566798</v>
      </c>
      <c r="AG7" s="21">
        <f t="shared" ref="AG7:AL7" si="10">SUMIF($O:$O,$L$7,AG:AG)</f>
        <v>294767115.97612518</v>
      </c>
      <c r="AH7" s="21">
        <f t="shared" si="10"/>
        <v>0</v>
      </c>
      <c r="AI7" s="21">
        <f t="shared" si="10"/>
        <v>214799009.05000001</v>
      </c>
      <c r="AJ7" s="21">
        <f t="shared" si="10"/>
        <v>139305934.72000003</v>
      </c>
      <c r="AK7" s="21">
        <f t="shared" si="10"/>
        <v>2086</v>
      </c>
      <c r="AL7" s="21">
        <f t="shared" si="10"/>
        <v>2287385969.7249999</v>
      </c>
      <c r="AM7" s="25">
        <f>AL7/Q7</f>
        <v>0.85785006968168953</v>
      </c>
      <c r="AN7" s="21">
        <f t="shared" ref="AN7:AS7" si="11">SUMIF($O:$O,$L$7,AN:AN)</f>
        <v>293985524.09612519</v>
      </c>
      <c r="AO7" s="21">
        <f t="shared" si="11"/>
        <v>0</v>
      </c>
      <c r="AP7" s="21">
        <f t="shared" si="11"/>
        <v>213610689.97999999</v>
      </c>
      <c r="AQ7" s="21">
        <f t="shared" si="11"/>
        <v>138587606.61000001</v>
      </c>
      <c r="AR7" s="21">
        <f t="shared" si="11"/>
        <v>2083</v>
      </c>
      <c r="AS7" s="21">
        <f t="shared" si="11"/>
        <v>104490586.24000001</v>
      </c>
      <c r="AT7" s="25">
        <f>AS7/Q7</f>
        <v>3.9187639459833362E-2</v>
      </c>
      <c r="AU7" s="21">
        <f t="shared" ref="AU7:AZ7" si="12">SUMIF($O:$O,$L$7,AU:AU)</f>
        <v>14942214.400000002</v>
      </c>
      <c r="AV7" s="21">
        <f t="shared" si="12"/>
        <v>0</v>
      </c>
      <c r="AW7" s="21">
        <f t="shared" si="12"/>
        <v>12512661.689999999</v>
      </c>
      <c r="AX7" s="21">
        <f t="shared" si="12"/>
        <v>6171292.3599999994</v>
      </c>
      <c r="AY7" s="21">
        <f t="shared" si="12"/>
        <v>890</v>
      </c>
      <c r="AZ7" s="21">
        <f t="shared" si="12"/>
        <v>697619145.30800021</v>
      </c>
      <c r="BA7" s="25">
        <f>AZ7/Q7</f>
        <v>0.26163167927697722</v>
      </c>
      <c r="BB7" s="21">
        <f>SUMIF($O:$O,$L$7,BB:BB)</f>
        <v>104342310.35999998</v>
      </c>
      <c r="BC7" s="21">
        <f>SUMIF($O:$O,$L$7,BC:BC)</f>
        <v>0</v>
      </c>
      <c r="BD7" s="21">
        <f>SUMIF($O:$O,$L$7,BD:BD)</f>
        <v>32568588.98</v>
      </c>
      <c r="BE7" s="21">
        <f>SUMIF($O:$O,$L$7,BE:BE)</f>
        <v>24020218.459999997</v>
      </c>
    </row>
    <row r="8" spans="1:57" x14ac:dyDescent="0.3">
      <c r="A8" s="196"/>
      <c r="B8" s="196"/>
      <c r="C8" s="196"/>
      <c r="D8" s="196"/>
      <c r="E8" s="196"/>
      <c r="F8" s="196"/>
      <c r="G8" s="196"/>
      <c r="H8" s="196"/>
      <c r="I8" s="196"/>
      <c r="J8" s="103"/>
      <c r="K8" s="196"/>
      <c r="L8" s="20" t="s">
        <v>40</v>
      </c>
      <c r="M8" s="30"/>
      <c r="N8" s="19"/>
      <c r="O8" s="20"/>
      <c r="P8" s="20"/>
      <c r="Q8" s="21">
        <f>SUMIF(O:O,L8,Q:Q)</f>
        <v>864461785.79999995</v>
      </c>
      <c r="R8" s="21">
        <f>SUMIF(O:O,L8,R:R)</f>
        <v>0</v>
      </c>
      <c r="S8" s="21">
        <f>SUMIF($O:$O,$L$8,S:S)</f>
        <v>1016241560.8</v>
      </c>
      <c r="T8" s="21">
        <f>SUMIF($O:$O,$L$8,T:T)</f>
        <v>0</v>
      </c>
      <c r="U8" s="25">
        <f>T8/Q8</f>
        <v>0</v>
      </c>
      <c r="V8" s="21">
        <f>SUMIF($O:$O,$L$8,V:V)</f>
        <v>0</v>
      </c>
      <c r="W8" s="21">
        <f>SUMIF($O:$O,$L$8,W:W)</f>
        <v>0</v>
      </c>
      <c r="X8" s="21">
        <f>SUMIF($O:$O,$L$8,X:X)</f>
        <v>861289938.76999998</v>
      </c>
      <c r="Y8" s="25">
        <f>X8/Q8</f>
        <v>0.9963308418230834</v>
      </c>
      <c r="Z8" s="21">
        <f t="shared" ref="Z8:AE8" si="13">SUMIF($O:$O,$L$8,Z:Z)</f>
        <v>109054011.18000001</v>
      </c>
      <c r="AA8" s="21">
        <f t="shared" si="13"/>
        <v>0</v>
      </c>
      <c r="AB8" s="21">
        <f t="shared" si="13"/>
        <v>55903040.93</v>
      </c>
      <c r="AC8" s="21">
        <f t="shared" si="13"/>
        <v>48312617.289999999</v>
      </c>
      <c r="AD8" s="21">
        <f t="shared" si="13"/>
        <v>80</v>
      </c>
      <c r="AE8" s="21">
        <f t="shared" si="13"/>
        <v>581245551.75</v>
      </c>
      <c r="AF8" s="25">
        <f>AE8/Q8</f>
        <v>0.67237853806585235</v>
      </c>
      <c r="AG8" s="21">
        <f t="shared" ref="AG8:AL8" si="14">SUMIF($O:$O,$L$8,AG:AG)</f>
        <v>65227489.18</v>
      </c>
      <c r="AH8" s="21">
        <f t="shared" si="14"/>
        <v>0</v>
      </c>
      <c r="AI8" s="21">
        <f t="shared" si="14"/>
        <v>55903040.93</v>
      </c>
      <c r="AJ8" s="21">
        <f t="shared" si="14"/>
        <v>37263712.159999996</v>
      </c>
      <c r="AK8" s="21">
        <f t="shared" si="14"/>
        <v>74</v>
      </c>
      <c r="AL8" s="21">
        <f t="shared" si="14"/>
        <v>578245551.75</v>
      </c>
      <c r="AM8" s="25">
        <f>AL8/Q8</f>
        <v>0.6689081706658363</v>
      </c>
      <c r="AN8" s="21">
        <f t="shared" ref="AN8:AS8" si="15">SUMIF($O:$O,$L$8,AN:AN)</f>
        <v>65227489.18</v>
      </c>
      <c r="AO8" s="21">
        <f t="shared" si="15"/>
        <v>0</v>
      </c>
      <c r="AP8" s="21">
        <f t="shared" si="15"/>
        <v>55903040.93</v>
      </c>
      <c r="AQ8" s="21">
        <f t="shared" si="15"/>
        <v>36177758.159999996</v>
      </c>
      <c r="AR8" s="21">
        <f t="shared" si="15"/>
        <v>73</v>
      </c>
      <c r="AS8" s="21">
        <f t="shared" si="15"/>
        <v>15997621.310000001</v>
      </c>
      <c r="AT8" s="25">
        <f>AS8/Q8</f>
        <v>1.8505874490675492E-2</v>
      </c>
      <c r="AU8" s="21">
        <f t="shared" ref="AU8:AZ8" si="16">SUMIF($O:$O,$L$8,AU:AU)</f>
        <v>5167364.8499999996</v>
      </c>
      <c r="AV8" s="21">
        <f t="shared" si="16"/>
        <v>0</v>
      </c>
      <c r="AW8" s="21">
        <f t="shared" si="16"/>
        <v>0</v>
      </c>
      <c r="AX8" s="21">
        <f t="shared" si="16"/>
        <v>1344691.49</v>
      </c>
      <c r="AY8" s="21">
        <f t="shared" si="16"/>
        <v>15</v>
      </c>
      <c r="AZ8" s="21">
        <f t="shared" si="16"/>
        <v>173033324.50799999</v>
      </c>
      <c r="BA8" s="25">
        <f>AZ8/Q8</f>
        <v>0.20016306949632198</v>
      </c>
      <c r="BB8" s="21">
        <f>SUMIF($O:$O,$L$8,BB:BB)</f>
        <v>15363313.899999999</v>
      </c>
      <c r="BC8" s="21">
        <f>SUMIF($O:$O,$L$8,BC:BC)</f>
        <v>0</v>
      </c>
      <c r="BD8" s="21">
        <f>SUMIF($O:$O,$L$8,BD:BD)</f>
        <v>27898988.590000004</v>
      </c>
      <c r="BE8" s="21">
        <f>SUMIF($O:$O,$L$8,BE:BE)</f>
        <v>8126652.4499999993</v>
      </c>
    </row>
    <row r="9" spans="1:57" x14ac:dyDescent="0.3">
      <c r="A9" s="197"/>
      <c r="B9" s="197"/>
      <c r="C9" s="197"/>
      <c r="D9" s="197"/>
      <c r="E9" s="197"/>
      <c r="F9" s="197"/>
      <c r="G9" s="197"/>
      <c r="H9" s="197"/>
      <c r="I9" s="197"/>
      <c r="J9" s="104"/>
      <c r="K9" s="197"/>
      <c r="L9" s="20" t="s">
        <v>41</v>
      </c>
      <c r="M9" s="30"/>
      <c r="N9" s="19"/>
      <c r="O9" s="20"/>
      <c r="P9" s="20"/>
      <c r="Q9" s="21">
        <f>SUMIF(O:O,L9,Q:Q)</f>
        <v>191606820.08000001</v>
      </c>
      <c r="R9" s="21">
        <f>SUMIF(O:O,L9,R:R)</f>
        <v>0</v>
      </c>
      <c r="S9" s="21">
        <f>SUMIF($O:$O,$L$9,S:S)</f>
        <v>224119295.08000001</v>
      </c>
      <c r="T9" s="21">
        <f>SUMIF($O:$O,$L$9,T:T)</f>
        <v>0</v>
      </c>
      <c r="U9" s="25">
        <f>T9/Q9</f>
        <v>0</v>
      </c>
      <c r="V9" s="21">
        <f>SUMIF($O:$O,$L$9,V:V)</f>
        <v>0</v>
      </c>
      <c r="W9" s="21">
        <f>SUMIF($O:$O,$L$9,W:W)</f>
        <v>0</v>
      </c>
      <c r="X9" s="21">
        <f>SUMIF($O:$O,$L$9,X:X)</f>
        <v>148605530.52000001</v>
      </c>
      <c r="Y9" s="25">
        <f>X9/Q9</f>
        <v>0.77557537074073857</v>
      </c>
      <c r="Z9" s="21">
        <f t="shared" ref="Z9:AE9" si="17">SUMIF($O:$O,$L$9,Z:Z)</f>
        <v>11874362.33</v>
      </c>
      <c r="AA9" s="21">
        <f t="shared" si="17"/>
        <v>0</v>
      </c>
      <c r="AB9" s="21">
        <f t="shared" si="17"/>
        <v>12208786.560000001</v>
      </c>
      <c r="AC9" s="21">
        <f t="shared" si="17"/>
        <v>11975822.199999999</v>
      </c>
      <c r="AD9" s="21">
        <f t="shared" si="17"/>
        <v>50</v>
      </c>
      <c r="AE9" s="21">
        <f t="shared" si="17"/>
        <v>126426623.97999999</v>
      </c>
      <c r="AF9" s="25">
        <f>AE9/Q9</f>
        <v>0.65982319380497068</v>
      </c>
      <c r="AG9" s="21">
        <f t="shared" ref="AG9:AL9" si="18">SUMIF($O:$O,$L$9,AG:AG)</f>
        <v>11874362.33</v>
      </c>
      <c r="AH9" s="21">
        <f t="shared" si="18"/>
        <v>0</v>
      </c>
      <c r="AI9" s="21">
        <f t="shared" si="18"/>
        <v>8243108.0699999994</v>
      </c>
      <c r="AJ9" s="21">
        <f t="shared" si="18"/>
        <v>5408788.2300000004</v>
      </c>
      <c r="AK9" s="21">
        <f t="shared" si="18"/>
        <v>39</v>
      </c>
      <c r="AL9" s="21">
        <f t="shared" si="18"/>
        <v>126711381.63</v>
      </c>
      <c r="AM9" s="25">
        <f>AL9/Q9</f>
        <v>0.66130934993386581</v>
      </c>
      <c r="AN9" s="21">
        <f t="shared" ref="AN9:AS9" si="19">SUMIF($O:$O,$L$9,AN:AN)</f>
        <v>11874362.33</v>
      </c>
      <c r="AO9" s="21">
        <f t="shared" si="19"/>
        <v>0</v>
      </c>
      <c r="AP9" s="21">
        <f t="shared" si="19"/>
        <v>8293359.4199999999</v>
      </c>
      <c r="AQ9" s="21">
        <f t="shared" si="19"/>
        <v>5408788.2300000004</v>
      </c>
      <c r="AR9" s="21">
        <f t="shared" si="19"/>
        <v>40</v>
      </c>
      <c r="AS9" s="21">
        <f t="shared" si="19"/>
        <v>12085804.260000002</v>
      </c>
      <c r="AT9" s="25">
        <f>AS9/Q9</f>
        <v>6.307606511581329E-2</v>
      </c>
      <c r="AU9" s="21">
        <f t="shared" ref="AU9:AZ9" si="20">SUMIF($O:$O,$L$9,AU:AU)</f>
        <v>0</v>
      </c>
      <c r="AV9" s="21">
        <f t="shared" si="20"/>
        <v>0</v>
      </c>
      <c r="AW9" s="21">
        <f t="shared" si="20"/>
        <v>2064874.9000000001</v>
      </c>
      <c r="AX9" s="21">
        <f t="shared" si="20"/>
        <v>117668.90000000001</v>
      </c>
      <c r="AY9" s="21">
        <f t="shared" si="20"/>
        <v>12</v>
      </c>
      <c r="AZ9" s="21">
        <f t="shared" si="20"/>
        <v>46489938.528800003</v>
      </c>
      <c r="BA9" s="25">
        <f>AZ9/Q9</f>
        <v>0.24263196116604535</v>
      </c>
      <c r="BB9" s="21">
        <f>SUMIF($O:$O,$L$9,BB:BB)</f>
        <v>2214114.0300000003</v>
      </c>
      <c r="BC9" s="21">
        <f>SUMIF($O:$O,$L$9,BC:BC)</f>
        <v>0</v>
      </c>
      <c r="BD9" s="21">
        <f>SUMIF($O:$O,$L$9,BD:BD)</f>
        <v>4151686.7200000016</v>
      </c>
      <c r="BE9" s="21">
        <f>SUMIF($O:$O,$L$9,BE:BE)</f>
        <v>1588415.56</v>
      </c>
    </row>
    <row r="10" spans="1:57" s="110" customFormat="1" ht="33" customHeight="1" x14ac:dyDescent="0.25">
      <c r="A10" s="33" t="s">
        <v>42</v>
      </c>
      <c r="B10" s="33" t="s">
        <v>43</v>
      </c>
      <c r="C10" s="33" t="s">
        <v>44</v>
      </c>
      <c r="D10" s="33" t="s">
        <v>45</v>
      </c>
      <c r="E10" s="33" t="s">
        <v>46</v>
      </c>
      <c r="F10" s="33" t="s">
        <v>47</v>
      </c>
      <c r="G10" s="33" t="s">
        <v>48</v>
      </c>
      <c r="H10" s="33" t="s">
        <v>49</v>
      </c>
      <c r="I10" s="33" t="s">
        <v>50</v>
      </c>
      <c r="J10" s="33" t="s">
        <v>51</v>
      </c>
      <c r="K10" s="33" t="s">
        <v>52</v>
      </c>
      <c r="L10" s="33" t="s">
        <v>53</v>
      </c>
      <c r="M10" s="33" t="s">
        <v>54</v>
      </c>
      <c r="N10" s="33" t="s">
        <v>55</v>
      </c>
      <c r="O10" s="33" t="s">
        <v>56</v>
      </c>
      <c r="P10" s="33" t="s">
        <v>57</v>
      </c>
      <c r="Q10" s="33" t="s">
        <v>58</v>
      </c>
      <c r="R10" s="33"/>
      <c r="S10" s="33" t="s">
        <v>59</v>
      </c>
      <c r="T10" s="109">
        <v>13</v>
      </c>
      <c r="U10" s="33" t="s">
        <v>60</v>
      </c>
      <c r="V10" s="33" t="s">
        <v>61</v>
      </c>
      <c r="W10" s="33" t="s">
        <v>62</v>
      </c>
      <c r="X10" s="33" t="s">
        <v>63</v>
      </c>
      <c r="Y10" s="33" t="s">
        <v>64</v>
      </c>
      <c r="Z10" s="33" t="s">
        <v>65</v>
      </c>
      <c r="AA10" s="33" t="s">
        <v>66</v>
      </c>
      <c r="AB10" s="33" t="s">
        <v>67</v>
      </c>
      <c r="AC10" s="33" t="s">
        <v>68</v>
      </c>
      <c r="AD10" s="33" t="s">
        <v>69</v>
      </c>
      <c r="AE10" s="33" t="s">
        <v>70</v>
      </c>
      <c r="AF10" s="33" t="s">
        <v>71</v>
      </c>
      <c r="AG10" s="33" t="s">
        <v>72</v>
      </c>
      <c r="AH10" s="33" t="s">
        <v>73</v>
      </c>
      <c r="AI10" s="33" t="s">
        <v>74</v>
      </c>
      <c r="AJ10" s="33" t="s">
        <v>75</v>
      </c>
      <c r="AK10" s="33" t="s">
        <v>76</v>
      </c>
      <c r="AL10" s="33" t="s">
        <v>77</v>
      </c>
      <c r="AM10" s="33" t="s">
        <v>78</v>
      </c>
      <c r="AN10" s="33" t="s">
        <v>79</v>
      </c>
      <c r="AO10" s="33" t="s">
        <v>80</v>
      </c>
      <c r="AP10" s="33" t="s">
        <v>81</v>
      </c>
      <c r="AQ10" s="33" t="s">
        <v>82</v>
      </c>
      <c r="AR10" s="33" t="s">
        <v>83</v>
      </c>
      <c r="AS10" s="33" t="s">
        <v>84</v>
      </c>
      <c r="AT10" s="33" t="s">
        <v>85</v>
      </c>
      <c r="AU10" s="33" t="s">
        <v>86</v>
      </c>
      <c r="AV10" s="33" t="s">
        <v>87</v>
      </c>
      <c r="AW10" s="33" t="s">
        <v>88</v>
      </c>
      <c r="AX10" s="33" t="s">
        <v>89</v>
      </c>
      <c r="AY10" s="33" t="s">
        <v>90</v>
      </c>
      <c r="AZ10" s="33" t="s">
        <v>91</v>
      </c>
      <c r="BA10" s="33" t="s">
        <v>92</v>
      </c>
      <c r="BB10" s="33" t="s">
        <v>93</v>
      </c>
      <c r="BC10" s="33" t="s">
        <v>94</v>
      </c>
      <c r="BD10" s="33" t="s">
        <v>95</v>
      </c>
      <c r="BE10" s="33" t="s">
        <v>96</v>
      </c>
    </row>
    <row r="11" spans="1:57" ht="33.950000000000003" customHeight="1" x14ac:dyDescent="0.3">
      <c r="A11" s="34">
        <v>1</v>
      </c>
      <c r="B11" s="34" t="s">
        <v>388</v>
      </c>
      <c r="C11" s="34" t="s">
        <v>839</v>
      </c>
      <c r="D11" s="34" t="s">
        <v>374</v>
      </c>
      <c r="E11" s="34" t="s">
        <v>435</v>
      </c>
      <c r="F11" s="34" t="s">
        <v>436</v>
      </c>
      <c r="G11" s="34" t="s">
        <v>437</v>
      </c>
      <c r="H11" s="73" t="s">
        <v>438</v>
      </c>
      <c r="I11" s="39" t="s">
        <v>97</v>
      </c>
      <c r="J11" s="39" t="s">
        <v>840</v>
      </c>
      <c r="K11" s="39" t="s">
        <v>429</v>
      </c>
      <c r="L11" s="36" t="s">
        <v>439</v>
      </c>
      <c r="M11" s="37" t="s">
        <v>440</v>
      </c>
      <c r="N11" s="37"/>
      <c r="O11" s="37" t="s">
        <v>39</v>
      </c>
      <c r="P11" s="37" t="s">
        <v>408</v>
      </c>
      <c r="Q11" s="74">
        <v>12239103</v>
      </c>
      <c r="R11" s="74" t="s">
        <v>429</v>
      </c>
      <c r="S11" s="74">
        <v>14398945</v>
      </c>
      <c r="T11" s="74"/>
      <c r="U11" s="75"/>
      <c r="V11" s="74"/>
      <c r="W11" s="80"/>
      <c r="X11" s="74">
        <v>10308687</v>
      </c>
      <c r="Y11" s="76">
        <v>0.84227471572058832</v>
      </c>
      <c r="Z11" s="74">
        <v>1819181</v>
      </c>
      <c r="AA11" s="74">
        <v>0</v>
      </c>
      <c r="AB11" s="74">
        <v>0</v>
      </c>
      <c r="AC11" s="74">
        <v>0</v>
      </c>
      <c r="AD11" s="74">
        <v>1</v>
      </c>
      <c r="AE11" s="74">
        <v>10308687</v>
      </c>
      <c r="AF11" s="76">
        <v>0.84227471572058832</v>
      </c>
      <c r="AG11" s="74">
        <v>1819181</v>
      </c>
      <c r="AH11" s="74">
        <v>0</v>
      </c>
      <c r="AI11" s="74">
        <v>0</v>
      </c>
      <c r="AJ11" s="74">
        <v>0</v>
      </c>
      <c r="AK11" s="74">
        <v>1</v>
      </c>
      <c r="AL11" s="74">
        <v>10308687</v>
      </c>
      <c r="AM11" s="77">
        <v>0.84227471572058832</v>
      </c>
      <c r="AN11" s="74">
        <v>1819181</v>
      </c>
      <c r="AO11" s="74">
        <v>0</v>
      </c>
      <c r="AP11" s="74">
        <v>0</v>
      </c>
      <c r="AQ11" s="74">
        <v>0</v>
      </c>
      <c r="AR11" s="74">
        <v>1</v>
      </c>
      <c r="AS11" s="74">
        <v>0</v>
      </c>
      <c r="AT11" s="77">
        <v>0</v>
      </c>
      <c r="AU11" s="74">
        <v>0</v>
      </c>
      <c r="AV11" s="74">
        <v>0</v>
      </c>
      <c r="AW11" s="74">
        <v>0</v>
      </c>
      <c r="AX11" s="74">
        <v>0</v>
      </c>
      <c r="AY11" s="74">
        <v>0</v>
      </c>
      <c r="AZ11" s="74">
        <v>1737161.51</v>
      </c>
      <c r="BA11" s="77">
        <v>0.14193536160288872</v>
      </c>
      <c r="BB11" s="74">
        <v>306557.90000000002</v>
      </c>
      <c r="BC11" s="74">
        <v>0</v>
      </c>
      <c r="BD11" s="74">
        <v>0</v>
      </c>
      <c r="BE11" s="74">
        <v>0</v>
      </c>
    </row>
    <row r="12" spans="1:57" ht="33.950000000000003" customHeight="1" x14ac:dyDescent="0.3">
      <c r="A12" s="34">
        <v>1</v>
      </c>
      <c r="B12" s="34" t="s">
        <v>388</v>
      </c>
      <c r="C12" s="34" t="s">
        <v>839</v>
      </c>
      <c r="D12" s="34" t="s">
        <v>374</v>
      </c>
      <c r="E12" s="34" t="s">
        <v>435</v>
      </c>
      <c r="F12" s="34" t="s">
        <v>436</v>
      </c>
      <c r="G12" s="34" t="s">
        <v>437</v>
      </c>
      <c r="H12" s="73" t="s">
        <v>441</v>
      </c>
      <c r="I12" s="39" t="s">
        <v>98</v>
      </c>
      <c r="J12" s="39" t="s">
        <v>841</v>
      </c>
      <c r="K12" s="39" t="s">
        <v>429</v>
      </c>
      <c r="L12" s="36" t="s">
        <v>442</v>
      </c>
      <c r="M12" s="37" t="s">
        <v>440</v>
      </c>
      <c r="N12" s="37"/>
      <c r="O12" s="37" t="s">
        <v>39</v>
      </c>
      <c r="P12" s="37" t="s">
        <v>408</v>
      </c>
      <c r="Q12" s="74">
        <v>36098377</v>
      </c>
      <c r="R12" s="74" t="s">
        <v>429</v>
      </c>
      <c r="S12" s="74">
        <v>57468679</v>
      </c>
      <c r="T12" s="74"/>
      <c r="U12" s="75"/>
      <c r="V12" s="74"/>
      <c r="W12" s="80"/>
      <c r="X12" s="74">
        <v>36098377.149999999</v>
      </c>
      <c r="Y12" s="76">
        <v>1.0000000041553114</v>
      </c>
      <c r="Z12" s="74">
        <v>6370301.8499999987</v>
      </c>
      <c r="AA12" s="74">
        <v>0</v>
      </c>
      <c r="AB12" s="74">
        <v>0</v>
      </c>
      <c r="AC12" s="74">
        <v>0</v>
      </c>
      <c r="AD12" s="74">
        <v>12</v>
      </c>
      <c r="AE12" s="74">
        <v>36098377.149999999</v>
      </c>
      <c r="AF12" s="76">
        <v>1.0000000041553114</v>
      </c>
      <c r="AG12" s="74">
        <v>6370301.8499999987</v>
      </c>
      <c r="AH12" s="74">
        <v>0</v>
      </c>
      <c r="AI12" s="74">
        <v>0</v>
      </c>
      <c r="AJ12" s="74">
        <v>0</v>
      </c>
      <c r="AK12" s="74">
        <v>12</v>
      </c>
      <c r="AL12" s="74">
        <v>36098377.149999999</v>
      </c>
      <c r="AM12" s="77">
        <v>1.0000000041553114</v>
      </c>
      <c r="AN12" s="74">
        <v>6370301.8499999987</v>
      </c>
      <c r="AO12" s="74">
        <v>0</v>
      </c>
      <c r="AP12" s="74">
        <v>0</v>
      </c>
      <c r="AQ12" s="74">
        <v>0</v>
      </c>
      <c r="AR12" s="74">
        <v>12</v>
      </c>
      <c r="AS12" s="74">
        <v>0</v>
      </c>
      <c r="AT12" s="77">
        <v>0</v>
      </c>
      <c r="AU12" s="74">
        <v>0</v>
      </c>
      <c r="AV12" s="74">
        <v>0</v>
      </c>
      <c r="AW12" s="74">
        <v>0</v>
      </c>
      <c r="AX12" s="74">
        <v>0</v>
      </c>
      <c r="AY12" s="74">
        <v>0</v>
      </c>
      <c r="AZ12" s="74">
        <v>10581251.889999999</v>
      </c>
      <c r="BA12" s="77">
        <v>0.29312264897671159</v>
      </c>
      <c r="BB12" s="74">
        <v>1867279.7100000002</v>
      </c>
      <c r="BC12" s="74">
        <v>0</v>
      </c>
      <c r="BD12" s="74">
        <v>0</v>
      </c>
      <c r="BE12" s="74">
        <v>0</v>
      </c>
    </row>
    <row r="13" spans="1:57" ht="33.950000000000003" customHeight="1" x14ac:dyDescent="0.3">
      <c r="A13" s="34">
        <v>1</v>
      </c>
      <c r="B13" s="34" t="s">
        <v>388</v>
      </c>
      <c r="C13" s="34" t="s">
        <v>839</v>
      </c>
      <c r="D13" s="34" t="s">
        <v>374</v>
      </c>
      <c r="E13" s="34" t="s">
        <v>435</v>
      </c>
      <c r="F13" s="34" t="s">
        <v>436</v>
      </c>
      <c r="G13" s="34" t="s">
        <v>437</v>
      </c>
      <c r="H13" s="73" t="s">
        <v>443</v>
      </c>
      <c r="I13" s="39" t="s">
        <v>99</v>
      </c>
      <c r="J13" s="39" t="s">
        <v>842</v>
      </c>
      <c r="K13" s="39" t="s">
        <v>429</v>
      </c>
      <c r="L13" s="36" t="s">
        <v>444</v>
      </c>
      <c r="M13" s="37">
        <v>1</v>
      </c>
      <c r="N13" s="37"/>
      <c r="O13" s="37" t="s">
        <v>39</v>
      </c>
      <c r="P13" s="37" t="s">
        <v>408</v>
      </c>
      <c r="Q13" s="74">
        <v>28764290</v>
      </c>
      <c r="R13" s="74" t="s">
        <v>429</v>
      </c>
      <c r="S13" s="74">
        <v>33840342</v>
      </c>
      <c r="T13" s="74"/>
      <c r="U13" s="75"/>
      <c r="V13" s="74"/>
      <c r="W13" s="80"/>
      <c r="X13" s="74">
        <v>28764289.070000008</v>
      </c>
      <c r="Y13" s="76">
        <v>0.9999999676682445</v>
      </c>
      <c r="Z13" s="74">
        <v>4091057.91</v>
      </c>
      <c r="AA13" s="74">
        <v>0</v>
      </c>
      <c r="AB13" s="74">
        <v>0</v>
      </c>
      <c r="AC13" s="74">
        <v>4950557.0899999989</v>
      </c>
      <c r="AD13" s="74">
        <v>57</v>
      </c>
      <c r="AE13" s="74">
        <v>28764289.070000008</v>
      </c>
      <c r="AF13" s="76">
        <v>0.9999999676682445</v>
      </c>
      <c r="AG13" s="74">
        <v>4091057.91</v>
      </c>
      <c r="AH13" s="74">
        <v>0</v>
      </c>
      <c r="AI13" s="74">
        <v>0</v>
      </c>
      <c r="AJ13" s="74">
        <v>4950557.0899999989</v>
      </c>
      <c r="AK13" s="74">
        <v>57</v>
      </c>
      <c r="AL13" s="74">
        <v>28764289.070000008</v>
      </c>
      <c r="AM13" s="77">
        <v>0.9999999676682445</v>
      </c>
      <c r="AN13" s="74">
        <v>4091057.91</v>
      </c>
      <c r="AO13" s="74">
        <v>0</v>
      </c>
      <c r="AP13" s="74">
        <v>0</v>
      </c>
      <c r="AQ13" s="74">
        <v>4950557.0899999989</v>
      </c>
      <c r="AR13" s="74">
        <v>57</v>
      </c>
      <c r="AS13" s="74">
        <v>0</v>
      </c>
      <c r="AT13" s="77">
        <v>0</v>
      </c>
      <c r="AU13" s="74">
        <v>0</v>
      </c>
      <c r="AV13" s="74">
        <v>0</v>
      </c>
      <c r="AW13" s="74">
        <v>0</v>
      </c>
      <c r="AX13" s="74">
        <v>0</v>
      </c>
      <c r="AY13" s="74">
        <v>0</v>
      </c>
      <c r="AZ13" s="74">
        <v>11493414.99</v>
      </c>
      <c r="BA13" s="77">
        <v>0.39957235134258484</v>
      </c>
      <c r="BB13" s="74">
        <v>1510761.2699999991</v>
      </c>
      <c r="BC13" s="74">
        <v>0</v>
      </c>
      <c r="BD13" s="74">
        <v>0</v>
      </c>
      <c r="BE13" s="74">
        <v>1378311.2500000007</v>
      </c>
    </row>
    <row r="14" spans="1:57" ht="33.950000000000003" customHeight="1" x14ac:dyDescent="0.3">
      <c r="A14" s="34">
        <v>1</v>
      </c>
      <c r="B14" s="34" t="s">
        <v>388</v>
      </c>
      <c r="C14" s="34" t="s">
        <v>839</v>
      </c>
      <c r="D14" s="34" t="s">
        <v>374</v>
      </c>
      <c r="E14" s="34" t="s">
        <v>435</v>
      </c>
      <c r="F14" s="34" t="s">
        <v>436</v>
      </c>
      <c r="G14" s="34" t="s">
        <v>437</v>
      </c>
      <c r="H14" s="73" t="s">
        <v>443</v>
      </c>
      <c r="I14" s="39" t="s">
        <v>100</v>
      </c>
      <c r="J14" s="39" t="s">
        <v>843</v>
      </c>
      <c r="K14" s="39" t="s">
        <v>429</v>
      </c>
      <c r="L14" s="36" t="s">
        <v>444</v>
      </c>
      <c r="M14" s="37">
        <v>2</v>
      </c>
      <c r="N14" s="37"/>
      <c r="O14" s="37" t="s">
        <v>39</v>
      </c>
      <c r="P14" s="37" t="s">
        <v>408</v>
      </c>
      <c r="Q14" s="74">
        <v>24372119</v>
      </c>
      <c r="R14" s="74" t="s">
        <v>429</v>
      </c>
      <c r="S14" s="74">
        <v>28673082</v>
      </c>
      <c r="T14" s="74"/>
      <c r="U14" s="75"/>
      <c r="V14" s="74"/>
      <c r="W14" s="80"/>
      <c r="X14" s="74">
        <v>58202957.400000006</v>
      </c>
      <c r="Y14" s="76">
        <v>2.3880958976115294</v>
      </c>
      <c r="Z14" s="74">
        <v>15270408.949999986</v>
      </c>
      <c r="AA14" s="74">
        <v>0</v>
      </c>
      <c r="AB14" s="74">
        <v>0</v>
      </c>
      <c r="AC14" s="74">
        <v>11833615.859999994</v>
      </c>
      <c r="AD14" s="74">
        <v>128</v>
      </c>
      <c r="AE14" s="74">
        <v>0</v>
      </c>
      <c r="AF14" s="76">
        <v>0</v>
      </c>
      <c r="AG14" s="74">
        <v>0</v>
      </c>
      <c r="AH14" s="74">
        <v>0</v>
      </c>
      <c r="AI14" s="74">
        <v>0</v>
      </c>
      <c r="AJ14" s="74">
        <v>0</v>
      </c>
      <c r="AK14" s="74">
        <v>0</v>
      </c>
      <c r="AL14" s="74">
        <v>0</v>
      </c>
      <c r="AM14" s="77">
        <v>0</v>
      </c>
      <c r="AN14" s="74">
        <v>0</v>
      </c>
      <c r="AO14" s="74">
        <v>0</v>
      </c>
      <c r="AP14" s="74">
        <v>0</v>
      </c>
      <c r="AQ14" s="74">
        <v>0</v>
      </c>
      <c r="AR14" s="74">
        <v>0</v>
      </c>
      <c r="AS14" s="74">
        <v>0</v>
      </c>
      <c r="AT14" s="77">
        <v>0</v>
      </c>
      <c r="AU14" s="74">
        <v>0</v>
      </c>
      <c r="AV14" s="74">
        <v>0</v>
      </c>
      <c r="AW14" s="74">
        <v>0</v>
      </c>
      <c r="AX14" s="74">
        <v>0</v>
      </c>
      <c r="AY14" s="74">
        <v>0</v>
      </c>
      <c r="AZ14" s="74">
        <v>0</v>
      </c>
      <c r="BA14" s="77">
        <v>0</v>
      </c>
      <c r="BB14" s="74">
        <v>0</v>
      </c>
      <c r="BC14" s="74">
        <v>0</v>
      </c>
      <c r="BD14" s="74">
        <v>0</v>
      </c>
      <c r="BE14" s="74">
        <v>0</v>
      </c>
    </row>
    <row r="15" spans="1:57" ht="33.950000000000003" customHeight="1" x14ac:dyDescent="0.3">
      <c r="A15" s="34">
        <v>1</v>
      </c>
      <c r="B15" s="34" t="s">
        <v>388</v>
      </c>
      <c r="C15" s="34" t="s">
        <v>839</v>
      </c>
      <c r="D15" s="34" t="s">
        <v>374</v>
      </c>
      <c r="E15" s="34" t="s">
        <v>435</v>
      </c>
      <c r="F15" s="34" t="s">
        <v>436</v>
      </c>
      <c r="G15" s="34" t="s">
        <v>437</v>
      </c>
      <c r="H15" s="73" t="s">
        <v>445</v>
      </c>
      <c r="I15" s="39" t="s">
        <v>101</v>
      </c>
      <c r="J15" s="39" t="s">
        <v>844</v>
      </c>
      <c r="K15" s="39" t="s">
        <v>429</v>
      </c>
      <c r="L15" s="36" t="s">
        <v>446</v>
      </c>
      <c r="M15" s="37">
        <v>1</v>
      </c>
      <c r="N15" s="37"/>
      <c r="O15" s="37" t="s">
        <v>39</v>
      </c>
      <c r="P15" s="37" t="s">
        <v>408</v>
      </c>
      <c r="Q15" s="74">
        <v>12200257</v>
      </c>
      <c r="R15" s="74" t="s">
        <v>429</v>
      </c>
      <c r="S15" s="74">
        <v>14353244</v>
      </c>
      <c r="T15" s="74"/>
      <c r="U15" s="75"/>
      <c r="V15" s="74"/>
      <c r="W15" s="80"/>
      <c r="X15" s="74">
        <v>12200257</v>
      </c>
      <c r="Y15" s="76">
        <v>1</v>
      </c>
      <c r="Z15" s="74">
        <v>2152987</v>
      </c>
      <c r="AA15" s="74">
        <v>0</v>
      </c>
      <c r="AB15" s="74">
        <v>0</v>
      </c>
      <c r="AC15" s="74">
        <v>0</v>
      </c>
      <c r="AD15" s="74">
        <v>1</v>
      </c>
      <c r="AE15" s="74">
        <v>12200257</v>
      </c>
      <c r="AF15" s="76">
        <v>1</v>
      </c>
      <c r="AG15" s="74">
        <v>2152987</v>
      </c>
      <c r="AH15" s="74">
        <v>0</v>
      </c>
      <c r="AI15" s="74">
        <v>0</v>
      </c>
      <c r="AJ15" s="74">
        <v>0</v>
      </c>
      <c r="AK15" s="74">
        <v>1</v>
      </c>
      <c r="AL15" s="74">
        <v>12200257</v>
      </c>
      <c r="AM15" s="77">
        <v>1</v>
      </c>
      <c r="AN15" s="74">
        <v>2152987</v>
      </c>
      <c r="AO15" s="74">
        <v>0</v>
      </c>
      <c r="AP15" s="74">
        <v>0</v>
      </c>
      <c r="AQ15" s="74">
        <v>0</v>
      </c>
      <c r="AR15" s="74">
        <v>1</v>
      </c>
      <c r="AS15" s="74">
        <v>0</v>
      </c>
      <c r="AT15" s="77">
        <v>0</v>
      </c>
      <c r="AU15" s="74">
        <v>0</v>
      </c>
      <c r="AV15" s="74">
        <v>0</v>
      </c>
      <c r="AW15" s="74">
        <v>0</v>
      </c>
      <c r="AX15" s="74">
        <v>0</v>
      </c>
      <c r="AY15" s="74">
        <v>0</v>
      </c>
      <c r="AZ15" s="74">
        <v>5448800.9199999999</v>
      </c>
      <c r="BA15" s="77">
        <v>0.44661361805739008</v>
      </c>
      <c r="BB15" s="74">
        <v>961553.09000000008</v>
      </c>
      <c r="BC15" s="74">
        <v>0</v>
      </c>
      <c r="BD15" s="74">
        <v>0</v>
      </c>
      <c r="BE15" s="74">
        <v>0</v>
      </c>
    </row>
    <row r="16" spans="1:57" ht="33.950000000000003" customHeight="1" x14ac:dyDescent="0.3">
      <c r="A16" s="34">
        <v>1</v>
      </c>
      <c r="B16" s="34" t="s">
        <v>388</v>
      </c>
      <c r="C16" s="34" t="s">
        <v>839</v>
      </c>
      <c r="D16" s="34" t="s">
        <v>374</v>
      </c>
      <c r="E16" s="34" t="s">
        <v>435</v>
      </c>
      <c r="F16" s="34" t="s">
        <v>436</v>
      </c>
      <c r="G16" s="34" t="s">
        <v>437</v>
      </c>
      <c r="H16" s="73" t="s">
        <v>445</v>
      </c>
      <c r="I16" s="39" t="s">
        <v>102</v>
      </c>
      <c r="J16" s="39" t="s">
        <v>845</v>
      </c>
      <c r="K16" s="39" t="s">
        <v>429</v>
      </c>
      <c r="L16" s="36" t="s">
        <v>446</v>
      </c>
      <c r="M16" s="37">
        <v>2</v>
      </c>
      <c r="N16" s="37"/>
      <c r="O16" s="37" t="s">
        <v>39</v>
      </c>
      <c r="P16" s="37" t="s">
        <v>408</v>
      </c>
      <c r="Q16" s="74">
        <v>20114979</v>
      </c>
      <c r="R16" s="74" t="s">
        <v>429</v>
      </c>
      <c r="S16" s="74">
        <v>21367009</v>
      </c>
      <c r="T16" s="74"/>
      <c r="U16" s="75"/>
      <c r="V16" s="74"/>
      <c r="W16" s="80"/>
      <c r="X16" s="74">
        <v>14050500.270000001</v>
      </c>
      <c r="Y16" s="76">
        <v>0.69850931835424745</v>
      </c>
      <c r="Z16" s="74">
        <v>2479500.1800000006</v>
      </c>
      <c r="AA16" s="74">
        <v>0</v>
      </c>
      <c r="AB16" s="74">
        <v>0</v>
      </c>
      <c r="AC16" s="74">
        <v>0</v>
      </c>
      <c r="AD16" s="74">
        <v>23</v>
      </c>
      <c r="AE16" s="74">
        <v>13735947.780000001</v>
      </c>
      <c r="AF16" s="76">
        <v>0.68287159434767497</v>
      </c>
      <c r="AG16" s="74">
        <v>2423990.9100000006</v>
      </c>
      <c r="AH16" s="74">
        <v>0</v>
      </c>
      <c r="AI16" s="74">
        <v>0</v>
      </c>
      <c r="AJ16" s="74">
        <v>0</v>
      </c>
      <c r="AK16" s="74">
        <v>21</v>
      </c>
      <c r="AL16" s="74">
        <v>13243923.060000001</v>
      </c>
      <c r="AM16" s="77">
        <v>0.65841098118968955</v>
      </c>
      <c r="AN16" s="74">
        <v>2337162.9900000002</v>
      </c>
      <c r="AO16" s="74">
        <v>0</v>
      </c>
      <c r="AP16" s="74">
        <v>0</v>
      </c>
      <c r="AQ16" s="74">
        <v>0</v>
      </c>
      <c r="AR16" s="74">
        <v>18</v>
      </c>
      <c r="AS16" s="74">
        <v>0</v>
      </c>
      <c r="AT16" s="77">
        <v>0</v>
      </c>
      <c r="AU16" s="74">
        <v>0</v>
      </c>
      <c r="AV16" s="74">
        <v>0</v>
      </c>
      <c r="AW16" s="74">
        <v>0</v>
      </c>
      <c r="AX16" s="74">
        <v>0</v>
      </c>
      <c r="AY16" s="74">
        <v>0</v>
      </c>
      <c r="AZ16" s="74">
        <v>2435726.16</v>
      </c>
      <c r="BA16" s="77">
        <v>0.12109016668622921</v>
      </c>
      <c r="BB16" s="74">
        <v>429834.02999999997</v>
      </c>
      <c r="BC16" s="74">
        <v>0</v>
      </c>
      <c r="BD16" s="74">
        <v>0</v>
      </c>
      <c r="BE16" s="74">
        <v>0</v>
      </c>
    </row>
    <row r="17" spans="1:57" ht="33.950000000000003" customHeight="1" x14ac:dyDescent="0.3">
      <c r="A17" s="34">
        <v>1</v>
      </c>
      <c r="B17" s="34" t="s">
        <v>388</v>
      </c>
      <c r="C17" s="34" t="s">
        <v>839</v>
      </c>
      <c r="D17" s="34" t="s">
        <v>374</v>
      </c>
      <c r="E17" s="34" t="s">
        <v>435</v>
      </c>
      <c r="F17" s="34" t="s">
        <v>436</v>
      </c>
      <c r="G17" s="34" t="s">
        <v>437</v>
      </c>
      <c r="H17" s="73" t="s">
        <v>445</v>
      </c>
      <c r="I17" s="39" t="s">
        <v>103</v>
      </c>
      <c r="J17" s="39" t="s">
        <v>846</v>
      </c>
      <c r="K17" s="39" t="s">
        <v>429</v>
      </c>
      <c r="L17" s="36" t="s">
        <v>446</v>
      </c>
      <c r="M17" s="37">
        <v>3</v>
      </c>
      <c r="N17" s="37"/>
      <c r="O17" s="37" t="s">
        <v>39</v>
      </c>
      <c r="P17" s="37" t="s">
        <v>408</v>
      </c>
      <c r="Q17" s="74">
        <v>13413000</v>
      </c>
      <c r="R17" s="74" t="s">
        <v>429</v>
      </c>
      <c r="S17" s="74">
        <v>15780000</v>
      </c>
      <c r="T17" s="74"/>
      <c r="U17" s="75"/>
      <c r="V17" s="74"/>
      <c r="W17" s="80"/>
      <c r="X17" s="74">
        <v>13413000</v>
      </c>
      <c r="Y17" s="76">
        <v>1</v>
      </c>
      <c r="Z17" s="74">
        <v>2367000</v>
      </c>
      <c r="AA17" s="74">
        <v>0</v>
      </c>
      <c r="AB17" s="74">
        <v>0</v>
      </c>
      <c r="AC17" s="74">
        <v>0</v>
      </c>
      <c r="AD17" s="74">
        <v>14</v>
      </c>
      <c r="AE17" s="74">
        <v>13413000</v>
      </c>
      <c r="AF17" s="76">
        <v>1</v>
      </c>
      <c r="AG17" s="74">
        <v>2367000</v>
      </c>
      <c r="AH17" s="74">
        <v>0</v>
      </c>
      <c r="AI17" s="74">
        <v>0</v>
      </c>
      <c r="AJ17" s="74">
        <v>0</v>
      </c>
      <c r="AK17" s="74">
        <v>14</v>
      </c>
      <c r="AL17" s="74">
        <v>13413000</v>
      </c>
      <c r="AM17" s="77">
        <v>1</v>
      </c>
      <c r="AN17" s="74">
        <v>2367000</v>
      </c>
      <c r="AO17" s="74">
        <v>0</v>
      </c>
      <c r="AP17" s="74">
        <v>0</v>
      </c>
      <c r="AQ17" s="74">
        <v>0</v>
      </c>
      <c r="AR17" s="74">
        <v>14</v>
      </c>
      <c r="AS17" s="74">
        <v>0</v>
      </c>
      <c r="AT17" s="77">
        <v>0</v>
      </c>
      <c r="AU17" s="74">
        <v>0</v>
      </c>
      <c r="AV17" s="74">
        <v>0</v>
      </c>
      <c r="AW17" s="74">
        <v>0</v>
      </c>
      <c r="AX17" s="74">
        <v>0</v>
      </c>
      <c r="AY17" s="74">
        <v>0</v>
      </c>
      <c r="AZ17" s="74">
        <v>3157007.5700000003</v>
      </c>
      <c r="BA17" s="77">
        <v>0.23536923656154479</v>
      </c>
      <c r="BB17" s="74">
        <v>557119.00999999989</v>
      </c>
      <c r="BC17" s="74">
        <v>0</v>
      </c>
      <c r="BD17" s="74">
        <v>0</v>
      </c>
      <c r="BE17" s="74">
        <v>0</v>
      </c>
    </row>
    <row r="18" spans="1:57" ht="33.950000000000003" customHeight="1" x14ac:dyDescent="0.3">
      <c r="A18" s="34">
        <v>1</v>
      </c>
      <c r="B18" s="34" t="s">
        <v>388</v>
      </c>
      <c r="C18" s="34" t="s">
        <v>839</v>
      </c>
      <c r="D18" s="34" t="s">
        <v>374</v>
      </c>
      <c r="E18" s="34" t="s">
        <v>435</v>
      </c>
      <c r="F18" s="34" t="s">
        <v>436</v>
      </c>
      <c r="G18" s="34" t="s">
        <v>437</v>
      </c>
      <c r="H18" s="73" t="s">
        <v>447</v>
      </c>
      <c r="I18" s="39" t="s">
        <v>104</v>
      </c>
      <c r="J18" s="39" t="s">
        <v>847</v>
      </c>
      <c r="K18" s="39" t="s">
        <v>429</v>
      </c>
      <c r="L18" s="36" t="s">
        <v>448</v>
      </c>
      <c r="M18" s="37" t="s">
        <v>440</v>
      </c>
      <c r="N18" s="37"/>
      <c r="O18" s="37" t="s">
        <v>39</v>
      </c>
      <c r="P18" s="37" t="s">
        <v>408</v>
      </c>
      <c r="Q18" s="74">
        <v>18487501</v>
      </c>
      <c r="R18" s="74" t="s">
        <v>429</v>
      </c>
      <c r="S18" s="74">
        <v>16742224</v>
      </c>
      <c r="T18" s="74"/>
      <c r="U18" s="75"/>
      <c r="V18" s="74"/>
      <c r="W18" s="80"/>
      <c r="X18" s="74">
        <v>14230890</v>
      </c>
      <c r="Y18" s="76">
        <v>0.76975736201447675</v>
      </c>
      <c r="Z18" s="74">
        <v>2511334</v>
      </c>
      <c r="AA18" s="74">
        <v>0</v>
      </c>
      <c r="AB18" s="74">
        <v>0</v>
      </c>
      <c r="AC18" s="74">
        <v>0</v>
      </c>
      <c r="AD18" s="74">
        <v>1</v>
      </c>
      <c r="AE18" s="74">
        <v>14230890</v>
      </c>
      <c r="AF18" s="76">
        <v>0.76975736201447675</v>
      </c>
      <c r="AG18" s="74">
        <v>2511334</v>
      </c>
      <c r="AH18" s="74">
        <v>0</v>
      </c>
      <c r="AI18" s="74">
        <v>0</v>
      </c>
      <c r="AJ18" s="74">
        <v>0</v>
      </c>
      <c r="AK18" s="74">
        <v>1</v>
      </c>
      <c r="AL18" s="74">
        <v>14230890</v>
      </c>
      <c r="AM18" s="77">
        <v>0.76975736201447675</v>
      </c>
      <c r="AN18" s="74">
        <v>2511334</v>
      </c>
      <c r="AO18" s="74">
        <v>0</v>
      </c>
      <c r="AP18" s="74">
        <v>0</v>
      </c>
      <c r="AQ18" s="74">
        <v>0</v>
      </c>
      <c r="AR18" s="74">
        <v>1</v>
      </c>
      <c r="AS18" s="74">
        <v>0</v>
      </c>
      <c r="AT18" s="77">
        <v>0</v>
      </c>
      <c r="AU18" s="74">
        <v>0</v>
      </c>
      <c r="AV18" s="74">
        <v>0</v>
      </c>
      <c r="AW18" s="74">
        <v>0</v>
      </c>
      <c r="AX18" s="74">
        <v>0</v>
      </c>
      <c r="AY18" s="74">
        <v>0</v>
      </c>
      <c r="AZ18" s="74">
        <v>670446.88</v>
      </c>
      <c r="BA18" s="77">
        <v>3.6264873224347627E-2</v>
      </c>
      <c r="BB18" s="74">
        <v>118314.16</v>
      </c>
      <c r="BC18" s="74">
        <v>0</v>
      </c>
      <c r="BD18" s="74">
        <v>0</v>
      </c>
      <c r="BE18" s="74">
        <v>0</v>
      </c>
    </row>
    <row r="19" spans="1:57" ht="33.950000000000003" customHeight="1" x14ac:dyDescent="0.3">
      <c r="A19" s="34">
        <v>1</v>
      </c>
      <c r="B19" s="34" t="s">
        <v>388</v>
      </c>
      <c r="C19" s="34" t="s">
        <v>839</v>
      </c>
      <c r="D19" s="34" t="s">
        <v>374</v>
      </c>
      <c r="E19" s="34" t="s">
        <v>435</v>
      </c>
      <c r="F19" s="34" t="s">
        <v>436</v>
      </c>
      <c r="G19" s="34" t="s">
        <v>449</v>
      </c>
      <c r="H19" s="73" t="s">
        <v>450</v>
      </c>
      <c r="I19" s="39" t="s">
        <v>105</v>
      </c>
      <c r="J19" s="39" t="s">
        <v>848</v>
      </c>
      <c r="K19" s="39" t="s">
        <v>429</v>
      </c>
      <c r="L19" s="36" t="s">
        <v>451</v>
      </c>
      <c r="M19" s="37" t="s">
        <v>440</v>
      </c>
      <c r="N19" s="37"/>
      <c r="O19" s="37" t="s">
        <v>39</v>
      </c>
      <c r="P19" s="37" t="s">
        <v>408</v>
      </c>
      <c r="Q19" s="74">
        <v>9134591</v>
      </c>
      <c r="R19" s="74" t="s">
        <v>429</v>
      </c>
      <c r="S19" s="74">
        <v>10746578</v>
      </c>
      <c r="T19" s="74"/>
      <c r="U19" s="75"/>
      <c r="V19" s="74"/>
      <c r="W19" s="80"/>
      <c r="X19" s="74">
        <v>9134590.5599999987</v>
      </c>
      <c r="Y19" s="76">
        <v>0.99999995183145018</v>
      </c>
      <c r="Z19" s="74">
        <v>508124.6</v>
      </c>
      <c r="AA19" s="74">
        <v>0</v>
      </c>
      <c r="AB19" s="74">
        <v>0</v>
      </c>
      <c r="AC19" s="74">
        <v>1156956.07</v>
      </c>
      <c r="AD19" s="74">
        <v>6</v>
      </c>
      <c r="AE19" s="74">
        <v>9134590.5599999987</v>
      </c>
      <c r="AF19" s="76">
        <v>0.99999995183145018</v>
      </c>
      <c r="AG19" s="74">
        <v>508124.6</v>
      </c>
      <c r="AH19" s="74">
        <v>0</v>
      </c>
      <c r="AI19" s="74">
        <v>0</v>
      </c>
      <c r="AJ19" s="74">
        <v>1156956.07</v>
      </c>
      <c r="AK19" s="74">
        <v>6</v>
      </c>
      <c r="AL19" s="74">
        <v>9134590.5599999987</v>
      </c>
      <c r="AM19" s="77">
        <v>0.99999995183145018</v>
      </c>
      <c r="AN19" s="74">
        <v>508124.6</v>
      </c>
      <c r="AO19" s="74">
        <v>0</v>
      </c>
      <c r="AP19" s="74">
        <v>0</v>
      </c>
      <c r="AQ19" s="74">
        <v>1156956.07</v>
      </c>
      <c r="AR19" s="74">
        <v>6</v>
      </c>
      <c r="AS19" s="74">
        <v>0</v>
      </c>
      <c r="AT19" s="77">
        <v>0</v>
      </c>
      <c r="AU19" s="74">
        <v>0</v>
      </c>
      <c r="AV19" s="74">
        <v>0</v>
      </c>
      <c r="AW19" s="74">
        <v>0</v>
      </c>
      <c r="AX19" s="74">
        <v>0</v>
      </c>
      <c r="AY19" s="74">
        <v>0</v>
      </c>
      <c r="AZ19" s="74">
        <v>960508.43</v>
      </c>
      <c r="BA19" s="77">
        <v>0.1051506772443342</v>
      </c>
      <c r="BB19" s="74">
        <v>51789.650000000009</v>
      </c>
      <c r="BC19" s="74">
        <v>0</v>
      </c>
      <c r="BD19" s="74">
        <v>0</v>
      </c>
      <c r="BE19" s="74">
        <v>53516.52</v>
      </c>
    </row>
    <row r="20" spans="1:57" ht="33.950000000000003" customHeight="1" x14ac:dyDescent="0.3">
      <c r="A20" s="34">
        <v>1</v>
      </c>
      <c r="B20" s="34" t="s">
        <v>388</v>
      </c>
      <c r="C20" s="34" t="s">
        <v>839</v>
      </c>
      <c r="D20" s="34" t="s">
        <v>374</v>
      </c>
      <c r="E20" s="34" t="s">
        <v>435</v>
      </c>
      <c r="F20" s="34" t="s">
        <v>436</v>
      </c>
      <c r="G20" s="34" t="s">
        <v>449</v>
      </c>
      <c r="H20" s="73" t="s">
        <v>452</v>
      </c>
      <c r="I20" s="39" t="s">
        <v>106</v>
      </c>
      <c r="J20" s="39" t="s">
        <v>849</v>
      </c>
      <c r="K20" s="39" t="s">
        <v>429</v>
      </c>
      <c r="L20" s="36" t="s">
        <v>453</v>
      </c>
      <c r="M20" s="37" t="s">
        <v>440</v>
      </c>
      <c r="N20" s="37"/>
      <c r="O20" s="37" t="s">
        <v>39</v>
      </c>
      <c r="P20" s="37" t="s">
        <v>408</v>
      </c>
      <c r="Q20" s="74">
        <v>17173230</v>
      </c>
      <c r="R20" s="74" t="s">
        <v>429</v>
      </c>
      <c r="S20" s="74">
        <v>20203800</v>
      </c>
      <c r="T20" s="74"/>
      <c r="U20" s="75"/>
      <c r="V20" s="74"/>
      <c r="W20" s="80"/>
      <c r="X20" s="74">
        <v>17173229.899999999</v>
      </c>
      <c r="Y20" s="76">
        <v>0.99999999417698349</v>
      </c>
      <c r="Z20" s="74">
        <v>3030569.98</v>
      </c>
      <c r="AA20" s="74">
        <v>0</v>
      </c>
      <c r="AB20" s="74">
        <v>0</v>
      </c>
      <c r="AC20" s="74">
        <v>0</v>
      </c>
      <c r="AD20" s="74">
        <v>7</v>
      </c>
      <c r="AE20" s="74">
        <v>17173229.899999999</v>
      </c>
      <c r="AF20" s="76">
        <v>0.99999999417698349</v>
      </c>
      <c r="AG20" s="74">
        <v>3030569.98</v>
      </c>
      <c r="AH20" s="74">
        <v>0</v>
      </c>
      <c r="AI20" s="74">
        <v>0</v>
      </c>
      <c r="AJ20" s="74">
        <v>0</v>
      </c>
      <c r="AK20" s="74">
        <v>7</v>
      </c>
      <c r="AL20" s="74">
        <v>17173229.899999999</v>
      </c>
      <c r="AM20" s="77">
        <v>0.99999999417698349</v>
      </c>
      <c r="AN20" s="74">
        <v>3030569.98</v>
      </c>
      <c r="AO20" s="74">
        <v>0</v>
      </c>
      <c r="AP20" s="74">
        <v>0</v>
      </c>
      <c r="AQ20" s="74">
        <v>0</v>
      </c>
      <c r="AR20" s="74">
        <v>7</v>
      </c>
      <c r="AS20" s="74">
        <v>0</v>
      </c>
      <c r="AT20" s="77">
        <v>0</v>
      </c>
      <c r="AU20" s="74">
        <v>0</v>
      </c>
      <c r="AV20" s="74">
        <v>0</v>
      </c>
      <c r="AW20" s="74">
        <v>0</v>
      </c>
      <c r="AX20" s="74">
        <v>0</v>
      </c>
      <c r="AY20" s="74">
        <v>0</v>
      </c>
      <c r="AZ20" s="74">
        <v>3065516.1300000008</v>
      </c>
      <c r="BA20" s="77">
        <v>0.17850550711776414</v>
      </c>
      <c r="BB20" s="74">
        <v>540973.40000000014</v>
      </c>
      <c r="BC20" s="74">
        <v>0</v>
      </c>
      <c r="BD20" s="74">
        <v>0</v>
      </c>
      <c r="BE20" s="74">
        <v>0</v>
      </c>
    </row>
    <row r="21" spans="1:57" ht="33.950000000000003" customHeight="1" x14ac:dyDescent="0.3">
      <c r="A21" s="34">
        <v>1</v>
      </c>
      <c r="B21" s="34" t="s">
        <v>388</v>
      </c>
      <c r="C21" s="34" t="s">
        <v>839</v>
      </c>
      <c r="D21" s="34" t="s">
        <v>374</v>
      </c>
      <c r="E21" s="34" t="s">
        <v>435</v>
      </c>
      <c r="F21" s="34" t="s">
        <v>436</v>
      </c>
      <c r="G21" s="34" t="s">
        <v>449</v>
      </c>
      <c r="H21" s="73" t="s">
        <v>454</v>
      </c>
      <c r="I21" s="39" t="s">
        <v>107</v>
      </c>
      <c r="J21" s="39" t="s">
        <v>850</v>
      </c>
      <c r="K21" s="39" t="s">
        <v>429</v>
      </c>
      <c r="L21" s="36" t="s">
        <v>455</v>
      </c>
      <c r="M21" s="37" t="s">
        <v>440</v>
      </c>
      <c r="N21" s="37"/>
      <c r="O21" s="37" t="s">
        <v>39</v>
      </c>
      <c r="P21" s="37" t="s">
        <v>408</v>
      </c>
      <c r="Q21" s="74">
        <v>43256500</v>
      </c>
      <c r="R21" s="74" t="s">
        <v>429</v>
      </c>
      <c r="S21" s="74">
        <v>43195451</v>
      </c>
      <c r="T21" s="74"/>
      <c r="U21" s="75"/>
      <c r="V21" s="74"/>
      <c r="W21" s="80"/>
      <c r="X21" s="74">
        <v>37774519</v>
      </c>
      <c r="Y21" s="76">
        <v>0.87326804064129093</v>
      </c>
      <c r="Z21" s="74">
        <v>4797862</v>
      </c>
      <c r="AA21" s="74">
        <v>0</v>
      </c>
      <c r="AB21" s="74">
        <v>0</v>
      </c>
      <c r="AC21" s="74">
        <v>1868230</v>
      </c>
      <c r="AD21" s="74">
        <v>1</v>
      </c>
      <c r="AE21" s="74">
        <v>37774519</v>
      </c>
      <c r="AF21" s="76">
        <v>0.87326804064129093</v>
      </c>
      <c r="AG21" s="74">
        <v>4797862</v>
      </c>
      <c r="AH21" s="74">
        <v>0</v>
      </c>
      <c r="AI21" s="74">
        <v>0</v>
      </c>
      <c r="AJ21" s="74">
        <v>1868230</v>
      </c>
      <c r="AK21" s="74">
        <v>1</v>
      </c>
      <c r="AL21" s="74">
        <v>37774519</v>
      </c>
      <c r="AM21" s="77">
        <v>0.87326804064129093</v>
      </c>
      <c r="AN21" s="74">
        <v>4797862</v>
      </c>
      <c r="AO21" s="74">
        <v>0</v>
      </c>
      <c r="AP21" s="74">
        <v>0</v>
      </c>
      <c r="AQ21" s="74">
        <v>1868230</v>
      </c>
      <c r="AR21" s="74">
        <v>1</v>
      </c>
      <c r="AS21" s="74">
        <v>0</v>
      </c>
      <c r="AT21" s="77">
        <v>0</v>
      </c>
      <c r="AU21" s="74">
        <v>0</v>
      </c>
      <c r="AV21" s="74">
        <v>0</v>
      </c>
      <c r="AW21" s="74">
        <v>0</v>
      </c>
      <c r="AX21" s="74">
        <v>0</v>
      </c>
      <c r="AY21" s="74">
        <v>0</v>
      </c>
      <c r="AZ21" s="74">
        <v>2350247.21</v>
      </c>
      <c r="BA21" s="77">
        <v>5.4332810329083492E-2</v>
      </c>
      <c r="BB21" s="74">
        <v>327066.66000000003</v>
      </c>
      <c r="BC21" s="74">
        <v>0</v>
      </c>
      <c r="BD21" s="74">
        <v>0</v>
      </c>
      <c r="BE21" s="74">
        <v>87683.36</v>
      </c>
    </row>
    <row r="22" spans="1:57" ht="33.950000000000003" customHeight="1" x14ac:dyDescent="0.3">
      <c r="A22" s="34">
        <v>1</v>
      </c>
      <c r="B22" s="34" t="s">
        <v>388</v>
      </c>
      <c r="C22" s="34" t="s">
        <v>839</v>
      </c>
      <c r="D22" s="34" t="s">
        <v>374</v>
      </c>
      <c r="E22" s="34" t="s">
        <v>435</v>
      </c>
      <c r="F22" s="34" t="s">
        <v>456</v>
      </c>
      <c r="G22" s="34" t="s">
        <v>457</v>
      </c>
      <c r="H22" s="73" t="s">
        <v>458</v>
      </c>
      <c r="I22" s="39" t="s">
        <v>108</v>
      </c>
      <c r="J22" s="39" t="s">
        <v>851</v>
      </c>
      <c r="K22" s="39" t="s">
        <v>429</v>
      </c>
      <c r="L22" s="36" t="s">
        <v>459</v>
      </c>
      <c r="M22" s="37" t="s">
        <v>440</v>
      </c>
      <c r="N22" s="37"/>
      <c r="O22" s="37" t="s">
        <v>39</v>
      </c>
      <c r="P22" s="37" t="s">
        <v>408</v>
      </c>
      <c r="Q22" s="74">
        <v>7425770</v>
      </c>
      <c r="R22" s="74" t="s">
        <v>429</v>
      </c>
      <c r="S22" s="74">
        <v>8736200</v>
      </c>
      <c r="T22" s="74"/>
      <c r="U22" s="75"/>
      <c r="V22" s="74"/>
      <c r="W22" s="80"/>
      <c r="X22" s="74">
        <v>7425770</v>
      </c>
      <c r="Y22" s="76">
        <v>1</v>
      </c>
      <c r="Z22" s="74">
        <v>1310430</v>
      </c>
      <c r="AA22" s="74">
        <v>0</v>
      </c>
      <c r="AB22" s="74">
        <v>0</v>
      </c>
      <c r="AC22" s="74">
        <v>0</v>
      </c>
      <c r="AD22" s="74">
        <v>1</v>
      </c>
      <c r="AE22" s="74">
        <v>7425770</v>
      </c>
      <c r="AF22" s="76">
        <v>1</v>
      </c>
      <c r="AG22" s="74">
        <v>1310430</v>
      </c>
      <c r="AH22" s="74">
        <v>0</v>
      </c>
      <c r="AI22" s="74">
        <v>0</v>
      </c>
      <c r="AJ22" s="74">
        <v>0</v>
      </c>
      <c r="AK22" s="74">
        <v>1</v>
      </c>
      <c r="AL22" s="74">
        <v>7425770</v>
      </c>
      <c r="AM22" s="77">
        <v>1</v>
      </c>
      <c r="AN22" s="74">
        <v>1310430</v>
      </c>
      <c r="AO22" s="74">
        <v>0</v>
      </c>
      <c r="AP22" s="74">
        <v>0</v>
      </c>
      <c r="AQ22" s="74">
        <v>0</v>
      </c>
      <c r="AR22" s="74">
        <v>1</v>
      </c>
      <c r="AS22" s="74">
        <v>0</v>
      </c>
      <c r="AT22" s="77">
        <v>0</v>
      </c>
      <c r="AU22" s="74">
        <v>0</v>
      </c>
      <c r="AV22" s="74">
        <v>0</v>
      </c>
      <c r="AW22" s="74">
        <v>0</v>
      </c>
      <c r="AX22" s="74">
        <v>0</v>
      </c>
      <c r="AY22" s="74">
        <v>0</v>
      </c>
      <c r="AZ22" s="74">
        <v>145217.78</v>
      </c>
      <c r="BA22" s="77">
        <v>1.9555922146794205E-2</v>
      </c>
      <c r="BB22" s="74">
        <v>25626.67</v>
      </c>
      <c r="BC22" s="74">
        <v>0</v>
      </c>
      <c r="BD22" s="74">
        <v>0</v>
      </c>
      <c r="BE22" s="74">
        <v>0</v>
      </c>
    </row>
    <row r="23" spans="1:57" ht="33.950000000000003" customHeight="1" x14ac:dyDescent="0.3">
      <c r="A23" s="34">
        <v>1</v>
      </c>
      <c r="B23" s="34" t="s">
        <v>388</v>
      </c>
      <c r="C23" s="34" t="s">
        <v>839</v>
      </c>
      <c r="D23" s="34" t="s">
        <v>460</v>
      </c>
      <c r="E23" s="34" t="s">
        <v>461</v>
      </c>
      <c r="F23" s="34" t="s">
        <v>462</v>
      </c>
      <c r="G23" s="34" t="s">
        <v>463</v>
      </c>
      <c r="H23" s="73" t="s">
        <v>464</v>
      </c>
      <c r="I23" s="39" t="s">
        <v>109</v>
      </c>
      <c r="J23" s="39" t="s">
        <v>852</v>
      </c>
      <c r="K23" s="39" t="s">
        <v>429</v>
      </c>
      <c r="L23" s="36" t="s">
        <v>465</v>
      </c>
      <c r="M23" s="37">
        <v>1</v>
      </c>
      <c r="N23" s="37"/>
      <c r="O23" s="37" t="s">
        <v>39</v>
      </c>
      <c r="P23" s="37" t="s">
        <v>406</v>
      </c>
      <c r="Q23" s="74">
        <v>5633633</v>
      </c>
      <c r="R23" s="74" t="s">
        <v>429</v>
      </c>
      <c r="S23" s="74">
        <v>6627804</v>
      </c>
      <c r="T23" s="74"/>
      <c r="U23" s="75"/>
      <c r="V23" s="74"/>
      <c r="W23" s="80"/>
      <c r="X23" s="74">
        <v>4745064</v>
      </c>
      <c r="Y23" s="76">
        <v>0.84227424825152797</v>
      </c>
      <c r="Z23" s="74">
        <v>837365</v>
      </c>
      <c r="AA23" s="74">
        <v>0</v>
      </c>
      <c r="AB23" s="74">
        <v>0</v>
      </c>
      <c r="AC23" s="74">
        <v>1442275</v>
      </c>
      <c r="AD23" s="74">
        <v>3</v>
      </c>
      <c r="AE23" s="74">
        <v>4745064</v>
      </c>
      <c r="AF23" s="76">
        <v>0.84227424825152797</v>
      </c>
      <c r="AG23" s="74">
        <v>837365</v>
      </c>
      <c r="AH23" s="74">
        <v>0</v>
      </c>
      <c r="AI23" s="74">
        <v>0</v>
      </c>
      <c r="AJ23" s="74">
        <v>1442275</v>
      </c>
      <c r="AK23" s="74">
        <v>3</v>
      </c>
      <c r="AL23" s="74">
        <v>4745064</v>
      </c>
      <c r="AM23" s="77">
        <v>0.84227424825152797</v>
      </c>
      <c r="AN23" s="74">
        <v>837365</v>
      </c>
      <c r="AO23" s="74">
        <v>0</v>
      </c>
      <c r="AP23" s="74">
        <v>0</v>
      </c>
      <c r="AQ23" s="74">
        <v>1442275</v>
      </c>
      <c r="AR23" s="74">
        <v>3</v>
      </c>
      <c r="AS23" s="74">
        <v>0</v>
      </c>
      <c r="AT23" s="77">
        <v>0</v>
      </c>
      <c r="AU23" s="74">
        <v>0</v>
      </c>
      <c r="AV23" s="74">
        <v>0</v>
      </c>
      <c r="AW23" s="74">
        <v>0</v>
      </c>
      <c r="AX23" s="74">
        <v>0</v>
      </c>
      <c r="AY23" s="74">
        <v>0</v>
      </c>
      <c r="AZ23" s="74">
        <v>149060.91000000003</v>
      </c>
      <c r="BA23" s="77">
        <v>2.645910906869511E-2</v>
      </c>
      <c r="BB23" s="74">
        <v>26304.860000000004</v>
      </c>
      <c r="BC23" s="74">
        <v>0</v>
      </c>
      <c r="BD23" s="74">
        <v>0</v>
      </c>
      <c r="BE23" s="74">
        <v>0</v>
      </c>
    </row>
    <row r="24" spans="1:57" ht="33.950000000000003" customHeight="1" x14ac:dyDescent="0.3">
      <c r="A24" s="34">
        <v>1</v>
      </c>
      <c r="B24" s="34" t="s">
        <v>388</v>
      </c>
      <c r="C24" s="34" t="s">
        <v>839</v>
      </c>
      <c r="D24" s="34" t="s">
        <v>460</v>
      </c>
      <c r="E24" s="34" t="s">
        <v>461</v>
      </c>
      <c r="F24" s="34" t="s">
        <v>462</v>
      </c>
      <c r="G24" s="34" t="s">
        <v>463</v>
      </c>
      <c r="H24" s="73" t="s">
        <v>464</v>
      </c>
      <c r="I24" s="39" t="s">
        <v>110</v>
      </c>
      <c r="J24" s="39" t="s">
        <v>853</v>
      </c>
      <c r="K24" s="39" t="s">
        <v>429</v>
      </c>
      <c r="L24" s="36" t="s">
        <v>465</v>
      </c>
      <c r="M24" s="37">
        <v>2</v>
      </c>
      <c r="N24" s="37"/>
      <c r="O24" s="37" t="s">
        <v>39</v>
      </c>
      <c r="P24" s="37" t="s">
        <v>406</v>
      </c>
      <c r="Q24" s="74">
        <v>8312810</v>
      </c>
      <c r="R24" s="74" t="s">
        <v>429</v>
      </c>
      <c r="S24" s="74">
        <v>9779777</v>
      </c>
      <c r="T24" s="74"/>
      <c r="U24" s="75"/>
      <c r="V24" s="74"/>
      <c r="W24" s="80"/>
      <c r="X24" s="74">
        <v>6550056.21</v>
      </c>
      <c r="Y24" s="76">
        <v>0.7879473018149098</v>
      </c>
      <c r="Z24" s="74">
        <v>1155892.29</v>
      </c>
      <c r="AA24" s="74">
        <v>0</v>
      </c>
      <c r="AB24" s="74">
        <v>0</v>
      </c>
      <c r="AC24" s="74">
        <v>3326120.82</v>
      </c>
      <c r="AD24" s="74">
        <v>10</v>
      </c>
      <c r="AE24" s="74">
        <v>6550056.21</v>
      </c>
      <c r="AF24" s="76">
        <v>0.7879473018149098</v>
      </c>
      <c r="AG24" s="74">
        <v>1155892.29</v>
      </c>
      <c r="AH24" s="74">
        <v>0</v>
      </c>
      <c r="AI24" s="74">
        <v>0</v>
      </c>
      <c r="AJ24" s="74">
        <v>3326120.82</v>
      </c>
      <c r="AK24" s="74">
        <v>10</v>
      </c>
      <c r="AL24" s="74">
        <v>6550056.21</v>
      </c>
      <c r="AM24" s="77">
        <v>0.7879473018149098</v>
      </c>
      <c r="AN24" s="74">
        <v>1155892.29</v>
      </c>
      <c r="AO24" s="74">
        <v>0</v>
      </c>
      <c r="AP24" s="74">
        <v>0</v>
      </c>
      <c r="AQ24" s="74">
        <v>3326120.82</v>
      </c>
      <c r="AR24" s="74">
        <v>10</v>
      </c>
      <c r="AS24" s="74">
        <v>0</v>
      </c>
      <c r="AT24" s="77">
        <v>0</v>
      </c>
      <c r="AU24" s="74">
        <v>0</v>
      </c>
      <c r="AV24" s="74">
        <v>0</v>
      </c>
      <c r="AW24" s="74">
        <v>0</v>
      </c>
      <c r="AX24" s="74">
        <v>0</v>
      </c>
      <c r="AY24" s="74">
        <v>0</v>
      </c>
      <c r="AZ24" s="74">
        <v>362654.17000000004</v>
      </c>
      <c r="BA24" s="77">
        <v>4.3625942370870988E-2</v>
      </c>
      <c r="BB24" s="74">
        <v>63998.13</v>
      </c>
      <c r="BC24" s="74">
        <v>0</v>
      </c>
      <c r="BD24" s="74">
        <v>0</v>
      </c>
      <c r="BE24" s="74">
        <v>69523.490000000005</v>
      </c>
    </row>
    <row r="25" spans="1:57" ht="33.950000000000003" customHeight="1" x14ac:dyDescent="0.3">
      <c r="A25" s="34">
        <v>1</v>
      </c>
      <c r="B25" s="34" t="s">
        <v>388</v>
      </c>
      <c r="C25" s="34" t="s">
        <v>839</v>
      </c>
      <c r="D25" s="34" t="s">
        <v>460</v>
      </c>
      <c r="E25" s="34" t="s">
        <v>461</v>
      </c>
      <c r="F25" s="34" t="s">
        <v>462</v>
      </c>
      <c r="G25" s="34" t="s">
        <v>463</v>
      </c>
      <c r="H25" s="73" t="s">
        <v>464</v>
      </c>
      <c r="I25" s="39" t="s">
        <v>111</v>
      </c>
      <c r="J25" s="39" t="s">
        <v>854</v>
      </c>
      <c r="K25" s="39" t="s">
        <v>429</v>
      </c>
      <c r="L25" s="36" t="s">
        <v>465</v>
      </c>
      <c r="M25" s="37">
        <v>3</v>
      </c>
      <c r="N25" s="37"/>
      <c r="O25" s="37" t="s">
        <v>39</v>
      </c>
      <c r="P25" s="37" t="s">
        <v>406</v>
      </c>
      <c r="Q25" s="74">
        <v>24960674</v>
      </c>
      <c r="R25" s="74" t="s">
        <v>429</v>
      </c>
      <c r="S25" s="74">
        <v>29471535</v>
      </c>
      <c r="T25" s="74"/>
      <c r="U25" s="75"/>
      <c r="V25" s="74"/>
      <c r="W25" s="80"/>
      <c r="X25" s="74">
        <v>25028890.070000004</v>
      </c>
      <c r="Y25" s="76">
        <v>1.0027329418268114</v>
      </c>
      <c r="Z25" s="74">
        <v>4416862.9499999993</v>
      </c>
      <c r="AA25" s="74">
        <v>0</v>
      </c>
      <c r="AB25" s="74">
        <v>0</v>
      </c>
      <c r="AC25" s="74">
        <v>18713330.399999999</v>
      </c>
      <c r="AD25" s="74">
        <v>44</v>
      </c>
      <c r="AE25" s="74">
        <v>21442148.510000002</v>
      </c>
      <c r="AF25" s="76">
        <v>0.8590372403405454</v>
      </c>
      <c r="AG25" s="74">
        <v>3783908.5600000005</v>
      </c>
      <c r="AH25" s="74">
        <v>0</v>
      </c>
      <c r="AI25" s="74">
        <v>0</v>
      </c>
      <c r="AJ25" s="74">
        <v>16267316.590000002</v>
      </c>
      <c r="AK25" s="74">
        <v>38</v>
      </c>
      <c r="AL25" s="74">
        <v>20594467.280000001</v>
      </c>
      <c r="AM25" s="77">
        <v>0.82507656964711773</v>
      </c>
      <c r="AN25" s="74">
        <v>3634317.7600000007</v>
      </c>
      <c r="AO25" s="74">
        <v>0</v>
      </c>
      <c r="AP25" s="74">
        <v>0</v>
      </c>
      <c r="AQ25" s="74">
        <v>15597416.620000001</v>
      </c>
      <c r="AR25" s="74">
        <v>37</v>
      </c>
      <c r="AS25" s="74">
        <v>0</v>
      </c>
      <c r="AT25" s="77">
        <v>0</v>
      </c>
      <c r="AU25" s="74">
        <v>0</v>
      </c>
      <c r="AV25" s="74">
        <v>0</v>
      </c>
      <c r="AW25" s="74">
        <v>0</v>
      </c>
      <c r="AX25" s="74">
        <v>0</v>
      </c>
      <c r="AY25" s="74">
        <v>0</v>
      </c>
      <c r="AZ25" s="74">
        <v>4964592.5299999993</v>
      </c>
      <c r="BA25" s="77">
        <v>0.19889657346592482</v>
      </c>
      <c r="BB25" s="74">
        <v>877900</v>
      </c>
      <c r="BC25" s="74">
        <v>0</v>
      </c>
      <c r="BD25" s="74">
        <v>0</v>
      </c>
      <c r="BE25" s="74">
        <v>1483314.5699999998</v>
      </c>
    </row>
    <row r="26" spans="1:57" ht="33.950000000000003" customHeight="1" x14ac:dyDescent="0.3">
      <c r="A26" s="34">
        <v>1</v>
      </c>
      <c r="B26" s="34" t="s">
        <v>388</v>
      </c>
      <c r="C26" s="34" t="s">
        <v>839</v>
      </c>
      <c r="D26" s="34" t="s">
        <v>460</v>
      </c>
      <c r="E26" s="34" t="s">
        <v>461</v>
      </c>
      <c r="F26" s="34" t="s">
        <v>462</v>
      </c>
      <c r="G26" s="34" t="s">
        <v>463</v>
      </c>
      <c r="H26" s="73" t="s">
        <v>466</v>
      </c>
      <c r="I26" s="39" t="s">
        <v>112</v>
      </c>
      <c r="J26" s="39" t="s">
        <v>855</v>
      </c>
      <c r="K26" s="39" t="s">
        <v>422</v>
      </c>
      <c r="L26" s="36" t="s">
        <v>423</v>
      </c>
      <c r="M26" s="37" t="s">
        <v>440</v>
      </c>
      <c r="N26" s="38"/>
      <c r="O26" s="37" t="s">
        <v>39</v>
      </c>
      <c r="P26" s="37" t="s">
        <v>406</v>
      </c>
      <c r="Q26" s="74">
        <v>24121122</v>
      </c>
      <c r="R26" s="74" t="s">
        <v>429</v>
      </c>
      <c r="S26" s="74">
        <v>28377791</v>
      </c>
      <c r="T26" s="74"/>
      <c r="U26" s="75"/>
      <c r="V26" s="74"/>
      <c r="W26" s="80"/>
      <c r="X26" s="74">
        <v>49621122</v>
      </c>
      <c r="Y26" s="76">
        <v>2.0571647537788667</v>
      </c>
      <c r="Z26" s="74">
        <v>10235633.942962199</v>
      </c>
      <c r="AA26" s="74">
        <v>0</v>
      </c>
      <c r="AB26" s="74">
        <v>0</v>
      </c>
      <c r="AC26" s="74">
        <v>0</v>
      </c>
      <c r="AD26" s="74">
        <v>2</v>
      </c>
      <c r="AE26" s="74">
        <v>49621122</v>
      </c>
      <c r="AF26" s="76">
        <v>2.0571647537788667</v>
      </c>
      <c r="AG26" s="74">
        <v>8756669</v>
      </c>
      <c r="AH26" s="74">
        <v>0</v>
      </c>
      <c r="AI26" s="74">
        <v>0</v>
      </c>
      <c r="AJ26" s="74">
        <v>0</v>
      </c>
      <c r="AK26" s="74">
        <v>1</v>
      </c>
      <c r="AL26" s="74">
        <v>49621122</v>
      </c>
      <c r="AM26" s="77">
        <v>2.0571647537788667</v>
      </c>
      <c r="AN26" s="74">
        <v>8756669</v>
      </c>
      <c r="AO26" s="74">
        <v>0</v>
      </c>
      <c r="AP26" s="74">
        <v>0</v>
      </c>
      <c r="AQ26" s="74">
        <v>0</v>
      </c>
      <c r="AR26" s="74">
        <v>1</v>
      </c>
      <c r="AS26" s="74">
        <v>0</v>
      </c>
      <c r="AT26" s="77">
        <v>0</v>
      </c>
      <c r="AU26" s="74">
        <v>0</v>
      </c>
      <c r="AV26" s="74">
        <v>0</v>
      </c>
      <c r="AW26" s="74">
        <v>0</v>
      </c>
      <c r="AX26" s="74">
        <v>0</v>
      </c>
      <c r="AY26" s="74">
        <v>0</v>
      </c>
      <c r="AZ26" s="74">
        <v>17400576.52</v>
      </c>
      <c r="BA26" s="77">
        <v>0.72138338009318137</v>
      </c>
      <c r="BB26" s="74">
        <v>3070689.98</v>
      </c>
      <c r="BC26" s="74">
        <v>0</v>
      </c>
      <c r="BD26" s="74">
        <v>0</v>
      </c>
      <c r="BE26" s="74">
        <v>0</v>
      </c>
    </row>
    <row r="27" spans="1:57" ht="33.950000000000003" customHeight="1" x14ac:dyDescent="0.3">
      <c r="A27" s="34">
        <v>1</v>
      </c>
      <c r="B27" s="34" t="s">
        <v>388</v>
      </c>
      <c r="C27" s="34" t="s">
        <v>839</v>
      </c>
      <c r="D27" s="34" t="s">
        <v>460</v>
      </c>
      <c r="E27" s="34" t="s">
        <v>461</v>
      </c>
      <c r="F27" s="34" t="s">
        <v>462</v>
      </c>
      <c r="G27" s="34" t="s">
        <v>463</v>
      </c>
      <c r="H27" s="73" t="s">
        <v>467</v>
      </c>
      <c r="I27" s="39" t="s">
        <v>113</v>
      </c>
      <c r="J27" s="39" t="s">
        <v>856</v>
      </c>
      <c r="K27" s="39" t="s">
        <v>429</v>
      </c>
      <c r="L27" s="36" t="s">
        <v>468</v>
      </c>
      <c r="M27" s="37" t="s">
        <v>440</v>
      </c>
      <c r="N27" s="38"/>
      <c r="O27" s="37" t="s">
        <v>39</v>
      </c>
      <c r="P27" s="37" t="s">
        <v>406</v>
      </c>
      <c r="Q27" s="74">
        <v>1413178</v>
      </c>
      <c r="R27" s="74" t="s">
        <v>429</v>
      </c>
      <c r="S27" s="74">
        <v>1556528</v>
      </c>
      <c r="T27" s="74"/>
      <c r="U27" s="75"/>
      <c r="V27" s="74"/>
      <c r="W27" s="80"/>
      <c r="X27" s="74">
        <v>274995.68</v>
      </c>
      <c r="Y27" s="76">
        <v>0.19459380205465979</v>
      </c>
      <c r="Z27" s="74">
        <v>48539.88</v>
      </c>
      <c r="AA27" s="74">
        <v>0</v>
      </c>
      <c r="AB27" s="74">
        <v>0</v>
      </c>
      <c r="AC27" s="74">
        <v>447274.89</v>
      </c>
      <c r="AD27" s="74">
        <v>4</v>
      </c>
      <c r="AE27" s="74">
        <v>121608.93</v>
      </c>
      <c r="AF27" s="76">
        <v>8.6053512013348626E-2</v>
      </c>
      <c r="AG27" s="74">
        <v>21471.629999999997</v>
      </c>
      <c r="AH27" s="74">
        <v>0</v>
      </c>
      <c r="AI27" s="74">
        <v>0</v>
      </c>
      <c r="AJ27" s="74">
        <v>164419.89000000001</v>
      </c>
      <c r="AK27" s="74">
        <v>2</v>
      </c>
      <c r="AL27" s="74">
        <v>121608.93</v>
      </c>
      <c r="AM27" s="77">
        <v>8.6053512013348626E-2</v>
      </c>
      <c r="AN27" s="74">
        <v>21471.629999999997</v>
      </c>
      <c r="AO27" s="74">
        <v>0</v>
      </c>
      <c r="AP27" s="74">
        <v>0</v>
      </c>
      <c r="AQ27" s="74">
        <v>164419.89000000001</v>
      </c>
      <c r="AR27" s="74">
        <v>2</v>
      </c>
      <c r="AS27" s="74">
        <v>121608.93</v>
      </c>
      <c r="AT27" s="77">
        <v>8.6053512013348626E-2</v>
      </c>
      <c r="AU27" s="74">
        <v>21471.629999999997</v>
      </c>
      <c r="AV27" s="74">
        <v>0</v>
      </c>
      <c r="AW27" s="74">
        <v>0</v>
      </c>
      <c r="AX27" s="74">
        <v>164419.89000000001</v>
      </c>
      <c r="AY27" s="74">
        <v>2</v>
      </c>
      <c r="AZ27" s="74">
        <v>121608.93</v>
      </c>
      <c r="BA27" s="77">
        <v>8.6053512013348626E-2</v>
      </c>
      <c r="BB27" s="74">
        <v>21471.629999999997</v>
      </c>
      <c r="BC27" s="74">
        <v>0</v>
      </c>
      <c r="BD27" s="74">
        <v>0</v>
      </c>
      <c r="BE27" s="74">
        <v>164419.89000000001</v>
      </c>
    </row>
    <row r="28" spans="1:57" s="10" customFormat="1" ht="33.950000000000003" customHeight="1" x14ac:dyDescent="0.3">
      <c r="A28" s="34">
        <v>1</v>
      </c>
      <c r="B28" s="34" t="s">
        <v>388</v>
      </c>
      <c r="C28" s="34" t="s">
        <v>839</v>
      </c>
      <c r="D28" s="34" t="s">
        <v>460</v>
      </c>
      <c r="E28" s="34" t="s">
        <v>461</v>
      </c>
      <c r="F28" s="34" t="s">
        <v>462</v>
      </c>
      <c r="G28" s="34" t="s">
        <v>463</v>
      </c>
      <c r="H28" s="73" t="s">
        <v>469</v>
      </c>
      <c r="I28" s="39" t="s">
        <v>114</v>
      </c>
      <c r="J28" s="39" t="s">
        <v>857</v>
      </c>
      <c r="K28" s="39" t="s">
        <v>429</v>
      </c>
      <c r="L28" s="36" t="s">
        <v>470</v>
      </c>
      <c r="M28" s="37" t="s">
        <v>440</v>
      </c>
      <c r="N28" s="38"/>
      <c r="O28" s="37" t="s">
        <v>39</v>
      </c>
      <c r="P28" s="37" t="s">
        <v>406</v>
      </c>
      <c r="Q28" s="74">
        <v>19811048</v>
      </c>
      <c r="R28" s="74" t="s">
        <v>429</v>
      </c>
      <c r="S28" s="74">
        <v>23307116</v>
      </c>
      <c r="T28" s="74"/>
      <c r="U28" s="75"/>
      <c r="V28" s="74"/>
      <c r="W28" s="80"/>
      <c r="X28" s="74">
        <v>17575372</v>
      </c>
      <c r="Y28" s="76">
        <v>0.88715003870567577</v>
      </c>
      <c r="Z28" s="74">
        <v>3101537</v>
      </c>
      <c r="AA28" s="74">
        <v>0</v>
      </c>
      <c r="AB28" s="74">
        <v>0</v>
      </c>
      <c r="AC28" s="74">
        <v>0</v>
      </c>
      <c r="AD28" s="74">
        <v>1</v>
      </c>
      <c r="AE28" s="74">
        <v>17575372</v>
      </c>
      <c r="AF28" s="76">
        <v>0.88715003870567577</v>
      </c>
      <c r="AG28" s="74">
        <v>3101537</v>
      </c>
      <c r="AH28" s="74">
        <v>0</v>
      </c>
      <c r="AI28" s="74">
        <v>0</v>
      </c>
      <c r="AJ28" s="74">
        <v>0</v>
      </c>
      <c r="AK28" s="74">
        <v>1</v>
      </c>
      <c r="AL28" s="74">
        <v>17575372</v>
      </c>
      <c r="AM28" s="77">
        <v>0.88715003870567577</v>
      </c>
      <c r="AN28" s="74">
        <v>3101537</v>
      </c>
      <c r="AO28" s="74">
        <v>0</v>
      </c>
      <c r="AP28" s="74">
        <v>0</v>
      </c>
      <c r="AQ28" s="74">
        <v>0</v>
      </c>
      <c r="AR28" s="74">
        <v>1</v>
      </c>
      <c r="AS28" s="74">
        <v>0</v>
      </c>
      <c r="AT28" s="77">
        <v>0</v>
      </c>
      <c r="AU28" s="74">
        <v>0</v>
      </c>
      <c r="AV28" s="74">
        <v>0</v>
      </c>
      <c r="AW28" s="74">
        <v>0</v>
      </c>
      <c r="AX28" s="74">
        <v>0</v>
      </c>
      <c r="AY28" s="74">
        <v>0</v>
      </c>
      <c r="AZ28" s="74">
        <v>2332154.8799999999</v>
      </c>
      <c r="BA28" s="77">
        <v>0.11771991466579658</v>
      </c>
      <c r="BB28" s="74">
        <v>411556.74</v>
      </c>
      <c r="BC28" s="74">
        <v>0</v>
      </c>
      <c r="BD28" s="74">
        <v>0</v>
      </c>
      <c r="BE28" s="74">
        <v>0</v>
      </c>
    </row>
    <row r="29" spans="1:57" ht="33.950000000000003" customHeight="1" x14ac:dyDescent="0.3">
      <c r="A29" s="34">
        <v>1</v>
      </c>
      <c r="B29" s="34" t="s">
        <v>388</v>
      </c>
      <c r="C29" s="34" t="s">
        <v>839</v>
      </c>
      <c r="D29" s="34" t="s">
        <v>460</v>
      </c>
      <c r="E29" s="34" t="s">
        <v>461</v>
      </c>
      <c r="F29" s="34" t="s">
        <v>471</v>
      </c>
      <c r="G29" s="34" t="s">
        <v>472</v>
      </c>
      <c r="H29" s="73" t="s">
        <v>473</v>
      </c>
      <c r="I29" s="39" t="s">
        <v>115</v>
      </c>
      <c r="J29" s="39" t="s">
        <v>858</v>
      </c>
      <c r="K29" s="39" t="s">
        <v>429</v>
      </c>
      <c r="L29" s="36" t="s">
        <v>474</v>
      </c>
      <c r="M29" s="37" t="s">
        <v>440</v>
      </c>
      <c r="N29" s="38"/>
      <c r="O29" s="37" t="s">
        <v>39</v>
      </c>
      <c r="P29" s="37" t="s">
        <v>406</v>
      </c>
      <c r="Q29" s="74">
        <v>19769234</v>
      </c>
      <c r="R29" s="74" t="s">
        <v>429</v>
      </c>
      <c r="S29" s="74">
        <v>23257924</v>
      </c>
      <c r="T29" s="74"/>
      <c r="U29" s="75"/>
      <c r="V29" s="74"/>
      <c r="W29" s="80"/>
      <c r="X29" s="74">
        <v>19769234</v>
      </c>
      <c r="Y29" s="76">
        <v>1</v>
      </c>
      <c r="Z29" s="74">
        <v>3488690</v>
      </c>
      <c r="AA29" s="74">
        <v>0</v>
      </c>
      <c r="AB29" s="74">
        <v>0</v>
      </c>
      <c r="AC29" s="74">
        <v>0</v>
      </c>
      <c r="AD29" s="74">
        <v>1</v>
      </c>
      <c r="AE29" s="74">
        <v>19769234</v>
      </c>
      <c r="AF29" s="76">
        <v>1</v>
      </c>
      <c r="AG29" s="74">
        <v>3488690</v>
      </c>
      <c r="AH29" s="74">
        <v>0</v>
      </c>
      <c r="AI29" s="74">
        <v>0</v>
      </c>
      <c r="AJ29" s="74">
        <v>0</v>
      </c>
      <c r="AK29" s="74">
        <v>1</v>
      </c>
      <c r="AL29" s="74">
        <v>19769234</v>
      </c>
      <c r="AM29" s="77">
        <v>1</v>
      </c>
      <c r="AN29" s="74">
        <v>3488690</v>
      </c>
      <c r="AO29" s="74">
        <v>0</v>
      </c>
      <c r="AP29" s="74">
        <v>0</v>
      </c>
      <c r="AQ29" s="74">
        <v>0</v>
      </c>
      <c r="AR29" s="74">
        <v>1</v>
      </c>
      <c r="AS29" s="74">
        <v>0</v>
      </c>
      <c r="AT29" s="77">
        <v>0</v>
      </c>
      <c r="AU29" s="74">
        <v>0</v>
      </c>
      <c r="AV29" s="74">
        <v>0</v>
      </c>
      <c r="AW29" s="74">
        <v>0</v>
      </c>
      <c r="AX29" s="74">
        <v>0</v>
      </c>
      <c r="AY29" s="74">
        <v>0</v>
      </c>
      <c r="AZ29" s="74">
        <v>145706</v>
      </c>
      <c r="BA29" s="77">
        <v>7.3703412079598029E-3</v>
      </c>
      <c r="BB29" s="74">
        <v>25712.82</v>
      </c>
      <c r="BC29" s="74">
        <v>0</v>
      </c>
      <c r="BD29" s="74">
        <v>0</v>
      </c>
      <c r="BE29" s="74">
        <v>0</v>
      </c>
    </row>
    <row r="30" spans="1:57" ht="33.950000000000003" customHeight="1" x14ac:dyDescent="0.3">
      <c r="A30" s="34">
        <v>1</v>
      </c>
      <c r="B30" s="34" t="s">
        <v>388</v>
      </c>
      <c r="C30" s="34" t="s">
        <v>839</v>
      </c>
      <c r="D30" s="34" t="s">
        <v>460</v>
      </c>
      <c r="E30" s="34" t="s">
        <v>461</v>
      </c>
      <c r="F30" s="34" t="s">
        <v>475</v>
      </c>
      <c r="G30" s="34" t="s">
        <v>476</v>
      </c>
      <c r="H30" s="73" t="s">
        <v>477</v>
      </c>
      <c r="I30" s="39" t="s">
        <v>116</v>
      </c>
      <c r="J30" s="39" t="s">
        <v>859</v>
      </c>
      <c r="K30" s="39" t="s">
        <v>429</v>
      </c>
      <c r="L30" s="36" t="s">
        <v>478</v>
      </c>
      <c r="M30" s="37" t="s">
        <v>440</v>
      </c>
      <c r="N30" s="38"/>
      <c r="O30" s="37" t="s">
        <v>39</v>
      </c>
      <c r="P30" s="37" t="s">
        <v>406</v>
      </c>
      <c r="Q30" s="74">
        <v>74161672</v>
      </c>
      <c r="R30" s="74" t="s">
        <v>429</v>
      </c>
      <c r="S30" s="74">
        <v>78425497</v>
      </c>
      <c r="T30" s="74"/>
      <c r="U30" s="75"/>
      <c r="V30" s="74"/>
      <c r="W30" s="80"/>
      <c r="X30" s="74">
        <v>56086331</v>
      </c>
      <c r="Y30" s="76">
        <v>0.75627112344500536</v>
      </c>
      <c r="Z30" s="74">
        <v>9897588</v>
      </c>
      <c r="AA30" s="74">
        <v>0</v>
      </c>
      <c r="AB30" s="74">
        <v>0</v>
      </c>
      <c r="AC30" s="74">
        <v>0</v>
      </c>
      <c r="AD30" s="74">
        <v>1</v>
      </c>
      <c r="AE30" s="74">
        <v>56086331</v>
      </c>
      <c r="AF30" s="76">
        <v>0.75627112344500536</v>
      </c>
      <c r="AG30" s="74">
        <v>9897588</v>
      </c>
      <c r="AH30" s="74">
        <v>0</v>
      </c>
      <c r="AI30" s="74">
        <v>0</v>
      </c>
      <c r="AJ30" s="74">
        <v>0</v>
      </c>
      <c r="AK30" s="74">
        <v>1</v>
      </c>
      <c r="AL30" s="74">
        <v>56086331</v>
      </c>
      <c r="AM30" s="77">
        <v>0.75627112344500536</v>
      </c>
      <c r="AN30" s="74">
        <v>9897588</v>
      </c>
      <c r="AO30" s="74">
        <v>0</v>
      </c>
      <c r="AP30" s="74">
        <v>0</v>
      </c>
      <c r="AQ30" s="74">
        <v>0</v>
      </c>
      <c r="AR30" s="74">
        <v>1</v>
      </c>
      <c r="AS30" s="74">
        <v>0</v>
      </c>
      <c r="AT30" s="77">
        <v>0</v>
      </c>
      <c r="AU30" s="74">
        <v>0</v>
      </c>
      <c r="AV30" s="74">
        <v>0</v>
      </c>
      <c r="AW30" s="74">
        <v>0</v>
      </c>
      <c r="AX30" s="74">
        <v>0</v>
      </c>
      <c r="AY30" s="74">
        <v>0</v>
      </c>
      <c r="AZ30" s="74">
        <v>18648057.279999997</v>
      </c>
      <c r="BA30" s="77">
        <v>0.25145141387858672</v>
      </c>
      <c r="BB30" s="74">
        <v>3290833.64</v>
      </c>
      <c r="BC30" s="74">
        <v>0</v>
      </c>
      <c r="BD30" s="74">
        <v>0</v>
      </c>
      <c r="BE30" s="74">
        <v>0</v>
      </c>
    </row>
    <row r="31" spans="1:57" ht="33.950000000000003" customHeight="1" x14ac:dyDescent="0.3">
      <c r="A31" s="34">
        <v>1</v>
      </c>
      <c r="B31" s="34" t="s">
        <v>388</v>
      </c>
      <c r="C31" s="34" t="s">
        <v>839</v>
      </c>
      <c r="D31" s="34" t="s">
        <v>460</v>
      </c>
      <c r="E31" s="34" t="s">
        <v>461</v>
      </c>
      <c r="F31" s="34" t="s">
        <v>475</v>
      </c>
      <c r="G31" s="34" t="s">
        <v>476</v>
      </c>
      <c r="H31" s="73" t="s">
        <v>479</v>
      </c>
      <c r="I31" s="39" t="s">
        <v>117</v>
      </c>
      <c r="J31" s="39" t="s">
        <v>860</v>
      </c>
      <c r="K31" s="39" t="s">
        <v>422</v>
      </c>
      <c r="L31" s="36" t="s">
        <v>424</v>
      </c>
      <c r="M31" s="37" t="s">
        <v>440</v>
      </c>
      <c r="N31" s="38"/>
      <c r="O31" s="37" t="s">
        <v>39</v>
      </c>
      <c r="P31" s="37" t="s">
        <v>406</v>
      </c>
      <c r="Q31" s="74">
        <v>60678205</v>
      </c>
      <c r="R31" s="74" t="s">
        <v>429</v>
      </c>
      <c r="S31" s="74">
        <v>71386124</v>
      </c>
      <c r="T31" s="74"/>
      <c r="U31" s="75"/>
      <c r="V31" s="74"/>
      <c r="W31" s="80"/>
      <c r="X31" s="74">
        <v>60678205</v>
      </c>
      <c r="Y31" s="76">
        <v>1</v>
      </c>
      <c r="Z31" s="74">
        <v>13767919.535659313</v>
      </c>
      <c r="AA31" s="74">
        <v>0</v>
      </c>
      <c r="AB31" s="74">
        <v>0</v>
      </c>
      <c r="AC31" s="74">
        <v>0</v>
      </c>
      <c r="AD31" s="74">
        <v>0</v>
      </c>
      <c r="AE31" s="74">
        <v>60678205</v>
      </c>
      <c r="AF31" s="76">
        <v>1</v>
      </c>
      <c r="AG31" s="74">
        <v>10707919</v>
      </c>
      <c r="AH31" s="74">
        <v>0</v>
      </c>
      <c r="AI31" s="74">
        <v>0</v>
      </c>
      <c r="AJ31" s="74">
        <v>0</v>
      </c>
      <c r="AK31" s="74">
        <v>0</v>
      </c>
      <c r="AL31" s="74">
        <v>60678205</v>
      </c>
      <c r="AM31" s="77">
        <v>1</v>
      </c>
      <c r="AN31" s="74">
        <v>10707919</v>
      </c>
      <c r="AO31" s="74">
        <v>0</v>
      </c>
      <c r="AP31" s="74">
        <v>0</v>
      </c>
      <c r="AQ31" s="74">
        <v>0</v>
      </c>
      <c r="AR31" s="74">
        <v>0</v>
      </c>
      <c r="AS31" s="74">
        <v>0</v>
      </c>
      <c r="AT31" s="77">
        <v>0</v>
      </c>
      <c r="AU31" s="74">
        <v>0</v>
      </c>
      <c r="AV31" s="74">
        <v>0</v>
      </c>
      <c r="AW31" s="74">
        <v>0</v>
      </c>
      <c r="AX31" s="74">
        <v>0</v>
      </c>
      <c r="AY31" s="74">
        <v>0</v>
      </c>
      <c r="AZ31" s="74">
        <v>28331669.600000001</v>
      </c>
      <c r="BA31" s="77">
        <v>0.46691673888507418</v>
      </c>
      <c r="BB31" s="74">
        <v>4999706.3900000006</v>
      </c>
      <c r="BC31" s="74">
        <v>0</v>
      </c>
      <c r="BD31" s="74">
        <v>0</v>
      </c>
      <c r="BE31" s="74">
        <v>8244951.5500000007</v>
      </c>
    </row>
    <row r="32" spans="1:57" ht="33.950000000000003" customHeight="1" x14ac:dyDescent="0.3">
      <c r="A32" s="34">
        <v>1</v>
      </c>
      <c r="B32" s="34" t="s">
        <v>388</v>
      </c>
      <c r="C32" s="34" t="s">
        <v>839</v>
      </c>
      <c r="D32" s="34" t="s">
        <v>460</v>
      </c>
      <c r="E32" s="34" t="s">
        <v>461</v>
      </c>
      <c r="F32" s="34" t="s">
        <v>475</v>
      </c>
      <c r="G32" s="34" t="s">
        <v>476</v>
      </c>
      <c r="H32" s="73" t="s">
        <v>480</v>
      </c>
      <c r="I32" s="39" t="s">
        <v>118</v>
      </c>
      <c r="J32" s="39" t="s">
        <v>861</v>
      </c>
      <c r="K32" s="39" t="s">
        <v>422</v>
      </c>
      <c r="L32" s="36" t="s">
        <v>425</v>
      </c>
      <c r="M32" s="37" t="s">
        <v>440</v>
      </c>
      <c r="N32" s="37"/>
      <c r="O32" s="37" t="s">
        <v>39</v>
      </c>
      <c r="P32" s="37" t="s">
        <v>406</v>
      </c>
      <c r="Q32" s="74">
        <v>24307956</v>
      </c>
      <c r="R32" s="74" t="s">
        <v>429</v>
      </c>
      <c r="S32" s="74">
        <v>28597597</v>
      </c>
      <c r="T32" s="74"/>
      <c r="U32" s="75"/>
      <c r="V32" s="74"/>
      <c r="W32" s="80"/>
      <c r="X32" s="74">
        <v>24307957</v>
      </c>
      <c r="Y32" s="76">
        <v>1.0000000411387941</v>
      </c>
      <c r="Z32" s="74">
        <v>2349428.8497947678</v>
      </c>
      <c r="AA32" s="74">
        <v>0</v>
      </c>
      <c r="AB32" s="74">
        <v>0</v>
      </c>
      <c r="AC32" s="74">
        <v>0</v>
      </c>
      <c r="AD32" s="74">
        <v>0</v>
      </c>
      <c r="AE32" s="74">
        <v>24307957</v>
      </c>
      <c r="AF32" s="76">
        <v>1.0000000411387941</v>
      </c>
      <c r="AG32" s="74">
        <v>4289639</v>
      </c>
      <c r="AH32" s="74">
        <v>0</v>
      </c>
      <c r="AI32" s="74">
        <v>0</v>
      </c>
      <c r="AJ32" s="74">
        <v>0</v>
      </c>
      <c r="AK32" s="74">
        <v>0</v>
      </c>
      <c r="AL32" s="74">
        <v>24307957</v>
      </c>
      <c r="AM32" s="77">
        <v>1.0000000411387941</v>
      </c>
      <c r="AN32" s="74">
        <v>4289639</v>
      </c>
      <c r="AO32" s="74">
        <v>0</v>
      </c>
      <c r="AP32" s="74">
        <v>0</v>
      </c>
      <c r="AQ32" s="74">
        <v>0</v>
      </c>
      <c r="AR32" s="74">
        <v>0</v>
      </c>
      <c r="AS32" s="74">
        <v>0</v>
      </c>
      <c r="AT32" s="77">
        <v>0</v>
      </c>
      <c r="AU32" s="74">
        <v>0</v>
      </c>
      <c r="AV32" s="74">
        <v>0</v>
      </c>
      <c r="AW32" s="74">
        <v>0</v>
      </c>
      <c r="AX32" s="74">
        <v>0</v>
      </c>
      <c r="AY32" s="74">
        <v>0</v>
      </c>
      <c r="AZ32" s="74">
        <v>22937539.869999994</v>
      </c>
      <c r="BA32" s="77">
        <v>0.94362273282048037</v>
      </c>
      <c r="BB32" s="74">
        <v>4047800.9799999995</v>
      </c>
      <c r="BC32" s="74">
        <v>0</v>
      </c>
      <c r="BD32" s="74">
        <v>0</v>
      </c>
      <c r="BE32" s="74">
        <v>0</v>
      </c>
    </row>
    <row r="33" spans="1:57" ht="33.950000000000003" customHeight="1" x14ac:dyDescent="0.3">
      <c r="A33" s="34">
        <v>1</v>
      </c>
      <c r="B33" s="34" t="s">
        <v>388</v>
      </c>
      <c r="C33" s="34" t="s">
        <v>839</v>
      </c>
      <c r="D33" s="34" t="s">
        <v>460</v>
      </c>
      <c r="E33" s="34" t="s">
        <v>461</v>
      </c>
      <c r="F33" s="34" t="s">
        <v>475</v>
      </c>
      <c r="G33" s="34" t="s">
        <v>476</v>
      </c>
      <c r="H33" s="73" t="s">
        <v>481</v>
      </c>
      <c r="I33" s="39" t="s">
        <v>119</v>
      </c>
      <c r="J33" s="39" t="s">
        <v>862</v>
      </c>
      <c r="K33" s="39" t="s">
        <v>422</v>
      </c>
      <c r="L33" s="36" t="s">
        <v>426</v>
      </c>
      <c r="M33" s="37" t="s">
        <v>440</v>
      </c>
      <c r="N33" s="38"/>
      <c r="O33" s="37" t="s">
        <v>39</v>
      </c>
      <c r="P33" s="37" t="s">
        <v>406</v>
      </c>
      <c r="Q33" s="74">
        <v>29361690</v>
      </c>
      <c r="R33" s="74" t="s">
        <v>429</v>
      </c>
      <c r="S33" s="74">
        <v>34543165</v>
      </c>
      <c r="T33" s="74"/>
      <c r="U33" s="75"/>
      <c r="V33" s="74"/>
      <c r="W33" s="80"/>
      <c r="X33" s="74">
        <v>29361690</v>
      </c>
      <c r="Y33" s="76">
        <v>1</v>
      </c>
      <c r="Z33" s="74">
        <v>5181475.0940653309</v>
      </c>
      <c r="AA33" s="74">
        <v>0</v>
      </c>
      <c r="AB33" s="74">
        <v>0</v>
      </c>
      <c r="AC33" s="74">
        <v>0</v>
      </c>
      <c r="AD33" s="74">
        <v>0</v>
      </c>
      <c r="AE33" s="74">
        <v>29361690</v>
      </c>
      <c r="AF33" s="76">
        <v>1</v>
      </c>
      <c r="AG33" s="74">
        <v>5181475</v>
      </c>
      <c r="AH33" s="74">
        <v>0</v>
      </c>
      <c r="AI33" s="74">
        <v>0</v>
      </c>
      <c r="AJ33" s="74">
        <v>0</v>
      </c>
      <c r="AK33" s="74">
        <v>0</v>
      </c>
      <c r="AL33" s="74">
        <v>29361690</v>
      </c>
      <c r="AM33" s="77">
        <v>1</v>
      </c>
      <c r="AN33" s="74">
        <v>5181475</v>
      </c>
      <c r="AO33" s="74">
        <v>0</v>
      </c>
      <c r="AP33" s="74">
        <v>0</v>
      </c>
      <c r="AQ33" s="74">
        <v>0</v>
      </c>
      <c r="AR33" s="74">
        <v>0</v>
      </c>
      <c r="AS33" s="74">
        <v>0</v>
      </c>
      <c r="AT33" s="77">
        <v>0</v>
      </c>
      <c r="AU33" s="74">
        <v>0</v>
      </c>
      <c r="AV33" s="74">
        <v>0</v>
      </c>
      <c r="AW33" s="74">
        <v>0</v>
      </c>
      <c r="AX33" s="74">
        <v>0</v>
      </c>
      <c r="AY33" s="74">
        <v>0</v>
      </c>
      <c r="AZ33" s="74">
        <v>31536450.200000003</v>
      </c>
      <c r="BA33" s="77">
        <v>1.0740679504483563</v>
      </c>
      <c r="BB33" s="74">
        <v>5565255.8899999997</v>
      </c>
      <c r="BC33" s="74">
        <v>0</v>
      </c>
      <c r="BD33" s="74">
        <v>0</v>
      </c>
      <c r="BE33" s="74">
        <v>0</v>
      </c>
    </row>
    <row r="34" spans="1:57" ht="33.950000000000003" customHeight="1" x14ac:dyDescent="0.3">
      <c r="A34" s="34">
        <v>1</v>
      </c>
      <c r="B34" s="34" t="s">
        <v>388</v>
      </c>
      <c r="C34" s="34" t="s">
        <v>839</v>
      </c>
      <c r="D34" s="34" t="s">
        <v>460</v>
      </c>
      <c r="E34" s="34" t="s">
        <v>461</v>
      </c>
      <c r="F34" s="34" t="s">
        <v>475</v>
      </c>
      <c r="G34" s="34" t="s">
        <v>476</v>
      </c>
      <c r="H34" s="73" t="s">
        <v>482</v>
      </c>
      <c r="I34" s="39" t="s">
        <v>120</v>
      </c>
      <c r="J34" s="39" t="s">
        <v>863</v>
      </c>
      <c r="K34" s="39" t="s">
        <v>422</v>
      </c>
      <c r="L34" s="36" t="s">
        <v>427</v>
      </c>
      <c r="M34" s="37" t="s">
        <v>440</v>
      </c>
      <c r="N34" s="38"/>
      <c r="O34" s="37" t="s">
        <v>39</v>
      </c>
      <c r="P34" s="37" t="s">
        <v>406</v>
      </c>
      <c r="Q34" s="74">
        <v>23853429</v>
      </c>
      <c r="R34" s="74" t="s">
        <v>429</v>
      </c>
      <c r="S34" s="74">
        <v>28062858</v>
      </c>
      <c r="T34" s="74"/>
      <c r="U34" s="75"/>
      <c r="V34" s="74"/>
      <c r="W34" s="80"/>
      <c r="X34" s="74">
        <v>23853429</v>
      </c>
      <c r="Y34" s="76">
        <v>1</v>
      </c>
      <c r="Z34" s="74">
        <v>2349428.8497947678</v>
      </c>
      <c r="AA34" s="74">
        <v>0</v>
      </c>
      <c r="AB34" s="74">
        <v>0</v>
      </c>
      <c r="AC34" s="74">
        <v>0</v>
      </c>
      <c r="AD34" s="74">
        <v>0</v>
      </c>
      <c r="AE34" s="74">
        <v>23853429</v>
      </c>
      <c r="AF34" s="76">
        <v>1</v>
      </c>
      <c r="AG34" s="74">
        <v>4209429</v>
      </c>
      <c r="AH34" s="74">
        <v>0</v>
      </c>
      <c r="AI34" s="74">
        <v>0</v>
      </c>
      <c r="AJ34" s="74">
        <v>0</v>
      </c>
      <c r="AK34" s="74">
        <v>0</v>
      </c>
      <c r="AL34" s="74">
        <v>23853429</v>
      </c>
      <c r="AM34" s="77">
        <v>1</v>
      </c>
      <c r="AN34" s="74">
        <v>4209429</v>
      </c>
      <c r="AO34" s="74">
        <v>0</v>
      </c>
      <c r="AP34" s="74">
        <v>0</v>
      </c>
      <c r="AQ34" s="74">
        <v>0</v>
      </c>
      <c r="AR34" s="74">
        <v>0</v>
      </c>
      <c r="AS34" s="74">
        <v>0</v>
      </c>
      <c r="AT34" s="77">
        <v>0</v>
      </c>
      <c r="AU34" s="74">
        <v>0</v>
      </c>
      <c r="AV34" s="74">
        <v>0</v>
      </c>
      <c r="AW34" s="74">
        <v>0</v>
      </c>
      <c r="AX34" s="74">
        <v>0</v>
      </c>
      <c r="AY34" s="74">
        <v>0</v>
      </c>
      <c r="AZ34" s="74">
        <v>25251396.330000002</v>
      </c>
      <c r="BA34" s="77">
        <v>1.0586065563152367</v>
      </c>
      <c r="BB34" s="74">
        <v>4456128.7200000007</v>
      </c>
      <c r="BC34" s="74">
        <v>0</v>
      </c>
      <c r="BD34" s="74">
        <v>0</v>
      </c>
      <c r="BE34" s="74">
        <v>0</v>
      </c>
    </row>
    <row r="35" spans="1:57" ht="33.950000000000003" customHeight="1" x14ac:dyDescent="0.3">
      <c r="A35" s="34">
        <v>1</v>
      </c>
      <c r="B35" s="34" t="s">
        <v>388</v>
      </c>
      <c r="C35" s="34" t="s">
        <v>839</v>
      </c>
      <c r="D35" s="34" t="s">
        <v>460</v>
      </c>
      <c r="E35" s="34" t="s">
        <v>461</v>
      </c>
      <c r="F35" s="34" t="s">
        <v>475</v>
      </c>
      <c r="G35" s="34" t="s">
        <v>463</v>
      </c>
      <c r="H35" s="73" t="s">
        <v>483</v>
      </c>
      <c r="I35" s="39" t="s">
        <v>121</v>
      </c>
      <c r="J35" s="39" t="s">
        <v>864</v>
      </c>
      <c r="K35" s="39" t="s">
        <v>429</v>
      </c>
      <c r="L35" s="36" t="s">
        <v>484</v>
      </c>
      <c r="M35" s="37">
        <v>1</v>
      </c>
      <c r="N35" s="38"/>
      <c r="O35" s="37" t="s">
        <v>39</v>
      </c>
      <c r="P35" s="37" t="s">
        <v>406</v>
      </c>
      <c r="Q35" s="74">
        <v>423953</v>
      </c>
      <c r="R35" s="74" t="s">
        <v>429</v>
      </c>
      <c r="S35" s="74">
        <v>498769</v>
      </c>
      <c r="T35" s="74"/>
      <c r="U35" s="75"/>
      <c r="V35" s="74"/>
      <c r="W35" s="80"/>
      <c r="X35" s="74">
        <v>423953</v>
      </c>
      <c r="Y35" s="76">
        <v>1</v>
      </c>
      <c r="Z35" s="74">
        <v>74816</v>
      </c>
      <c r="AA35" s="74">
        <v>0</v>
      </c>
      <c r="AB35" s="74">
        <v>0</v>
      </c>
      <c r="AC35" s="74">
        <v>0</v>
      </c>
      <c r="AD35" s="74">
        <v>1</v>
      </c>
      <c r="AE35" s="74">
        <v>423953</v>
      </c>
      <c r="AF35" s="76">
        <v>1</v>
      </c>
      <c r="AG35" s="74">
        <v>74816</v>
      </c>
      <c r="AH35" s="74">
        <v>0</v>
      </c>
      <c r="AI35" s="74">
        <v>0</v>
      </c>
      <c r="AJ35" s="74">
        <v>0</v>
      </c>
      <c r="AK35" s="74">
        <v>1</v>
      </c>
      <c r="AL35" s="74">
        <v>423953</v>
      </c>
      <c r="AM35" s="77">
        <v>1</v>
      </c>
      <c r="AN35" s="74">
        <v>74816</v>
      </c>
      <c r="AO35" s="74">
        <v>0</v>
      </c>
      <c r="AP35" s="74">
        <v>0</v>
      </c>
      <c r="AQ35" s="74">
        <v>0</v>
      </c>
      <c r="AR35" s="74">
        <v>1</v>
      </c>
      <c r="AS35" s="74">
        <v>0</v>
      </c>
      <c r="AT35" s="77">
        <v>0</v>
      </c>
      <c r="AU35" s="74">
        <v>0</v>
      </c>
      <c r="AV35" s="74">
        <v>0</v>
      </c>
      <c r="AW35" s="74">
        <v>0</v>
      </c>
      <c r="AX35" s="74">
        <v>0</v>
      </c>
      <c r="AY35" s="74">
        <v>0</v>
      </c>
      <c r="AZ35" s="74">
        <v>123902.94</v>
      </c>
      <c r="BA35" s="77">
        <v>0.29225631143074821</v>
      </c>
      <c r="BB35" s="74">
        <v>21865.21</v>
      </c>
      <c r="BC35" s="74">
        <v>0</v>
      </c>
      <c r="BD35" s="74">
        <v>0</v>
      </c>
      <c r="BE35" s="74">
        <v>0</v>
      </c>
    </row>
    <row r="36" spans="1:57" ht="33.950000000000003" customHeight="1" x14ac:dyDescent="0.3">
      <c r="A36" s="34">
        <v>1</v>
      </c>
      <c r="B36" s="34" t="s">
        <v>388</v>
      </c>
      <c r="C36" s="34" t="s">
        <v>839</v>
      </c>
      <c r="D36" s="34" t="s">
        <v>460</v>
      </c>
      <c r="E36" s="34" t="s">
        <v>461</v>
      </c>
      <c r="F36" s="34" t="s">
        <v>475</v>
      </c>
      <c r="G36" s="34" t="s">
        <v>463</v>
      </c>
      <c r="H36" s="73" t="s">
        <v>483</v>
      </c>
      <c r="I36" s="39" t="s">
        <v>122</v>
      </c>
      <c r="J36" s="39" t="s">
        <v>865</v>
      </c>
      <c r="K36" s="39" t="s">
        <v>429</v>
      </c>
      <c r="L36" s="36" t="s">
        <v>484</v>
      </c>
      <c r="M36" s="37">
        <v>2</v>
      </c>
      <c r="N36" s="38"/>
      <c r="O36" s="37" t="s">
        <v>39</v>
      </c>
      <c r="P36" s="37" t="s">
        <v>406</v>
      </c>
      <c r="Q36" s="74">
        <v>4186539</v>
      </c>
      <c r="R36" s="74" t="s">
        <v>429</v>
      </c>
      <c r="S36" s="74">
        <v>4925340</v>
      </c>
      <c r="T36" s="74"/>
      <c r="U36" s="75"/>
      <c r="V36" s="74"/>
      <c r="W36" s="80"/>
      <c r="X36" s="74">
        <v>4182123.9499999997</v>
      </c>
      <c r="Y36" s="76">
        <v>0.99894541768272072</v>
      </c>
      <c r="Z36" s="74">
        <v>492015.17</v>
      </c>
      <c r="AA36" s="74">
        <v>0</v>
      </c>
      <c r="AB36" s="74">
        <v>0</v>
      </c>
      <c r="AC36" s="74">
        <v>246008.58</v>
      </c>
      <c r="AD36" s="74">
        <v>8</v>
      </c>
      <c r="AE36" s="74">
        <v>4182123.9499999997</v>
      </c>
      <c r="AF36" s="76">
        <v>0.99894541768272072</v>
      </c>
      <c r="AG36" s="74">
        <v>492015.17</v>
      </c>
      <c r="AH36" s="74">
        <v>0</v>
      </c>
      <c r="AI36" s="74">
        <v>0</v>
      </c>
      <c r="AJ36" s="74">
        <v>246008.58</v>
      </c>
      <c r="AK36" s="74">
        <v>8</v>
      </c>
      <c r="AL36" s="74">
        <v>4182123.9499999997</v>
      </c>
      <c r="AM36" s="77">
        <v>0.99894541768272072</v>
      </c>
      <c r="AN36" s="74">
        <v>492015.17</v>
      </c>
      <c r="AO36" s="74">
        <v>0</v>
      </c>
      <c r="AP36" s="74">
        <v>0</v>
      </c>
      <c r="AQ36" s="74">
        <v>246008.58</v>
      </c>
      <c r="AR36" s="74">
        <v>8</v>
      </c>
      <c r="AS36" s="74">
        <v>0</v>
      </c>
      <c r="AT36" s="77">
        <v>0</v>
      </c>
      <c r="AU36" s="74">
        <v>0</v>
      </c>
      <c r="AV36" s="74">
        <v>0</v>
      </c>
      <c r="AW36" s="74">
        <v>0</v>
      </c>
      <c r="AX36" s="74">
        <v>0</v>
      </c>
      <c r="AY36" s="74">
        <v>0</v>
      </c>
      <c r="AZ36" s="74">
        <v>2410667.8599999994</v>
      </c>
      <c r="BA36" s="77">
        <v>0.57581402203586285</v>
      </c>
      <c r="BB36" s="74">
        <v>283590.5</v>
      </c>
      <c r="BC36" s="74">
        <v>0</v>
      </c>
      <c r="BD36" s="74">
        <v>0</v>
      </c>
      <c r="BE36" s="74">
        <v>100910.54999999999</v>
      </c>
    </row>
    <row r="37" spans="1:57" ht="33.950000000000003" customHeight="1" x14ac:dyDescent="0.3">
      <c r="A37" s="34">
        <v>1</v>
      </c>
      <c r="B37" s="34" t="s">
        <v>388</v>
      </c>
      <c r="C37" s="34" t="s">
        <v>839</v>
      </c>
      <c r="D37" s="34" t="s">
        <v>485</v>
      </c>
      <c r="E37" s="34" t="s">
        <v>486</v>
      </c>
      <c r="F37" s="34" t="s">
        <v>487</v>
      </c>
      <c r="G37" s="34" t="s">
        <v>488</v>
      </c>
      <c r="H37" s="73" t="s">
        <v>489</v>
      </c>
      <c r="I37" s="39" t="s">
        <v>123</v>
      </c>
      <c r="J37" s="39" t="s">
        <v>866</v>
      </c>
      <c r="K37" s="39" t="s">
        <v>429</v>
      </c>
      <c r="L37" s="36" t="s">
        <v>490</v>
      </c>
      <c r="M37" s="37" t="s">
        <v>440</v>
      </c>
      <c r="N37" s="38"/>
      <c r="O37" s="37" t="s">
        <v>39</v>
      </c>
      <c r="P37" s="37" t="s">
        <v>414</v>
      </c>
      <c r="Q37" s="74">
        <v>133302252</v>
      </c>
      <c r="R37" s="74" t="s">
        <v>429</v>
      </c>
      <c r="S37" s="74">
        <v>148002650</v>
      </c>
      <c r="T37" s="74"/>
      <c r="U37" s="75"/>
      <c r="V37" s="74"/>
      <c r="W37" s="80"/>
      <c r="X37" s="74">
        <v>48371800</v>
      </c>
      <c r="Y37" s="76">
        <v>0.36287308934585744</v>
      </c>
      <c r="Z37" s="74">
        <v>8536200</v>
      </c>
      <c r="AA37" s="74">
        <v>0</v>
      </c>
      <c r="AB37" s="74">
        <v>0</v>
      </c>
      <c r="AC37" s="74">
        <v>0</v>
      </c>
      <c r="AD37" s="74">
        <v>18</v>
      </c>
      <c r="AE37" s="74">
        <v>20746800</v>
      </c>
      <c r="AF37" s="76">
        <v>0.15563728060648219</v>
      </c>
      <c r="AG37" s="74">
        <v>3661200</v>
      </c>
      <c r="AH37" s="74">
        <v>0</v>
      </c>
      <c r="AI37" s="74">
        <v>0</v>
      </c>
      <c r="AJ37" s="74">
        <v>0</v>
      </c>
      <c r="AK37" s="74">
        <v>8</v>
      </c>
      <c r="AL37" s="74">
        <v>20746800</v>
      </c>
      <c r="AM37" s="77">
        <v>0.15563728060648219</v>
      </c>
      <c r="AN37" s="74">
        <v>3661200</v>
      </c>
      <c r="AO37" s="74">
        <v>0</v>
      </c>
      <c r="AP37" s="74">
        <v>0</v>
      </c>
      <c r="AQ37" s="74">
        <v>0</v>
      </c>
      <c r="AR37" s="74">
        <v>8</v>
      </c>
      <c r="AS37" s="74">
        <v>0</v>
      </c>
      <c r="AT37" s="77">
        <v>0</v>
      </c>
      <c r="AU37" s="74">
        <v>0</v>
      </c>
      <c r="AV37" s="74">
        <v>0</v>
      </c>
      <c r="AW37" s="74">
        <v>0</v>
      </c>
      <c r="AX37" s="74">
        <v>0</v>
      </c>
      <c r="AY37" s="74">
        <v>0</v>
      </c>
      <c r="AZ37" s="74">
        <v>1219802.0900000001</v>
      </c>
      <c r="BA37" s="77">
        <v>9.1506487827377452E-3</v>
      </c>
      <c r="BB37" s="74">
        <v>215259.19</v>
      </c>
      <c r="BC37" s="74">
        <v>0</v>
      </c>
      <c r="BD37" s="74">
        <v>0</v>
      </c>
      <c r="BE37" s="74">
        <v>0</v>
      </c>
    </row>
    <row r="38" spans="1:57" ht="33.950000000000003" customHeight="1" x14ac:dyDescent="0.3">
      <c r="A38" s="34">
        <v>1</v>
      </c>
      <c r="B38" s="34" t="s">
        <v>388</v>
      </c>
      <c r="C38" s="34" t="s">
        <v>839</v>
      </c>
      <c r="D38" s="34" t="s">
        <v>485</v>
      </c>
      <c r="E38" s="34" t="s">
        <v>486</v>
      </c>
      <c r="F38" s="34" t="s">
        <v>487</v>
      </c>
      <c r="G38" s="34" t="s">
        <v>488</v>
      </c>
      <c r="H38" s="73" t="s">
        <v>491</v>
      </c>
      <c r="I38" s="39" t="s">
        <v>124</v>
      </c>
      <c r="J38" s="39" t="s">
        <v>867</v>
      </c>
      <c r="K38" s="39" t="s">
        <v>429</v>
      </c>
      <c r="L38" s="36" t="s">
        <v>492</v>
      </c>
      <c r="M38" s="37" t="s">
        <v>440</v>
      </c>
      <c r="N38" s="38"/>
      <c r="O38" s="37" t="s">
        <v>39</v>
      </c>
      <c r="P38" s="37" t="s">
        <v>415</v>
      </c>
      <c r="Q38" s="74">
        <v>1094772</v>
      </c>
      <c r="R38" s="74" t="s">
        <v>429</v>
      </c>
      <c r="S38" s="74">
        <v>1287968</v>
      </c>
      <c r="T38" s="74"/>
      <c r="U38" s="75"/>
      <c r="V38" s="74"/>
      <c r="W38" s="80"/>
      <c r="X38" s="74">
        <v>1094772</v>
      </c>
      <c r="Y38" s="76">
        <v>1</v>
      </c>
      <c r="Z38" s="74">
        <v>193196</v>
      </c>
      <c r="AA38" s="74">
        <v>0</v>
      </c>
      <c r="AB38" s="74">
        <v>0</v>
      </c>
      <c r="AC38" s="74">
        <v>0</v>
      </c>
      <c r="AD38" s="74">
        <v>1</v>
      </c>
      <c r="AE38" s="74">
        <v>1094772</v>
      </c>
      <c r="AF38" s="76">
        <v>1</v>
      </c>
      <c r="AG38" s="74">
        <v>193196</v>
      </c>
      <c r="AH38" s="74">
        <v>0</v>
      </c>
      <c r="AI38" s="74">
        <v>0</v>
      </c>
      <c r="AJ38" s="74">
        <v>0</v>
      </c>
      <c r="AK38" s="74">
        <v>1</v>
      </c>
      <c r="AL38" s="74">
        <v>1094772</v>
      </c>
      <c r="AM38" s="77">
        <v>1</v>
      </c>
      <c r="AN38" s="74">
        <v>193196</v>
      </c>
      <c r="AO38" s="74">
        <v>0</v>
      </c>
      <c r="AP38" s="74">
        <v>0</v>
      </c>
      <c r="AQ38" s="74">
        <v>0</v>
      </c>
      <c r="AR38" s="74">
        <v>1</v>
      </c>
      <c r="AS38" s="74">
        <v>0</v>
      </c>
      <c r="AT38" s="77">
        <v>0</v>
      </c>
      <c r="AU38" s="74">
        <v>0</v>
      </c>
      <c r="AV38" s="74">
        <v>0</v>
      </c>
      <c r="AW38" s="74">
        <v>0</v>
      </c>
      <c r="AX38" s="74">
        <v>0</v>
      </c>
      <c r="AY38" s="74">
        <v>0</v>
      </c>
      <c r="AZ38" s="74">
        <v>418465.8</v>
      </c>
      <c r="BA38" s="77">
        <v>0.38224013767250165</v>
      </c>
      <c r="BB38" s="74">
        <v>73846.91</v>
      </c>
      <c r="BC38" s="74">
        <v>0</v>
      </c>
      <c r="BD38" s="74">
        <v>0</v>
      </c>
      <c r="BE38" s="74">
        <v>0</v>
      </c>
    </row>
    <row r="39" spans="1:57" ht="33.950000000000003" customHeight="1" x14ac:dyDescent="0.3">
      <c r="A39" s="34">
        <v>1</v>
      </c>
      <c r="B39" s="34" t="s">
        <v>388</v>
      </c>
      <c r="C39" s="34" t="s">
        <v>839</v>
      </c>
      <c r="D39" s="34" t="s">
        <v>493</v>
      </c>
      <c r="E39" s="34" t="s">
        <v>494</v>
      </c>
      <c r="F39" s="34" t="s">
        <v>495</v>
      </c>
      <c r="G39" s="34" t="s">
        <v>494</v>
      </c>
      <c r="H39" s="73" t="s">
        <v>496</v>
      </c>
      <c r="I39" s="39" t="s">
        <v>125</v>
      </c>
      <c r="J39" s="39" t="s">
        <v>868</v>
      </c>
      <c r="K39" s="39" t="s">
        <v>429</v>
      </c>
      <c r="L39" s="36" t="s">
        <v>497</v>
      </c>
      <c r="M39" s="37" t="s">
        <v>440</v>
      </c>
      <c r="N39" s="38"/>
      <c r="O39" s="37" t="s">
        <v>39</v>
      </c>
      <c r="P39" s="37" t="s">
        <v>412</v>
      </c>
      <c r="Q39" s="74">
        <v>3697500</v>
      </c>
      <c r="R39" s="74" t="s">
        <v>429</v>
      </c>
      <c r="S39" s="74">
        <v>4350000</v>
      </c>
      <c r="T39" s="74"/>
      <c r="U39" s="75"/>
      <c r="V39" s="74"/>
      <c r="W39" s="80"/>
      <c r="X39" s="74">
        <v>3697500</v>
      </c>
      <c r="Y39" s="76">
        <v>1</v>
      </c>
      <c r="Z39" s="74">
        <v>0</v>
      </c>
      <c r="AA39" s="74">
        <v>0</v>
      </c>
      <c r="AB39" s="74">
        <v>0</v>
      </c>
      <c r="AC39" s="74">
        <v>652500</v>
      </c>
      <c r="AD39" s="74">
        <v>1</v>
      </c>
      <c r="AE39" s="74">
        <v>3697500</v>
      </c>
      <c r="AF39" s="76">
        <v>1</v>
      </c>
      <c r="AG39" s="74">
        <v>0</v>
      </c>
      <c r="AH39" s="74">
        <v>0</v>
      </c>
      <c r="AI39" s="74">
        <v>0</v>
      </c>
      <c r="AJ39" s="74">
        <v>652500</v>
      </c>
      <c r="AK39" s="74">
        <v>1</v>
      </c>
      <c r="AL39" s="74">
        <v>3697500</v>
      </c>
      <c r="AM39" s="77">
        <v>1</v>
      </c>
      <c r="AN39" s="74">
        <v>0</v>
      </c>
      <c r="AO39" s="74">
        <v>0</v>
      </c>
      <c r="AP39" s="74">
        <v>0</v>
      </c>
      <c r="AQ39" s="74">
        <v>652500</v>
      </c>
      <c r="AR39" s="74">
        <v>1</v>
      </c>
      <c r="AS39" s="74">
        <v>0</v>
      </c>
      <c r="AT39" s="77">
        <v>0</v>
      </c>
      <c r="AU39" s="74">
        <v>0</v>
      </c>
      <c r="AV39" s="74">
        <v>0</v>
      </c>
      <c r="AW39" s="74">
        <v>0</v>
      </c>
      <c r="AX39" s="74">
        <v>0</v>
      </c>
      <c r="AY39" s="74">
        <v>0</v>
      </c>
      <c r="AZ39" s="74">
        <v>2168785.84</v>
      </c>
      <c r="BA39" s="77">
        <v>0.58655465584854627</v>
      </c>
      <c r="BB39" s="74">
        <v>0</v>
      </c>
      <c r="BC39" s="74">
        <v>0</v>
      </c>
      <c r="BD39" s="74">
        <v>0</v>
      </c>
      <c r="BE39" s="74">
        <v>382726.91</v>
      </c>
    </row>
    <row r="40" spans="1:57" ht="33.950000000000003" customHeight="1" x14ac:dyDescent="0.3">
      <c r="A40" s="34">
        <v>1</v>
      </c>
      <c r="B40" s="34" t="s">
        <v>388</v>
      </c>
      <c r="C40" s="34" t="s">
        <v>839</v>
      </c>
      <c r="D40" s="34" t="s">
        <v>498</v>
      </c>
      <c r="E40" s="34" t="s">
        <v>499</v>
      </c>
      <c r="F40" s="34" t="s">
        <v>500</v>
      </c>
      <c r="G40" s="34" t="s">
        <v>501</v>
      </c>
      <c r="H40" s="73" t="s">
        <v>502</v>
      </c>
      <c r="I40" s="39" t="s">
        <v>126</v>
      </c>
      <c r="J40" s="39" t="s">
        <v>869</v>
      </c>
      <c r="K40" s="39" t="s">
        <v>429</v>
      </c>
      <c r="L40" s="36" t="s">
        <v>501</v>
      </c>
      <c r="M40" s="37">
        <v>1</v>
      </c>
      <c r="N40" s="38"/>
      <c r="O40" s="37" t="s">
        <v>39</v>
      </c>
      <c r="P40" s="37" t="s">
        <v>406</v>
      </c>
      <c r="Q40" s="74">
        <v>29750000</v>
      </c>
      <c r="R40" s="74" t="s">
        <v>429</v>
      </c>
      <c r="S40" s="74">
        <v>35000000</v>
      </c>
      <c r="T40" s="74"/>
      <c r="U40" s="75"/>
      <c r="V40" s="74"/>
      <c r="W40" s="80"/>
      <c r="X40" s="74">
        <v>0</v>
      </c>
      <c r="Y40" s="76">
        <v>0</v>
      </c>
      <c r="Z40" s="74">
        <v>0</v>
      </c>
      <c r="AA40" s="74">
        <v>0</v>
      </c>
      <c r="AB40" s="74">
        <v>0</v>
      </c>
      <c r="AC40" s="74">
        <v>0</v>
      </c>
      <c r="AD40" s="74">
        <v>0</v>
      </c>
      <c r="AE40" s="74">
        <v>0</v>
      </c>
      <c r="AF40" s="76">
        <v>0</v>
      </c>
      <c r="AG40" s="74">
        <v>0</v>
      </c>
      <c r="AH40" s="74">
        <v>0</v>
      </c>
      <c r="AI40" s="74">
        <v>0</v>
      </c>
      <c r="AJ40" s="74">
        <v>0</v>
      </c>
      <c r="AK40" s="74">
        <v>0</v>
      </c>
      <c r="AL40" s="74">
        <v>0</v>
      </c>
      <c r="AM40" s="77">
        <v>0</v>
      </c>
      <c r="AN40" s="74">
        <v>0</v>
      </c>
      <c r="AO40" s="74">
        <v>0</v>
      </c>
      <c r="AP40" s="74">
        <v>0</v>
      </c>
      <c r="AQ40" s="74">
        <v>0</v>
      </c>
      <c r="AR40" s="74">
        <v>0</v>
      </c>
      <c r="AS40" s="74">
        <v>0</v>
      </c>
      <c r="AT40" s="77">
        <v>0</v>
      </c>
      <c r="AU40" s="74">
        <v>0</v>
      </c>
      <c r="AV40" s="74">
        <v>0</v>
      </c>
      <c r="AW40" s="74">
        <v>0</v>
      </c>
      <c r="AX40" s="74">
        <v>0</v>
      </c>
      <c r="AY40" s="74">
        <v>0</v>
      </c>
      <c r="AZ40" s="74">
        <v>0</v>
      </c>
      <c r="BA40" s="77">
        <v>0</v>
      </c>
      <c r="BB40" s="74">
        <v>0</v>
      </c>
      <c r="BC40" s="74">
        <v>0</v>
      </c>
      <c r="BD40" s="74">
        <v>0</v>
      </c>
      <c r="BE40" s="74">
        <v>0</v>
      </c>
    </row>
    <row r="41" spans="1:57" ht="33.950000000000003" customHeight="1" x14ac:dyDescent="0.3">
      <c r="A41" s="34">
        <v>1</v>
      </c>
      <c r="B41" s="34" t="s">
        <v>388</v>
      </c>
      <c r="C41" s="34" t="s">
        <v>839</v>
      </c>
      <c r="D41" s="34" t="s">
        <v>498</v>
      </c>
      <c r="E41" s="34" t="s">
        <v>499</v>
      </c>
      <c r="F41" s="34" t="s">
        <v>500</v>
      </c>
      <c r="G41" s="34" t="s">
        <v>501</v>
      </c>
      <c r="H41" s="73" t="s">
        <v>502</v>
      </c>
      <c r="I41" s="39" t="s">
        <v>127</v>
      </c>
      <c r="J41" s="39" t="s">
        <v>870</v>
      </c>
      <c r="K41" s="39" t="s">
        <v>429</v>
      </c>
      <c r="L41" s="36" t="s">
        <v>501</v>
      </c>
      <c r="M41" s="37">
        <v>2</v>
      </c>
      <c r="N41" s="38"/>
      <c r="O41" s="37" t="s">
        <v>39</v>
      </c>
      <c r="P41" s="37" t="s">
        <v>406</v>
      </c>
      <c r="Q41" s="74">
        <v>29750000</v>
      </c>
      <c r="R41" s="74" t="s">
        <v>429</v>
      </c>
      <c r="S41" s="74">
        <v>35000000</v>
      </c>
      <c r="T41" s="74"/>
      <c r="U41" s="75"/>
      <c r="V41" s="74"/>
      <c r="W41" s="80"/>
      <c r="X41" s="74">
        <v>0</v>
      </c>
      <c r="Y41" s="76">
        <v>0</v>
      </c>
      <c r="Z41" s="74">
        <v>0</v>
      </c>
      <c r="AA41" s="74">
        <v>0</v>
      </c>
      <c r="AB41" s="74">
        <v>0</v>
      </c>
      <c r="AC41" s="74">
        <v>0</v>
      </c>
      <c r="AD41" s="74">
        <v>0</v>
      </c>
      <c r="AE41" s="74">
        <v>0</v>
      </c>
      <c r="AF41" s="76">
        <v>0</v>
      </c>
      <c r="AG41" s="74">
        <v>0</v>
      </c>
      <c r="AH41" s="74">
        <v>0</v>
      </c>
      <c r="AI41" s="74">
        <v>0</v>
      </c>
      <c r="AJ41" s="74">
        <v>0</v>
      </c>
      <c r="AK41" s="74">
        <v>0</v>
      </c>
      <c r="AL41" s="74">
        <v>0</v>
      </c>
      <c r="AM41" s="77">
        <v>0</v>
      </c>
      <c r="AN41" s="74">
        <v>0</v>
      </c>
      <c r="AO41" s="74">
        <v>0</v>
      </c>
      <c r="AP41" s="74">
        <v>0</v>
      </c>
      <c r="AQ41" s="74">
        <v>0</v>
      </c>
      <c r="AR41" s="74">
        <v>0</v>
      </c>
      <c r="AS41" s="74">
        <v>0</v>
      </c>
      <c r="AT41" s="77">
        <v>0</v>
      </c>
      <c r="AU41" s="74">
        <v>0</v>
      </c>
      <c r="AV41" s="74">
        <v>0</v>
      </c>
      <c r="AW41" s="74">
        <v>0</v>
      </c>
      <c r="AX41" s="74">
        <v>0</v>
      </c>
      <c r="AY41" s="74">
        <v>0</v>
      </c>
      <c r="AZ41" s="74">
        <v>0</v>
      </c>
      <c r="BA41" s="77">
        <v>0</v>
      </c>
      <c r="BB41" s="74">
        <v>0</v>
      </c>
      <c r="BC41" s="74">
        <v>0</v>
      </c>
      <c r="BD41" s="74">
        <v>0</v>
      </c>
      <c r="BE41" s="74">
        <v>0</v>
      </c>
    </row>
    <row r="42" spans="1:57" ht="33.950000000000003" customHeight="1" x14ac:dyDescent="0.3">
      <c r="A42" s="34">
        <v>2</v>
      </c>
      <c r="B42" s="34" t="s">
        <v>389</v>
      </c>
      <c r="C42" s="34" t="s">
        <v>871</v>
      </c>
      <c r="D42" s="34" t="s">
        <v>376</v>
      </c>
      <c r="E42" s="34" t="s">
        <v>503</v>
      </c>
      <c r="F42" s="34" t="s">
        <v>504</v>
      </c>
      <c r="G42" s="34" t="s">
        <v>505</v>
      </c>
      <c r="H42" s="73" t="s">
        <v>506</v>
      </c>
      <c r="I42" s="39" t="s">
        <v>128</v>
      </c>
      <c r="J42" s="39" t="s">
        <v>872</v>
      </c>
      <c r="K42" s="39" t="s">
        <v>429</v>
      </c>
      <c r="L42" s="36" t="s">
        <v>505</v>
      </c>
      <c r="M42" s="37">
        <v>1</v>
      </c>
      <c r="N42" s="38"/>
      <c r="O42" s="37" t="s">
        <v>39</v>
      </c>
      <c r="P42" s="37" t="s">
        <v>406</v>
      </c>
      <c r="Q42" s="74">
        <v>2550000</v>
      </c>
      <c r="R42" s="74" t="s">
        <v>429</v>
      </c>
      <c r="S42" s="74">
        <v>1661550</v>
      </c>
      <c r="T42" s="74"/>
      <c r="U42" s="75"/>
      <c r="V42" s="74"/>
      <c r="W42" s="80"/>
      <c r="X42" s="74">
        <v>1412316.35</v>
      </c>
      <c r="Y42" s="76">
        <v>0.55384954901960792</v>
      </c>
      <c r="Z42" s="74">
        <v>249232.3</v>
      </c>
      <c r="AA42" s="74">
        <v>0</v>
      </c>
      <c r="AB42" s="74">
        <v>0</v>
      </c>
      <c r="AC42" s="74">
        <v>0</v>
      </c>
      <c r="AD42" s="74">
        <v>1</v>
      </c>
      <c r="AE42" s="74">
        <v>1412316.35</v>
      </c>
      <c r="AF42" s="76">
        <v>0.55384954901960792</v>
      </c>
      <c r="AG42" s="74">
        <v>249232.3</v>
      </c>
      <c r="AH42" s="74">
        <v>0</v>
      </c>
      <c r="AI42" s="74">
        <v>0</v>
      </c>
      <c r="AJ42" s="74">
        <v>0</v>
      </c>
      <c r="AK42" s="74">
        <v>1</v>
      </c>
      <c r="AL42" s="74">
        <v>1412316.35</v>
      </c>
      <c r="AM42" s="77">
        <v>0.55384954901960792</v>
      </c>
      <c r="AN42" s="74">
        <v>249232.3</v>
      </c>
      <c r="AO42" s="74">
        <v>0</v>
      </c>
      <c r="AP42" s="74">
        <v>0</v>
      </c>
      <c r="AQ42" s="74">
        <v>0</v>
      </c>
      <c r="AR42" s="74">
        <v>1</v>
      </c>
      <c r="AS42" s="74">
        <v>0</v>
      </c>
      <c r="AT42" s="77">
        <v>0</v>
      </c>
      <c r="AU42" s="74">
        <v>0</v>
      </c>
      <c r="AV42" s="74">
        <v>0</v>
      </c>
      <c r="AW42" s="74">
        <v>0</v>
      </c>
      <c r="AX42" s="74">
        <v>0</v>
      </c>
      <c r="AY42" s="74">
        <v>0</v>
      </c>
      <c r="AZ42" s="74">
        <v>812778.61</v>
      </c>
      <c r="BA42" s="77">
        <v>0.31873670980392155</v>
      </c>
      <c r="BB42" s="74">
        <v>143431.51999999999</v>
      </c>
      <c r="BC42" s="74">
        <v>0</v>
      </c>
      <c r="BD42" s="74">
        <v>0</v>
      </c>
      <c r="BE42" s="74">
        <v>0</v>
      </c>
    </row>
    <row r="43" spans="1:57" ht="33.950000000000003" customHeight="1" x14ac:dyDescent="0.3">
      <c r="A43" s="34">
        <v>2</v>
      </c>
      <c r="B43" s="34" t="s">
        <v>389</v>
      </c>
      <c r="C43" s="34" t="s">
        <v>871</v>
      </c>
      <c r="D43" s="34" t="s">
        <v>376</v>
      </c>
      <c r="E43" s="34" t="s">
        <v>503</v>
      </c>
      <c r="F43" s="34" t="s">
        <v>504</v>
      </c>
      <c r="G43" s="34" t="s">
        <v>505</v>
      </c>
      <c r="H43" s="73" t="s">
        <v>506</v>
      </c>
      <c r="I43" s="39" t="s">
        <v>129</v>
      </c>
      <c r="J43" s="39" t="s">
        <v>873</v>
      </c>
      <c r="K43" s="39" t="s">
        <v>422</v>
      </c>
      <c r="L43" s="36" t="s">
        <v>428</v>
      </c>
      <c r="M43" s="37">
        <v>2</v>
      </c>
      <c r="N43" s="38"/>
      <c r="O43" s="37" t="s">
        <v>39</v>
      </c>
      <c r="P43" s="37" t="s">
        <v>406</v>
      </c>
      <c r="Q43" s="74">
        <v>144685431</v>
      </c>
      <c r="R43" s="74" t="s">
        <v>429</v>
      </c>
      <c r="S43" s="74">
        <v>170218155</v>
      </c>
      <c r="T43" s="74"/>
      <c r="U43" s="75"/>
      <c r="V43" s="74"/>
      <c r="W43" s="80"/>
      <c r="X43" s="74">
        <v>144685431</v>
      </c>
      <c r="Y43" s="76">
        <v>1</v>
      </c>
      <c r="Z43" s="74">
        <v>25532724</v>
      </c>
      <c r="AA43" s="74">
        <v>0</v>
      </c>
      <c r="AB43" s="74">
        <v>0</v>
      </c>
      <c r="AC43" s="74">
        <v>0</v>
      </c>
      <c r="AD43" s="74">
        <v>1</v>
      </c>
      <c r="AE43" s="74">
        <v>144685431</v>
      </c>
      <c r="AF43" s="76">
        <v>1</v>
      </c>
      <c r="AG43" s="74">
        <v>25532724</v>
      </c>
      <c r="AH43" s="74">
        <v>0</v>
      </c>
      <c r="AI43" s="74">
        <v>0</v>
      </c>
      <c r="AJ43" s="74">
        <v>0</v>
      </c>
      <c r="AK43" s="74">
        <v>1</v>
      </c>
      <c r="AL43" s="74">
        <v>144685431</v>
      </c>
      <c r="AM43" s="77">
        <v>1</v>
      </c>
      <c r="AN43" s="74">
        <v>25532724</v>
      </c>
      <c r="AO43" s="74">
        <v>0</v>
      </c>
      <c r="AP43" s="74">
        <v>0</v>
      </c>
      <c r="AQ43" s="74">
        <v>0</v>
      </c>
      <c r="AR43" s="74">
        <v>1</v>
      </c>
      <c r="AS43" s="74">
        <v>0</v>
      </c>
      <c r="AT43" s="77">
        <v>0</v>
      </c>
      <c r="AU43" s="74">
        <v>0</v>
      </c>
      <c r="AV43" s="74">
        <v>0</v>
      </c>
      <c r="AW43" s="74">
        <v>0</v>
      </c>
      <c r="AX43" s="74">
        <v>0</v>
      </c>
      <c r="AY43" s="74">
        <v>0</v>
      </c>
      <c r="AZ43" s="74">
        <v>54304290.939999998</v>
      </c>
      <c r="BA43" s="77">
        <v>0.37532660036793891</v>
      </c>
      <c r="BB43" s="74">
        <v>9583110.120000001</v>
      </c>
      <c r="BC43" s="74" t="s">
        <v>429</v>
      </c>
      <c r="BD43" s="74" t="s">
        <v>429</v>
      </c>
      <c r="BE43" s="74" t="s">
        <v>429</v>
      </c>
    </row>
    <row r="44" spans="1:57" ht="33.950000000000003" customHeight="1" x14ac:dyDescent="0.3">
      <c r="A44" s="34">
        <v>2</v>
      </c>
      <c r="B44" s="34" t="s">
        <v>389</v>
      </c>
      <c r="C44" s="34" t="s">
        <v>871</v>
      </c>
      <c r="D44" s="34" t="s">
        <v>376</v>
      </c>
      <c r="E44" s="34" t="s">
        <v>503</v>
      </c>
      <c r="F44" s="34" t="s">
        <v>504</v>
      </c>
      <c r="G44" s="34" t="s">
        <v>505</v>
      </c>
      <c r="H44" s="73" t="s">
        <v>507</v>
      </c>
      <c r="I44" s="39" t="s">
        <v>130</v>
      </c>
      <c r="J44" s="39" t="s">
        <v>874</v>
      </c>
      <c r="K44" s="39" t="s">
        <v>422</v>
      </c>
      <c r="L44" s="36" t="s">
        <v>430</v>
      </c>
      <c r="M44" s="37" t="s">
        <v>440</v>
      </c>
      <c r="N44" s="38"/>
      <c r="O44" s="37" t="s">
        <v>39</v>
      </c>
      <c r="P44" s="37" t="s">
        <v>406</v>
      </c>
      <c r="Q44" s="74">
        <v>6639649</v>
      </c>
      <c r="R44" s="74" t="s">
        <v>429</v>
      </c>
      <c r="S44" s="74">
        <v>7811352</v>
      </c>
      <c r="T44" s="74"/>
      <c r="U44" s="75"/>
      <c r="V44" s="74"/>
      <c r="W44" s="80"/>
      <c r="X44" s="74">
        <v>6639649</v>
      </c>
      <c r="Y44" s="76">
        <v>1</v>
      </c>
      <c r="Z44" s="74">
        <v>1171703</v>
      </c>
      <c r="AA44" s="74">
        <v>0</v>
      </c>
      <c r="AB44" s="74">
        <v>0</v>
      </c>
      <c r="AC44" s="74">
        <v>0</v>
      </c>
      <c r="AD44" s="74">
        <v>0</v>
      </c>
      <c r="AE44" s="74">
        <v>6639649</v>
      </c>
      <c r="AF44" s="76">
        <v>1</v>
      </c>
      <c r="AG44" s="74">
        <v>1171703</v>
      </c>
      <c r="AH44" s="74">
        <v>0</v>
      </c>
      <c r="AI44" s="74">
        <v>0</v>
      </c>
      <c r="AJ44" s="74">
        <v>0</v>
      </c>
      <c r="AK44" s="74">
        <v>0</v>
      </c>
      <c r="AL44" s="74">
        <v>6639649</v>
      </c>
      <c r="AM44" s="77">
        <v>1</v>
      </c>
      <c r="AN44" s="74">
        <v>1171703</v>
      </c>
      <c r="AO44" s="74">
        <v>0</v>
      </c>
      <c r="AP44" s="74">
        <v>0</v>
      </c>
      <c r="AQ44" s="74">
        <v>0</v>
      </c>
      <c r="AR44" s="74">
        <v>0</v>
      </c>
      <c r="AS44" s="74">
        <v>0</v>
      </c>
      <c r="AT44" s="77">
        <v>0</v>
      </c>
      <c r="AU44" s="74">
        <v>0</v>
      </c>
      <c r="AV44" s="74">
        <v>0</v>
      </c>
      <c r="AW44" s="74">
        <v>0</v>
      </c>
      <c r="AX44" s="74">
        <v>0</v>
      </c>
      <c r="AY44" s="74">
        <v>0</v>
      </c>
      <c r="AZ44" s="74">
        <v>11011143.779999999</v>
      </c>
      <c r="BA44" s="77">
        <v>1.6583924511672228</v>
      </c>
      <c r="BB44" s="74">
        <v>1943143.02</v>
      </c>
      <c r="BC44" s="74" t="s">
        <v>429</v>
      </c>
      <c r="BD44" s="74" t="s">
        <v>429</v>
      </c>
      <c r="BE44" s="74" t="s">
        <v>429</v>
      </c>
    </row>
    <row r="45" spans="1:57" ht="33.950000000000003" customHeight="1" x14ac:dyDescent="0.3">
      <c r="A45" s="34">
        <v>2</v>
      </c>
      <c r="B45" s="34" t="s">
        <v>389</v>
      </c>
      <c r="C45" s="34" t="s">
        <v>871</v>
      </c>
      <c r="D45" s="34" t="s">
        <v>376</v>
      </c>
      <c r="E45" s="34" t="s">
        <v>503</v>
      </c>
      <c r="F45" s="34" t="s">
        <v>504</v>
      </c>
      <c r="G45" s="34" t="s">
        <v>505</v>
      </c>
      <c r="H45" s="73" t="s">
        <v>508</v>
      </c>
      <c r="I45" s="39" t="s">
        <v>131</v>
      </c>
      <c r="J45" s="39" t="s">
        <v>875</v>
      </c>
      <c r="K45" s="39" t="s">
        <v>429</v>
      </c>
      <c r="L45" s="36" t="s">
        <v>431</v>
      </c>
      <c r="M45" s="37">
        <v>1</v>
      </c>
      <c r="N45" s="38"/>
      <c r="O45" s="37" t="s">
        <v>39</v>
      </c>
      <c r="P45" s="37" t="s">
        <v>406</v>
      </c>
      <c r="Q45" s="74">
        <v>253959</v>
      </c>
      <c r="R45" s="74" t="s">
        <v>429</v>
      </c>
      <c r="S45" s="74">
        <v>634898</v>
      </c>
      <c r="T45" s="74"/>
      <c r="U45" s="75"/>
      <c r="V45" s="74"/>
      <c r="W45" s="80"/>
      <c r="X45" s="74">
        <v>250373.59</v>
      </c>
      <c r="Y45" s="76">
        <v>0.98588193369795907</v>
      </c>
      <c r="Z45" s="74">
        <v>0</v>
      </c>
      <c r="AA45" s="74">
        <v>0</v>
      </c>
      <c r="AB45" s="74">
        <v>0</v>
      </c>
      <c r="AC45" s="74">
        <v>375560.39</v>
      </c>
      <c r="AD45" s="74">
        <v>1</v>
      </c>
      <c r="AE45" s="74">
        <v>250373.59</v>
      </c>
      <c r="AF45" s="76">
        <v>0.98588193369795907</v>
      </c>
      <c r="AG45" s="74">
        <v>0</v>
      </c>
      <c r="AH45" s="74">
        <v>0</v>
      </c>
      <c r="AI45" s="74">
        <v>0</v>
      </c>
      <c r="AJ45" s="74">
        <v>375560.39</v>
      </c>
      <c r="AK45" s="74">
        <v>1</v>
      </c>
      <c r="AL45" s="74">
        <v>250373.59</v>
      </c>
      <c r="AM45" s="77">
        <v>0.98588193369795907</v>
      </c>
      <c r="AN45" s="74">
        <v>0</v>
      </c>
      <c r="AO45" s="74">
        <v>0</v>
      </c>
      <c r="AP45" s="74">
        <v>0</v>
      </c>
      <c r="AQ45" s="74">
        <v>375560.39</v>
      </c>
      <c r="AR45" s="74">
        <v>1</v>
      </c>
      <c r="AS45" s="74">
        <v>250373.59</v>
      </c>
      <c r="AT45" s="77">
        <v>0.98588193369795907</v>
      </c>
      <c r="AU45" s="74">
        <v>0</v>
      </c>
      <c r="AV45" s="74">
        <v>0</v>
      </c>
      <c r="AW45" s="74">
        <v>0</v>
      </c>
      <c r="AX45" s="74">
        <v>375560.39</v>
      </c>
      <c r="AY45" s="74">
        <v>1</v>
      </c>
      <c r="AZ45" s="74">
        <v>250373.59</v>
      </c>
      <c r="BA45" s="77">
        <v>0.98588193369795907</v>
      </c>
      <c r="BB45" s="74">
        <v>0</v>
      </c>
      <c r="BC45" s="74">
        <v>0</v>
      </c>
      <c r="BD45" s="74">
        <v>0</v>
      </c>
      <c r="BE45" s="74">
        <v>375560.39</v>
      </c>
    </row>
    <row r="46" spans="1:57" ht="33.950000000000003" customHeight="1" x14ac:dyDescent="0.3">
      <c r="A46" s="34">
        <v>2</v>
      </c>
      <c r="B46" s="34" t="s">
        <v>389</v>
      </c>
      <c r="C46" s="34" t="s">
        <v>871</v>
      </c>
      <c r="D46" s="34" t="s">
        <v>376</v>
      </c>
      <c r="E46" s="34" t="s">
        <v>503</v>
      </c>
      <c r="F46" s="34" t="s">
        <v>504</v>
      </c>
      <c r="G46" s="34" t="s">
        <v>505</v>
      </c>
      <c r="H46" s="73" t="s">
        <v>508</v>
      </c>
      <c r="I46" s="39" t="s">
        <v>132</v>
      </c>
      <c r="J46" s="39" t="s">
        <v>876</v>
      </c>
      <c r="K46" s="39" t="s">
        <v>422</v>
      </c>
      <c r="L46" s="36" t="s">
        <v>431</v>
      </c>
      <c r="M46" s="37">
        <v>2</v>
      </c>
      <c r="N46" s="38"/>
      <c r="O46" s="37" t="s">
        <v>39</v>
      </c>
      <c r="P46" s="37" t="s">
        <v>409</v>
      </c>
      <c r="Q46" s="74">
        <v>47440102</v>
      </c>
      <c r="R46" s="74" t="s">
        <v>429</v>
      </c>
      <c r="S46" s="74">
        <v>55811885</v>
      </c>
      <c r="T46" s="74"/>
      <c r="U46" s="75"/>
      <c r="V46" s="74"/>
      <c r="W46" s="80"/>
      <c r="X46" s="74">
        <v>47440102</v>
      </c>
      <c r="Y46" s="76">
        <v>1</v>
      </c>
      <c r="Z46" s="74">
        <v>8371783.0961252023</v>
      </c>
      <c r="AA46" s="74">
        <v>0</v>
      </c>
      <c r="AB46" s="74">
        <v>0</v>
      </c>
      <c r="AC46" s="74">
        <v>0</v>
      </c>
      <c r="AD46" s="74">
        <v>0</v>
      </c>
      <c r="AE46" s="74">
        <v>47440102</v>
      </c>
      <c r="AF46" s="76">
        <v>1</v>
      </c>
      <c r="AG46" s="74">
        <v>8371783.0961252023</v>
      </c>
      <c r="AH46" s="74">
        <v>0</v>
      </c>
      <c r="AI46" s="74">
        <v>0</v>
      </c>
      <c r="AJ46" s="74">
        <v>0</v>
      </c>
      <c r="AK46" s="74">
        <v>0</v>
      </c>
      <c r="AL46" s="74">
        <v>47440102</v>
      </c>
      <c r="AM46" s="77">
        <v>1</v>
      </c>
      <c r="AN46" s="74">
        <v>8371783.0961252023</v>
      </c>
      <c r="AO46" s="74">
        <v>0</v>
      </c>
      <c r="AP46" s="74">
        <v>0</v>
      </c>
      <c r="AQ46" s="74">
        <v>0</v>
      </c>
      <c r="AR46" s="74">
        <v>0</v>
      </c>
      <c r="AS46" s="74">
        <v>0</v>
      </c>
      <c r="AT46" s="77">
        <v>0</v>
      </c>
      <c r="AU46" s="74">
        <v>0</v>
      </c>
      <c r="AV46" s="74">
        <v>0</v>
      </c>
      <c r="AW46" s="74">
        <v>0</v>
      </c>
      <c r="AX46" s="74">
        <v>0</v>
      </c>
      <c r="AY46" s="74">
        <v>0</v>
      </c>
      <c r="AZ46" s="74">
        <v>14232030.68</v>
      </c>
      <c r="BA46" s="77">
        <v>0.300000001686337</v>
      </c>
      <c r="BB46" s="74">
        <v>2511534.8199999998</v>
      </c>
      <c r="BC46" s="74" t="s">
        <v>429</v>
      </c>
      <c r="BD46" s="74" t="s">
        <v>429</v>
      </c>
      <c r="BE46" s="74" t="s">
        <v>429</v>
      </c>
    </row>
    <row r="47" spans="1:57" ht="33.950000000000003" customHeight="1" x14ac:dyDescent="0.3">
      <c r="A47" s="34">
        <v>2</v>
      </c>
      <c r="B47" s="34" t="s">
        <v>389</v>
      </c>
      <c r="C47" s="34" t="s">
        <v>871</v>
      </c>
      <c r="D47" s="34" t="s">
        <v>376</v>
      </c>
      <c r="E47" s="34" t="s">
        <v>503</v>
      </c>
      <c r="F47" s="34" t="s">
        <v>504</v>
      </c>
      <c r="G47" s="34" t="s">
        <v>505</v>
      </c>
      <c r="H47" s="73" t="s">
        <v>509</v>
      </c>
      <c r="I47" s="39" t="s">
        <v>133</v>
      </c>
      <c r="J47" s="39" t="s">
        <v>877</v>
      </c>
      <c r="K47" s="39" t="s">
        <v>429</v>
      </c>
      <c r="L47" s="36" t="s">
        <v>510</v>
      </c>
      <c r="M47" s="37" t="s">
        <v>440</v>
      </c>
      <c r="N47" s="78"/>
      <c r="O47" s="37" t="s">
        <v>39</v>
      </c>
      <c r="P47" s="37" t="s">
        <v>406</v>
      </c>
      <c r="Q47" s="74">
        <v>74504042</v>
      </c>
      <c r="R47" s="74" t="s">
        <v>429</v>
      </c>
      <c r="S47" s="74">
        <v>87651819</v>
      </c>
      <c r="T47" s="74"/>
      <c r="U47" s="75"/>
      <c r="V47" s="74"/>
      <c r="W47" s="80"/>
      <c r="X47" s="74">
        <v>74430458.090000004</v>
      </c>
      <c r="Y47" s="76">
        <v>0.99901235009504585</v>
      </c>
      <c r="Z47" s="74">
        <v>12188797.300000001</v>
      </c>
      <c r="AA47" s="74">
        <v>0</v>
      </c>
      <c r="AB47" s="74">
        <v>0</v>
      </c>
      <c r="AC47" s="74">
        <v>1101230.6299999999</v>
      </c>
      <c r="AD47" s="74">
        <v>45</v>
      </c>
      <c r="AE47" s="74">
        <v>53482222.760000005</v>
      </c>
      <c r="AF47" s="76">
        <v>0.7178432380890154</v>
      </c>
      <c r="AG47" s="74">
        <v>8492049.9000000004</v>
      </c>
      <c r="AH47" s="74">
        <v>0</v>
      </c>
      <c r="AI47" s="74">
        <v>0</v>
      </c>
      <c r="AJ47" s="74">
        <v>1101230.6299999999</v>
      </c>
      <c r="AK47" s="74">
        <v>35</v>
      </c>
      <c r="AL47" s="74">
        <v>50453971.760000005</v>
      </c>
      <c r="AM47" s="77">
        <v>0.67719777888023858</v>
      </c>
      <c r="AN47" s="74">
        <v>7957651.8999999994</v>
      </c>
      <c r="AO47" s="74">
        <v>0</v>
      </c>
      <c r="AP47" s="74">
        <v>0</v>
      </c>
      <c r="AQ47" s="74">
        <v>1101230.6299999999</v>
      </c>
      <c r="AR47" s="74">
        <v>34</v>
      </c>
      <c r="AS47" s="74">
        <v>0</v>
      </c>
      <c r="AT47" s="77">
        <v>0</v>
      </c>
      <c r="AU47" s="74">
        <v>0</v>
      </c>
      <c r="AV47" s="74">
        <v>0</v>
      </c>
      <c r="AW47" s="74">
        <v>0</v>
      </c>
      <c r="AX47" s="74">
        <v>0</v>
      </c>
      <c r="AY47" s="74">
        <v>0</v>
      </c>
      <c r="AZ47" s="74">
        <v>469732.94000000006</v>
      </c>
      <c r="BA47" s="77">
        <v>6.3047980671974823E-3</v>
      </c>
      <c r="BB47" s="74">
        <v>82894.05</v>
      </c>
      <c r="BC47" s="74">
        <v>0</v>
      </c>
      <c r="BD47" s="74">
        <v>0</v>
      </c>
      <c r="BE47" s="74">
        <v>8656.0400000000009</v>
      </c>
    </row>
    <row r="48" spans="1:57" ht="33.950000000000003" customHeight="1" x14ac:dyDescent="0.3">
      <c r="A48" s="34">
        <v>2</v>
      </c>
      <c r="B48" s="34" t="s">
        <v>389</v>
      </c>
      <c r="C48" s="34" t="s">
        <v>871</v>
      </c>
      <c r="D48" s="34" t="s">
        <v>376</v>
      </c>
      <c r="E48" s="34" t="s">
        <v>503</v>
      </c>
      <c r="F48" s="34" t="s">
        <v>504</v>
      </c>
      <c r="G48" s="34" t="s">
        <v>505</v>
      </c>
      <c r="H48" s="73" t="s">
        <v>511</v>
      </c>
      <c r="I48" s="39" t="s">
        <v>134</v>
      </c>
      <c r="J48" s="39" t="s">
        <v>878</v>
      </c>
      <c r="K48" s="39" t="s">
        <v>429</v>
      </c>
      <c r="L48" s="36" t="s">
        <v>512</v>
      </c>
      <c r="M48" s="37" t="s">
        <v>440</v>
      </c>
      <c r="N48" s="38"/>
      <c r="O48" s="37" t="s">
        <v>39</v>
      </c>
      <c r="P48" s="37" t="s">
        <v>408</v>
      </c>
      <c r="Q48" s="74">
        <v>16269000</v>
      </c>
      <c r="R48" s="74" t="s">
        <v>429</v>
      </c>
      <c r="S48" s="74">
        <v>19140000</v>
      </c>
      <c r="T48" s="74"/>
      <c r="U48" s="75"/>
      <c r="V48" s="74"/>
      <c r="W48" s="80"/>
      <c r="X48" s="74">
        <v>16269000</v>
      </c>
      <c r="Y48" s="76">
        <v>1</v>
      </c>
      <c r="Z48" s="74">
        <v>2871000</v>
      </c>
      <c r="AA48" s="74">
        <v>0</v>
      </c>
      <c r="AB48" s="74">
        <v>0</v>
      </c>
      <c r="AC48" s="74">
        <v>0</v>
      </c>
      <c r="AD48" s="74">
        <v>1</v>
      </c>
      <c r="AE48" s="74">
        <v>16269000</v>
      </c>
      <c r="AF48" s="76">
        <v>1</v>
      </c>
      <c r="AG48" s="74">
        <v>2871000</v>
      </c>
      <c r="AH48" s="74">
        <v>0</v>
      </c>
      <c r="AI48" s="74">
        <v>0</v>
      </c>
      <c r="AJ48" s="74">
        <v>0</v>
      </c>
      <c r="AK48" s="74">
        <v>1</v>
      </c>
      <c r="AL48" s="74">
        <v>16269000</v>
      </c>
      <c r="AM48" s="77">
        <v>1</v>
      </c>
      <c r="AN48" s="74">
        <v>2871000</v>
      </c>
      <c r="AO48" s="74">
        <v>0</v>
      </c>
      <c r="AP48" s="74">
        <v>0</v>
      </c>
      <c r="AQ48" s="74">
        <v>0</v>
      </c>
      <c r="AR48" s="74">
        <v>1</v>
      </c>
      <c r="AS48" s="74">
        <v>0</v>
      </c>
      <c r="AT48" s="77">
        <v>0</v>
      </c>
      <c r="AU48" s="74">
        <v>0</v>
      </c>
      <c r="AV48" s="74">
        <v>0</v>
      </c>
      <c r="AW48" s="74">
        <v>0</v>
      </c>
      <c r="AX48" s="74">
        <v>0</v>
      </c>
      <c r="AY48" s="74">
        <v>0</v>
      </c>
      <c r="AZ48" s="74">
        <v>95300.81</v>
      </c>
      <c r="BA48" s="77">
        <v>5.8578160919540226E-3</v>
      </c>
      <c r="BB48" s="74">
        <v>16817.79</v>
      </c>
      <c r="BC48" s="74">
        <v>0</v>
      </c>
      <c r="BD48" s="74">
        <v>0</v>
      </c>
      <c r="BE48" s="74">
        <v>0</v>
      </c>
    </row>
    <row r="49" spans="1:57" ht="33.950000000000003" customHeight="1" x14ac:dyDescent="0.3">
      <c r="A49" s="34">
        <v>2</v>
      </c>
      <c r="B49" s="34" t="s">
        <v>389</v>
      </c>
      <c r="C49" s="34" t="s">
        <v>871</v>
      </c>
      <c r="D49" s="34" t="s">
        <v>376</v>
      </c>
      <c r="E49" s="34" t="s">
        <v>503</v>
      </c>
      <c r="F49" s="34" t="s">
        <v>504</v>
      </c>
      <c r="G49" s="34" t="s">
        <v>505</v>
      </c>
      <c r="H49" s="73" t="s">
        <v>513</v>
      </c>
      <c r="I49" s="39" t="s">
        <v>135</v>
      </c>
      <c r="J49" s="39" t="s">
        <v>879</v>
      </c>
      <c r="K49" s="39" t="s">
        <v>429</v>
      </c>
      <c r="L49" s="36" t="s">
        <v>514</v>
      </c>
      <c r="M49" s="37">
        <v>1</v>
      </c>
      <c r="N49" s="38"/>
      <c r="O49" s="37" t="s">
        <v>39</v>
      </c>
      <c r="P49" s="37" t="s">
        <v>414</v>
      </c>
      <c r="Q49" s="74">
        <v>2458569</v>
      </c>
      <c r="R49" s="74" t="s">
        <v>429</v>
      </c>
      <c r="S49" s="74">
        <v>2892435</v>
      </c>
      <c r="T49" s="74"/>
      <c r="U49" s="75"/>
      <c r="V49" s="74"/>
      <c r="W49" s="80"/>
      <c r="X49" s="74">
        <v>2453289.84</v>
      </c>
      <c r="Y49" s="76">
        <v>0.9978527509295041</v>
      </c>
      <c r="Z49" s="74">
        <v>0</v>
      </c>
      <c r="AA49" s="74">
        <v>0</v>
      </c>
      <c r="AB49" s="74">
        <v>1152701.76</v>
      </c>
      <c r="AC49" s="74">
        <v>28382.400000000001</v>
      </c>
      <c r="AD49" s="74">
        <v>3</v>
      </c>
      <c r="AE49" s="74">
        <v>2453289.84</v>
      </c>
      <c r="AF49" s="76">
        <v>0.9978527509295041</v>
      </c>
      <c r="AG49" s="74">
        <v>0</v>
      </c>
      <c r="AH49" s="74">
        <v>0</v>
      </c>
      <c r="AI49" s="74">
        <v>1152701.76</v>
      </c>
      <c r="AJ49" s="74">
        <v>28382.400000000001</v>
      </c>
      <c r="AK49" s="74">
        <v>3</v>
      </c>
      <c r="AL49" s="74">
        <v>2453289.84</v>
      </c>
      <c r="AM49" s="77">
        <v>0.9978527509295041</v>
      </c>
      <c r="AN49" s="74">
        <v>0</v>
      </c>
      <c r="AO49" s="74">
        <v>0</v>
      </c>
      <c r="AP49" s="74">
        <v>1152701.76</v>
      </c>
      <c r="AQ49" s="74">
        <v>28382.400000000001</v>
      </c>
      <c r="AR49" s="74">
        <v>3</v>
      </c>
      <c r="AS49" s="74">
        <v>386102.4</v>
      </c>
      <c r="AT49" s="77">
        <v>0.1570435485032147</v>
      </c>
      <c r="AU49" s="74">
        <v>0</v>
      </c>
      <c r="AV49" s="74">
        <v>0</v>
      </c>
      <c r="AW49" s="74">
        <v>202925.77</v>
      </c>
      <c r="AX49" s="74">
        <v>28382.400000000001</v>
      </c>
      <c r="AY49" s="74">
        <v>2</v>
      </c>
      <c r="AZ49" s="74">
        <v>2246571.0999999996</v>
      </c>
      <c r="BA49" s="77">
        <v>0.91377183231383774</v>
      </c>
      <c r="BB49" s="74">
        <v>0</v>
      </c>
      <c r="BC49" s="74">
        <v>0</v>
      </c>
      <c r="BD49" s="74">
        <v>1057724.1600000001</v>
      </c>
      <c r="BE49" s="74">
        <v>28382.399999999998</v>
      </c>
    </row>
    <row r="50" spans="1:57" ht="33.950000000000003" customHeight="1" x14ac:dyDescent="0.3">
      <c r="A50" s="34">
        <v>2</v>
      </c>
      <c r="B50" s="34" t="s">
        <v>389</v>
      </c>
      <c r="C50" s="34" t="s">
        <v>871</v>
      </c>
      <c r="D50" s="34" t="s">
        <v>376</v>
      </c>
      <c r="E50" s="34" t="s">
        <v>503</v>
      </c>
      <c r="F50" s="34" t="s">
        <v>504</v>
      </c>
      <c r="G50" s="34" t="s">
        <v>505</v>
      </c>
      <c r="H50" s="73" t="s">
        <v>513</v>
      </c>
      <c r="I50" s="39" t="s">
        <v>136</v>
      </c>
      <c r="J50" s="39" t="s">
        <v>880</v>
      </c>
      <c r="K50" s="39" t="s">
        <v>429</v>
      </c>
      <c r="L50" s="36" t="s">
        <v>514</v>
      </c>
      <c r="M50" s="37">
        <v>2</v>
      </c>
      <c r="N50" s="37"/>
      <c r="O50" s="37" t="s">
        <v>39</v>
      </c>
      <c r="P50" s="37" t="s">
        <v>414</v>
      </c>
      <c r="Q50" s="74">
        <v>2322573</v>
      </c>
      <c r="R50" s="74" t="s">
        <v>429</v>
      </c>
      <c r="S50" s="74">
        <v>2693126</v>
      </c>
      <c r="T50" s="74"/>
      <c r="U50" s="75"/>
      <c r="V50" s="74"/>
      <c r="W50" s="80"/>
      <c r="X50" s="74">
        <v>2267043.27</v>
      </c>
      <c r="Y50" s="76">
        <v>0.97609128755048824</v>
      </c>
      <c r="Z50" s="74">
        <v>0</v>
      </c>
      <c r="AA50" s="74">
        <v>0</v>
      </c>
      <c r="AB50" s="74">
        <v>0</v>
      </c>
      <c r="AC50" s="74">
        <v>1220715.6400000001</v>
      </c>
      <c r="AD50" s="74">
        <v>9</v>
      </c>
      <c r="AE50" s="74">
        <v>2267043.27</v>
      </c>
      <c r="AF50" s="76">
        <v>0.97609128755048824</v>
      </c>
      <c r="AG50" s="74">
        <v>0</v>
      </c>
      <c r="AH50" s="74">
        <v>0</v>
      </c>
      <c r="AI50" s="74">
        <v>0</v>
      </c>
      <c r="AJ50" s="74">
        <v>1220715.6400000001</v>
      </c>
      <c r="AK50" s="74">
        <v>9</v>
      </c>
      <c r="AL50" s="74">
        <v>2267043.27</v>
      </c>
      <c r="AM50" s="77">
        <v>0.97609128755048824</v>
      </c>
      <c r="AN50" s="74">
        <v>0</v>
      </c>
      <c r="AO50" s="74">
        <v>0</v>
      </c>
      <c r="AP50" s="74">
        <v>0</v>
      </c>
      <c r="AQ50" s="74">
        <v>1220715.6400000001</v>
      </c>
      <c r="AR50" s="74">
        <v>9</v>
      </c>
      <c r="AS50" s="74">
        <v>180144.53</v>
      </c>
      <c r="AT50" s="77">
        <v>7.7562483504285976E-2</v>
      </c>
      <c r="AU50" s="74">
        <v>0</v>
      </c>
      <c r="AV50" s="74">
        <v>0</v>
      </c>
      <c r="AW50" s="74">
        <v>0</v>
      </c>
      <c r="AX50" s="74">
        <v>97000.890000000014</v>
      </c>
      <c r="AY50" s="74">
        <v>4</v>
      </c>
      <c r="AZ50" s="74">
        <v>1177893.75</v>
      </c>
      <c r="BA50" s="77">
        <v>0.50715036728662566</v>
      </c>
      <c r="BB50" s="74">
        <v>0</v>
      </c>
      <c r="BC50" s="74">
        <v>0</v>
      </c>
      <c r="BD50" s="74">
        <v>0</v>
      </c>
      <c r="BE50" s="74">
        <v>441459.38</v>
      </c>
    </row>
    <row r="51" spans="1:57" ht="33.950000000000003" customHeight="1" x14ac:dyDescent="0.3">
      <c r="A51" s="34">
        <v>2</v>
      </c>
      <c r="B51" s="34" t="s">
        <v>389</v>
      </c>
      <c r="C51" s="34" t="s">
        <v>871</v>
      </c>
      <c r="D51" s="34" t="s">
        <v>376</v>
      </c>
      <c r="E51" s="34" t="s">
        <v>503</v>
      </c>
      <c r="F51" s="34" t="s">
        <v>504</v>
      </c>
      <c r="G51" s="34" t="s">
        <v>505</v>
      </c>
      <c r="H51" s="73" t="s">
        <v>513</v>
      </c>
      <c r="I51" s="39" t="s">
        <v>137</v>
      </c>
      <c r="J51" s="39" t="s">
        <v>881</v>
      </c>
      <c r="K51" s="39" t="s">
        <v>429</v>
      </c>
      <c r="L51" s="36" t="s">
        <v>514</v>
      </c>
      <c r="M51" s="37">
        <v>3</v>
      </c>
      <c r="N51" s="38"/>
      <c r="O51" s="37" t="s">
        <v>39</v>
      </c>
      <c r="P51" s="37" t="s">
        <v>414</v>
      </c>
      <c r="Q51" s="74">
        <v>16464931</v>
      </c>
      <c r="R51" s="74" t="s">
        <v>429</v>
      </c>
      <c r="S51" s="74">
        <v>19409820</v>
      </c>
      <c r="T51" s="74"/>
      <c r="U51" s="75"/>
      <c r="V51" s="74"/>
      <c r="W51" s="80"/>
      <c r="X51" s="74">
        <v>0</v>
      </c>
      <c r="Y51" s="76">
        <v>0</v>
      </c>
      <c r="Z51" s="74">
        <v>0</v>
      </c>
      <c r="AA51" s="74">
        <v>0</v>
      </c>
      <c r="AB51" s="74">
        <v>0</v>
      </c>
      <c r="AC51" s="74">
        <v>0</v>
      </c>
      <c r="AD51" s="74">
        <v>0</v>
      </c>
      <c r="AE51" s="74">
        <v>0</v>
      </c>
      <c r="AF51" s="76">
        <v>0</v>
      </c>
      <c r="AG51" s="74">
        <v>0</v>
      </c>
      <c r="AH51" s="74">
        <v>0</v>
      </c>
      <c r="AI51" s="74">
        <v>0</v>
      </c>
      <c r="AJ51" s="74">
        <v>0</v>
      </c>
      <c r="AK51" s="74">
        <v>0</v>
      </c>
      <c r="AL51" s="74">
        <v>0</v>
      </c>
      <c r="AM51" s="77">
        <v>0</v>
      </c>
      <c r="AN51" s="74">
        <v>0</v>
      </c>
      <c r="AO51" s="74">
        <v>0</v>
      </c>
      <c r="AP51" s="74">
        <v>0</v>
      </c>
      <c r="AQ51" s="74">
        <v>0</v>
      </c>
      <c r="AR51" s="74">
        <v>0</v>
      </c>
      <c r="AS51" s="74">
        <v>0</v>
      </c>
      <c r="AT51" s="77">
        <v>0</v>
      </c>
      <c r="AU51" s="74">
        <v>0</v>
      </c>
      <c r="AV51" s="74">
        <v>0</v>
      </c>
      <c r="AW51" s="74">
        <v>0</v>
      </c>
      <c r="AX51" s="74">
        <v>0</v>
      </c>
      <c r="AY51" s="74">
        <v>0</v>
      </c>
      <c r="AZ51" s="74">
        <v>0</v>
      </c>
      <c r="BA51" s="77">
        <v>0</v>
      </c>
      <c r="BB51" s="74">
        <v>0</v>
      </c>
      <c r="BC51" s="74">
        <v>0</v>
      </c>
      <c r="BD51" s="74">
        <v>0</v>
      </c>
      <c r="BE51" s="74">
        <v>0</v>
      </c>
    </row>
    <row r="52" spans="1:57" ht="33.950000000000003" customHeight="1" x14ac:dyDescent="0.3">
      <c r="A52" s="34">
        <v>2</v>
      </c>
      <c r="B52" s="34" t="s">
        <v>389</v>
      </c>
      <c r="C52" s="34" t="s">
        <v>871</v>
      </c>
      <c r="D52" s="34" t="s">
        <v>376</v>
      </c>
      <c r="E52" s="34" t="s">
        <v>503</v>
      </c>
      <c r="F52" s="34" t="s">
        <v>504</v>
      </c>
      <c r="G52" s="34" t="s">
        <v>505</v>
      </c>
      <c r="H52" s="73" t="s">
        <v>515</v>
      </c>
      <c r="I52" s="39" t="s">
        <v>138</v>
      </c>
      <c r="J52" s="39" t="s">
        <v>882</v>
      </c>
      <c r="K52" s="39" t="s">
        <v>429</v>
      </c>
      <c r="L52" s="36" t="s">
        <v>516</v>
      </c>
      <c r="M52" s="37" t="s">
        <v>440</v>
      </c>
      <c r="N52" s="38"/>
      <c r="O52" s="37" t="s">
        <v>39</v>
      </c>
      <c r="P52" s="37" t="s">
        <v>406</v>
      </c>
      <c r="Q52" s="74">
        <v>11092500</v>
      </c>
      <c r="R52" s="74" t="s">
        <v>429</v>
      </c>
      <c r="S52" s="74">
        <v>13050000</v>
      </c>
      <c r="T52" s="74"/>
      <c r="U52" s="75"/>
      <c r="V52" s="74"/>
      <c r="W52" s="80"/>
      <c r="X52" s="74">
        <v>11092500</v>
      </c>
      <c r="Y52" s="76">
        <v>1</v>
      </c>
      <c r="Z52" s="74">
        <v>1957500</v>
      </c>
      <c r="AA52" s="74">
        <v>0</v>
      </c>
      <c r="AB52" s="74">
        <v>0</v>
      </c>
      <c r="AC52" s="74">
        <v>0</v>
      </c>
      <c r="AD52" s="74">
        <v>1</v>
      </c>
      <c r="AE52" s="74">
        <v>11092500</v>
      </c>
      <c r="AF52" s="76">
        <v>1</v>
      </c>
      <c r="AG52" s="74">
        <v>1957500</v>
      </c>
      <c r="AH52" s="74">
        <v>0</v>
      </c>
      <c r="AI52" s="74">
        <v>0</v>
      </c>
      <c r="AJ52" s="74">
        <v>0</v>
      </c>
      <c r="AK52" s="74">
        <v>1</v>
      </c>
      <c r="AL52" s="74">
        <v>11092500</v>
      </c>
      <c r="AM52" s="77">
        <v>1</v>
      </c>
      <c r="AN52" s="74">
        <v>1957500</v>
      </c>
      <c r="AO52" s="74">
        <v>0</v>
      </c>
      <c r="AP52" s="74">
        <v>0</v>
      </c>
      <c r="AQ52" s="74">
        <v>0</v>
      </c>
      <c r="AR52" s="74">
        <v>1</v>
      </c>
      <c r="AS52" s="74">
        <v>0</v>
      </c>
      <c r="AT52" s="77">
        <v>0</v>
      </c>
      <c r="AU52" s="74">
        <v>0</v>
      </c>
      <c r="AV52" s="74">
        <v>0</v>
      </c>
      <c r="AW52" s="74">
        <v>0</v>
      </c>
      <c r="AX52" s="74">
        <v>0</v>
      </c>
      <c r="AY52" s="74">
        <v>0</v>
      </c>
      <c r="AZ52" s="74">
        <v>0</v>
      </c>
      <c r="BA52" s="77">
        <v>0</v>
      </c>
      <c r="BB52" s="74">
        <v>0</v>
      </c>
      <c r="BC52" s="74">
        <v>0</v>
      </c>
      <c r="BD52" s="74">
        <v>0</v>
      </c>
      <c r="BE52" s="74">
        <v>0</v>
      </c>
    </row>
    <row r="53" spans="1:57" ht="33.950000000000003" customHeight="1" x14ac:dyDescent="0.3">
      <c r="A53" s="34">
        <v>2</v>
      </c>
      <c r="B53" s="34" t="s">
        <v>389</v>
      </c>
      <c r="C53" s="34" t="s">
        <v>871</v>
      </c>
      <c r="D53" s="34" t="s">
        <v>376</v>
      </c>
      <c r="E53" s="34" t="s">
        <v>503</v>
      </c>
      <c r="F53" s="34" t="s">
        <v>504</v>
      </c>
      <c r="G53" s="34" t="s">
        <v>505</v>
      </c>
      <c r="H53" s="73" t="s">
        <v>517</v>
      </c>
      <c r="I53" s="39" t="s">
        <v>139</v>
      </c>
      <c r="J53" s="39" t="s">
        <v>883</v>
      </c>
      <c r="K53" s="39" t="s">
        <v>429</v>
      </c>
      <c r="L53" s="36" t="s">
        <v>518</v>
      </c>
      <c r="M53" s="37" t="s">
        <v>440</v>
      </c>
      <c r="N53" s="38"/>
      <c r="O53" s="37" t="s">
        <v>39</v>
      </c>
      <c r="P53" s="37" t="s">
        <v>406</v>
      </c>
      <c r="Q53" s="74">
        <v>29580000</v>
      </c>
      <c r="R53" s="74" t="s">
        <v>429</v>
      </c>
      <c r="S53" s="74">
        <v>29311160</v>
      </c>
      <c r="T53" s="74"/>
      <c r="U53" s="75"/>
      <c r="V53" s="74"/>
      <c r="W53" s="80"/>
      <c r="X53" s="74">
        <v>24914486</v>
      </c>
      <c r="Y53" s="76">
        <v>0.84227471264367815</v>
      </c>
      <c r="Z53" s="74">
        <v>4396674</v>
      </c>
      <c r="AA53" s="74">
        <v>0</v>
      </c>
      <c r="AB53" s="74">
        <v>0</v>
      </c>
      <c r="AC53" s="74">
        <v>45891.32</v>
      </c>
      <c r="AD53" s="74">
        <v>6</v>
      </c>
      <c r="AE53" s="74">
        <v>24914486</v>
      </c>
      <c r="AF53" s="76">
        <v>0.84227471264367815</v>
      </c>
      <c r="AG53" s="74">
        <v>4396674</v>
      </c>
      <c r="AH53" s="74">
        <v>0</v>
      </c>
      <c r="AI53" s="74">
        <v>0</v>
      </c>
      <c r="AJ53" s="74">
        <v>45891.32</v>
      </c>
      <c r="AK53" s="74">
        <v>6</v>
      </c>
      <c r="AL53" s="74">
        <v>24914486</v>
      </c>
      <c r="AM53" s="77">
        <v>0.84227471264367815</v>
      </c>
      <c r="AN53" s="74">
        <v>4396674</v>
      </c>
      <c r="AO53" s="74">
        <v>0</v>
      </c>
      <c r="AP53" s="74">
        <v>0</v>
      </c>
      <c r="AQ53" s="74">
        <v>45891.32</v>
      </c>
      <c r="AR53" s="74">
        <v>6</v>
      </c>
      <c r="AS53" s="74">
        <v>0</v>
      </c>
      <c r="AT53" s="77">
        <v>0</v>
      </c>
      <c r="AU53" s="74">
        <v>0</v>
      </c>
      <c r="AV53" s="74">
        <v>0</v>
      </c>
      <c r="AW53" s="74">
        <v>0</v>
      </c>
      <c r="AX53" s="74">
        <v>0</v>
      </c>
      <c r="AY53" s="74">
        <v>0</v>
      </c>
      <c r="AZ53" s="74">
        <v>697067.8</v>
      </c>
      <c r="BA53" s="77">
        <v>2.3565510480054092E-2</v>
      </c>
      <c r="BB53" s="74">
        <v>123012.44999999998</v>
      </c>
      <c r="BC53" s="74">
        <v>0</v>
      </c>
      <c r="BD53" s="74">
        <v>0</v>
      </c>
      <c r="BE53" s="74">
        <v>0</v>
      </c>
    </row>
    <row r="54" spans="1:57" ht="33.950000000000003" customHeight="1" x14ac:dyDescent="0.3">
      <c r="A54" s="34">
        <v>2</v>
      </c>
      <c r="B54" s="34" t="s">
        <v>389</v>
      </c>
      <c r="C54" s="34" t="s">
        <v>871</v>
      </c>
      <c r="D54" s="34" t="s">
        <v>376</v>
      </c>
      <c r="E54" s="34" t="s">
        <v>503</v>
      </c>
      <c r="F54" s="34" t="s">
        <v>519</v>
      </c>
      <c r="G54" s="34" t="s">
        <v>432</v>
      </c>
      <c r="H54" s="73" t="s">
        <v>520</v>
      </c>
      <c r="I54" s="39" t="s">
        <v>140</v>
      </c>
      <c r="J54" s="39" t="s">
        <v>884</v>
      </c>
      <c r="K54" s="39" t="s">
        <v>422</v>
      </c>
      <c r="L54" s="36" t="s">
        <v>440</v>
      </c>
      <c r="M54" s="37">
        <v>1</v>
      </c>
      <c r="N54" s="38"/>
      <c r="O54" s="37" t="s">
        <v>40</v>
      </c>
      <c r="P54" s="37" t="s">
        <v>409</v>
      </c>
      <c r="Q54" s="74">
        <v>18246193</v>
      </c>
      <c r="R54" s="74" t="s">
        <v>429</v>
      </c>
      <c r="S54" s="74">
        <v>21466110</v>
      </c>
      <c r="T54" s="74"/>
      <c r="U54" s="75"/>
      <c r="V54" s="74"/>
      <c r="W54" s="80"/>
      <c r="X54" s="74">
        <v>18246193</v>
      </c>
      <c r="Y54" s="76">
        <v>1</v>
      </c>
      <c r="Z54" s="74">
        <v>3219917</v>
      </c>
      <c r="AA54" s="74">
        <v>0</v>
      </c>
      <c r="AB54" s="74">
        <v>0</v>
      </c>
      <c r="AC54" s="74">
        <v>0</v>
      </c>
      <c r="AD54" s="74">
        <v>1</v>
      </c>
      <c r="AE54" s="74">
        <v>18246193</v>
      </c>
      <c r="AF54" s="76">
        <v>1</v>
      </c>
      <c r="AG54" s="74">
        <v>3219917</v>
      </c>
      <c r="AH54" s="74">
        <v>0</v>
      </c>
      <c r="AI54" s="74">
        <v>0</v>
      </c>
      <c r="AJ54" s="74">
        <v>0</v>
      </c>
      <c r="AK54" s="74">
        <v>1</v>
      </c>
      <c r="AL54" s="74">
        <v>18246193</v>
      </c>
      <c r="AM54" s="77">
        <v>1</v>
      </c>
      <c r="AN54" s="74">
        <v>3219917</v>
      </c>
      <c r="AO54" s="74">
        <v>0</v>
      </c>
      <c r="AP54" s="74">
        <v>0</v>
      </c>
      <c r="AQ54" s="74">
        <v>0</v>
      </c>
      <c r="AR54" s="74">
        <v>1</v>
      </c>
      <c r="AS54" s="74">
        <v>0</v>
      </c>
      <c r="AT54" s="77">
        <v>0</v>
      </c>
      <c r="AU54" s="74">
        <v>0</v>
      </c>
      <c r="AV54" s="74">
        <v>0</v>
      </c>
      <c r="AW54" s="74">
        <v>0</v>
      </c>
      <c r="AX54" s="74">
        <v>0</v>
      </c>
      <c r="AY54" s="74">
        <v>0</v>
      </c>
      <c r="AZ54" s="74">
        <v>5473858.0499999998</v>
      </c>
      <c r="BA54" s="77">
        <v>0.30000000822089296</v>
      </c>
      <c r="BB54" s="74">
        <v>965974.95</v>
      </c>
      <c r="BC54" s="74" t="s">
        <v>429</v>
      </c>
      <c r="BD54" s="74" t="s">
        <v>429</v>
      </c>
      <c r="BE54" s="74" t="s">
        <v>429</v>
      </c>
    </row>
    <row r="55" spans="1:57" ht="33.950000000000003" customHeight="1" x14ac:dyDescent="0.3">
      <c r="A55" s="34">
        <v>2</v>
      </c>
      <c r="B55" s="34" t="s">
        <v>389</v>
      </c>
      <c r="C55" s="34" t="s">
        <v>871</v>
      </c>
      <c r="D55" s="34" t="s">
        <v>376</v>
      </c>
      <c r="E55" s="34" t="s">
        <v>503</v>
      </c>
      <c r="F55" s="34" t="s">
        <v>521</v>
      </c>
      <c r="G55" s="34" t="s">
        <v>522</v>
      </c>
      <c r="H55" s="73" t="s">
        <v>523</v>
      </c>
      <c r="I55" s="39" t="s">
        <v>141</v>
      </c>
      <c r="J55" s="39" t="s">
        <v>885</v>
      </c>
      <c r="K55" s="39" t="s">
        <v>429</v>
      </c>
      <c r="L55" s="36" t="s">
        <v>524</v>
      </c>
      <c r="M55" s="37">
        <v>1</v>
      </c>
      <c r="N55" s="38"/>
      <c r="O55" s="37" t="s">
        <v>39</v>
      </c>
      <c r="P55" s="37" t="s">
        <v>414</v>
      </c>
      <c r="Q55" s="74">
        <v>33035993</v>
      </c>
      <c r="R55" s="74" t="s">
        <v>429</v>
      </c>
      <c r="S55" s="74">
        <v>38865875</v>
      </c>
      <c r="T55" s="74"/>
      <c r="U55" s="75"/>
      <c r="V55" s="74"/>
      <c r="W55" s="80"/>
      <c r="X55" s="74">
        <v>32832401.449999999</v>
      </c>
      <c r="Y55" s="76">
        <v>0.99383728075012001</v>
      </c>
      <c r="Z55" s="74">
        <v>0</v>
      </c>
      <c r="AA55" s="74">
        <v>0</v>
      </c>
      <c r="AB55" s="74">
        <v>6355106.1600000001</v>
      </c>
      <c r="AC55" s="74">
        <v>115382</v>
      </c>
      <c r="AD55" s="74">
        <v>23</v>
      </c>
      <c r="AE55" s="74">
        <v>32832401.449999999</v>
      </c>
      <c r="AF55" s="76">
        <v>0.99383728075012001</v>
      </c>
      <c r="AG55" s="74">
        <v>0</v>
      </c>
      <c r="AH55" s="74">
        <v>0</v>
      </c>
      <c r="AI55" s="74">
        <v>6355106.1600000001</v>
      </c>
      <c r="AJ55" s="74">
        <v>115382</v>
      </c>
      <c r="AK55" s="74">
        <v>23</v>
      </c>
      <c r="AL55" s="74">
        <v>32832401.449999999</v>
      </c>
      <c r="AM55" s="77">
        <v>0.99383728075012001</v>
      </c>
      <c r="AN55" s="74">
        <v>0</v>
      </c>
      <c r="AO55" s="74">
        <v>0</v>
      </c>
      <c r="AP55" s="74">
        <v>6355106.1600000001</v>
      </c>
      <c r="AQ55" s="74">
        <v>115382</v>
      </c>
      <c r="AR55" s="74">
        <v>23</v>
      </c>
      <c r="AS55" s="74">
        <v>1400699.82</v>
      </c>
      <c r="AT55" s="77">
        <v>4.2399204407144661E-2</v>
      </c>
      <c r="AU55" s="74">
        <v>0</v>
      </c>
      <c r="AV55" s="74">
        <v>0</v>
      </c>
      <c r="AW55" s="74">
        <v>247182.32</v>
      </c>
      <c r="AX55" s="74">
        <v>0</v>
      </c>
      <c r="AY55" s="74">
        <v>3</v>
      </c>
      <c r="AZ55" s="74">
        <v>4056263.3300000005</v>
      </c>
      <c r="BA55" s="77">
        <v>0.12278315139490435</v>
      </c>
      <c r="BB55" s="74">
        <v>0</v>
      </c>
      <c r="BC55" s="74">
        <v>0</v>
      </c>
      <c r="BD55" s="74">
        <v>349758.08999999997</v>
      </c>
      <c r="BE55" s="74">
        <v>1226.19</v>
      </c>
    </row>
    <row r="56" spans="1:57" ht="33.950000000000003" customHeight="1" x14ac:dyDescent="0.3">
      <c r="A56" s="34">
        <v>2</v>
      </c>
      <c r="B56" s="34" t="s">
        <v>389</v>
      </c>
      <c r="C56" s="34" t="s">
        <v>871</v>
      </c>
      <c r="D56" s="34" t="s">
        <v>376</v>
      </c>
      <c r="E56" s="34" t="s">
        <v>503</v>
      </c>
      <c r="F56" s="34" t="s">
        <v>521</v>
      </c>
      <c r="G56" s="34" t="s">
        <v>522</v>
      </c>
      <c r="H56" s="73" t="s">
        <v>523</v>
      </c>
      <c r="I56" s="39" t="s">
        <v>142</v>
      </c>
      <c r="J56" s="39" t="s">
        <v>886</v>
      </c>
      <c r="K56" s="39" t="s">
        <v>429</v>
      </c>
      <c r="L56" s="36" t="s">
        <v>524</v>
      </c>
      <c r="M56" s="37">
        <v>2</v>
      </c>
      <c r="N56" s="38"/>
      <c r="O56" s="37" t="s">
        <v>39</v>
      </c>
      <c r="P56" s="37" t="s">
        <v>414</v>
      </c>
      <c r="Q56" s="74">
        <v>9264007</v>
      </c>
      <c r="R56" s="74" t="s">
        <v>429</v>
      </c>
      <c r="S56" s="74">
        <v>10898832</v>
      </c>
      <c r="T56" s="74"/>
      <c r="U56" s="75"/>
      <c r="V56" s="74"/>
      <c r="W56" s="80"/>
      <c r="X56" s="74">
        <v>24685386.420000002</v>
      </c>
      <c r="Y56" s="76">
        <v>2.6646554153078688</v>
      </c>
      <c r="Z56" s="74">
        <v>0</v>
      </c>
      <c r="AA56" s="74">
        <v>0</v>
      </c>
      <c r="AB56" s="74">
        <v>5042387.8199999994</v>
      </c>
      <c r="AC56" s="74">
        <v>0</v>
      </c>
      <c r="AD56" s="74">
        <v>22</v>
      </c>
      <c r="AE56" s="74">
        <v>0</v>
      </c>
      <c r="AF56" s="76">
        <v>0</v>
      </c>
      <c r="AG56" s="74">
        <v>0</v>
      </c>
      <c r="AH56" s="74">
        <v>0</v>
      </c>
      <c r="AI56" s="74">
        <v>0</v>
      </c>
      <c r="AJ56" s="74">
        <v>0</v>
      </c>
      <c r="AK56" s="74">
        <v>0</v>
      </c>
      <c r="AL56" s="74">
        <v>0</v>
      </c>
      <c r="AM56" s="77">
        <v>0</v>
      </c>
      <c r="AN56" s="74">
        <v>0</v>
      </c>
      <c r="AO56" s="74">
        <v>0</v>
      </c>
      <c r="AP56" s="74">
        <v>0</v>
      </c>
      <c r="AQ56" s="74">
        <v>0</v>
      </c>
      <c r="AR56" s="74">
        <v>0</v>
      </c>
      <c r="AS56" s="74">
        <v>0</v>
      </c>
      <c r="AT56" s="77">
        <v>0</v>
      </c>
      <c r="AU56" s="74">
        <v>0</v>
      </c>
      <c r="AV56" s="74">
        <v>0</v>
      </c>
      <c r="AW56" s="74">
        <v>0</v>
      </c>
      <c r="AX56" s="74">
        <v>0</v>
      </c>
      <c r="AY56" s="74">
        <v>0</v>
      </c>
      <c r="AZ56" s="74">
        <v>0</v>
      </c>
      <c r="BA56" s="77">
        <v>0</v>
      </c>
      <c r="BB56" s="74">
        <v>0</v>
      </c>
      <c r="BC56" s="74">
        <v>0</v>
      </c>
      <c r="BD56" s="74">
        <v>0</v>
      </c>
      <c r="BE56" s="74">
        <v>0</v>
      </c>
    </row>
    <row r="57" spans="1:57" ht="33.950000000000003" customHeight="1" x14ac:dyDescent="0.3">
      <c r="A57" s="34">
        <v>2</v>
      </c>
      <c r="B57" s="34" t="s">
        <v>389</v>
      </c>
      <c r="C57" s="34" t="s">
        <v>871</v>
      </c>
      <c r="D57" s="34" t="s">
        <v>376</v>
      </c>
      <c r="E57" s="34" t="s">
        <v>503</v>
      </c>
      <c r="F57" s="34" t="s">
        <v>521</v>
      </c>
      <c r="G57" s="34" t="s">
        <v>522</v>
      </c>
      <c r="H57" s="73" t="s">
        <v>525</v>
      </c>
      <c r="I57" s="39" t="s">
        <v>143</v>
      </c>
      <c r="J57" s="39" t="s">
        <v>887</v>
      </c>
      <c r="K57" s="39" t="s">
        <v>429</v>
      </c>
      <c r="L57" s="36" t="s">
        <v>526</v>
      </c>
      <c r="M57" s="37">
        <v>1</v>
      </c>
      <c r="N57" s="38"/>
      <c r="O57" s="37" t="s">
        <v>39</v>
      </c>
      <c r="P57" s="37" t="s">
        <v>414</v>
      </c>
      <c r="Q57" s="74">
        <v>14391596</v>
      </c>
      <c r="R57" s="74" t="s">
        <v>429</v>
      </c>
      <c r="S57" s="74">
        <v>16931290</v>
      </c>
      <c r="T57" s="74"/>
      <c r="U57" s="75"/>
      <c r="V57" s="74"/>
      <c r="W57" s="80"/>
      <c r="X57" s="74">
        <v>13507575.5</v>
      </c>
      <c r="Y57" s="76">
        <v>0.93857383850964127</v>
      </c>
      <c r="Z57" s="74">
        <v>1781738.83</v>
      </c>
      <c r="AA57" s="74">
        <v>0</v>
      </c>
      <c r="AB57" s="74">
        <v>601951.52</v>
      </c>
      <c r="AC57" s="74">
        <v>0</v>
      </c>
      <c r="AD57" s="74">
        <v>1</v>
      </c>
      <c r="AE57" s="74">
        <v>13507575.5</v>
      </c>
      <c r="AF57" s="76">
        <v>0.93857383850964127</v>
      </c>
      <c r="AG57" s="74">
        <v>1781738.83</v>
      </c>
      <c r="AH57" s="74">
        <v>0</v>
      </c>
      <c r="AI57" s="74">
        <v>601951.52</v>
      </c>
      <c r="AJ57" s="74">
        <v>0</v>
      </c>
      <c r="AK57" s="74">
        <v>1</v>
      </c>
      <c r="AL57" s="74">
        <v>13507575.5</v>
      </c>
      <c r="AM57" s="77">
        <v>0.93857383850964127</v>
      </c>
      <c r="AN57" s="74">
        <v>1781738.83</v>
      </c>
      <c r="AO57" s="74">
        <v>0</v>
      </c>
      <c r="AP57" s="74">
        <v>601951.52</v>
      </c>
      <c r="AQ57" s="74">
        <v>0</v>
      </c>
      <c r="AR57" s="74">
        <v>1</v>
      </c>
      <c r="AS57" s="74">
        <v>13507575.5</v>
      </c>
      <c r="AT57" s="77">
        <v>0.93857383850964127</v>
      </c>
      <c r="AU57" s="74">
        <v>1781738.83</v>
      </c>
      <c r="AV57" s="74">
        <v>0</v>
      </c>
      <c r="AW57" s="74">
        <v>601951.52</v>
      </c>
      <c r="AX57" s="74">
        <v>0</v>
      </c>
      <c r="AY57" s="74">
        <v>1</v>
      </c>
      <c r="AZ57" s="74">
        <v>13507575.499999996</v>
      </c>
      <c r="BA57" s="77">
        <v>0.93857383850964105</v>
      </c>
      <c r="BB57" s="74">
        <v>1781738.83</v>
      </c>
      <c r="BC57" s="74">
        <v>0</v>
      </c>
      <c r="BD57" s="74">
        <v>601951.5199999999</v>
      </c>
      <c r="BE57" s="74">
        <v>0</v>
      </c>
    </row>
    <row r="58" spans="1:57" ht="33.950000000000003" customHeight="1" x14ac:dyDescent="0.3">
      <c r="A58" s="34">
        <v>2</v>
      </c>
      <c r="B58" s="34" t="s">
        <v>389</v>
      </c>
      <c r="C58" s="34" t="s">
        <v>871</v>
      </c>
      <c r="D58" s="34" t="s">
        <v>376</v>
      </c>
      <c r="E58" s="34" t="s">
        <v>503</v>
      </c>
      <c r="F58" s="34" t="s">
        <v>521</v>
      </c>
      <c r="G58" s="34" t="s">
        <v>522</v>
      </c>
      <c r="H58" s="73" t="s">
        <v>525</v>
      </c>
      <c r="I58" s="39" t="s">
        <v>144</v>
      </c>
      <c r="J58" s="39" t="s">
        <v>888</v>
      </c>
      <c r="K58" s="39" t="s">
        <v>429</v>
      </c>
      <c r="L58" s="36" t="s">
        <v>526</v>
      </c>
      <c r="M58" s="37">
        <v>2</v>
      </c>
      <c r="N58" s="38"/>
      <c r="O58" s="37" t="s">
        <v>39</v>
      </c>
      <c r="P58" s="37" t="s">
        <v>414</v>
      </c>
      <c r="Q58" s="74">
        <v>34838404</v>
      </c>
      <c r="R58" s="74" t="s">
        <v>429</v>
      </c>
      <c r="S58" s="74">
        <v>30069406</v>
      </c>
      <c r="T58" s="74"/>
      <c r="U58" s="75"/>
      <c r="V58" s="74"/>
      <c r="W58" s="80"/>
      <c r="X58" s="74">
        <v>24081988.109999999</v>
      </c>
      <c r="Y58" s="76">
        <v>0.69124831636948691</v>
      </c>
      <c r="Z58" s="74">
        <v>0</v>
      </c>
      <c r="AA58" s="74">
        <v>0</v>
      </c>
      <c r="AB58" s="74">
        <v>3205059.99</v>
      </c>
      <c r="AC58" s="74">
        <v>0</v>
      </c>
      <c r="AD58" s="74">
        <v>9</v>
      </c>
      <c r="AE58" s="74">
        <v>24081988.109999999</v>
      </c>
      <c r="AF58" s="76">
        <v>0.69124831636948691</v>
      </c>
      <c r="AG58" s="74">
        <v>0</v>
      </c>
      <c r="AH58" s="74">
        <v>0</v>
      </c>
      <c r="AI58" s="74">
        <v>3205059.99</v>
      </c>
      <c r="AJ58" s="74">
        <v>0</v>
      </c>
      <c r="AK58" s="74">
        <v>9</v>
      </c>
      <c r="AL58" s="74">
        <v>24081988.109999999</v>
      </c>
      <c r="AM58" s="77">
        <v>0.69124831636948691</v>
      </c>
      <c r="AN58" s="74">
        <v>0</v>
      </c>
      <c r="AO58" s="74">
        <v>0</v>
      </c>
      <c r="AP58" s="74">
        <v>3205059.99</v>
      </c>
      <c r="AQ58" s="74">
        <v>0</v>
      </c>
      <c r="AR58" s="74">
        <v>9</v>
      </c>
      <c r="AS58" s="74">
        <v>1539638.66</v>
      </c>
      <c r="AT58" s="77">
        <v>4.4193719666377369E-2</v>
      </c>
      <c r="AU58" s="74">
        <v>0</v>
      </c>
      <c r="AV58" s="74">
        <v>0</v>
      </c>
      <c r="AW58" s="74">
        <v>271700.92</v>
      </c>
      <c r="AX58" s="74">
        <v>0</v>
      </c>
      <c r="AY58" s="74">
        <v>1</v>
      </c>
      <c r="AZ58" s="74">
        <v>1690450.4500000002</v>
      </c>
      <c r="BA58" s="77">
        <v>4.8522614583607224E-2</v>
      </c>
      <c r="BB58" s="74">
        <v>0</v>
      </c>
      <c r="BC58" s="74">
        <v>0</v>
      </c>
      <c r="BD58" s="74">
        <v>278945.67000000004</v>
      </c>
      <c r="BE58" s="74">
        <v>0</v>
      </c>
    </row>
    <row r="59" spans="1:57" ht="33.950000000000003" customHeight="1" x14ac:dyDescent="0.3">
      <c r="A59" s="34">
        <v>2</v>
      </c>
      <c r="B59" s="34" t="s">
        <v>389</v>
      </c>
      <c r="C59" s="34" t="s">
        <v>871</v>
      </c>
      <c r="D59" s="34" t="s">
        <v>376</v>
      </c>
      <c r="E59" s="34" t="s">
        <v>503</v>
      </c>
      <c r="F59" s="34" t="s">
        <v>521</v>
      </c>
      <c r="G59" s="34" t="s">
        <v>522</v>
      </c>
      <c r="H59" s="73" t="s">
        <v>527</v>
      </c>
      <c r="I59" s="39" t="s">
        <v>145</v>
      </c>
      <c r="J59" s="39" t="s">
        <v>889</v>
      </c>
      <c r="K59" s="39" t="s">
        <v>429</v>
      </c>
      <c r="L59" s="36" t="s">
        <v>528</v>
      </c>
      <c r="M59" s="37">
        <v>1</v>
      </c>
      <c r="N59" s="38"/>
      <c r="O59" s="37" t="s">
        <v>39</v>
      </c>
      <c r="P59" s="37" t="s">
        <v>407</v>
      </c>
      <c r="Q59" s="74">
        <v>2918429</v>
      </c>
      <c r="R59" s="74" t="s">
        <v>429</v>
      </c>
      <c r="S59" s="74">
        <v>3433446</v>
      </c>
      <c r="T59" s="74"/>
      <c r="U59" s="75"/>
      <c r="V59" s="74"/>
      <c r="W59" s="80"/>
      <c r="X59" s="74">
        <v>2918429</v>
      </c>
      <c r="Y59" s="76">
        <v>1</v>
      </c>
      <c r="Z59" s="74">
        <v>515017</v>
      </c>
      <c r="AA59" s="74">
        <v>0</v>
      </c>
      <c r="AB59" s="74">
        <v>0</v>
      </c>
      <c r="AC59" s="74">
        <v>0</v>
      </c>
      <c r="AD59" s="74">
        <v>1</v>
      </c>
      <c r="AE59" s="74">
        <v>2918429</v>
      </c>
      <c r="AF59" s="76">
        <v>1</v>
      </c>
      <c r="AG59" s="74">
        <v>515017</v>
      </c>
      <c r="AH59" s="74">
        <v>0</v>
      </c>
      <c r="AI59" s="74">
        <v>0</v>
      </c>
      <c r="AJ59" s="74">
        <v>0</v>
      </c>
      <c r="AK59" s="74">
        <v>1</v>
      </c>
      <c r="AL59" s="74">
        <v>2918429</v>
      </c>
      <c r="AM59" s="77">
        <v>1</v>
      </c>
      <c r="AN59" s="74">
        <v>515017</v>
      </c>
      <c r="AO59" s="74">
        <v>0</v>
      </c>
      <c r="AP59" s="74">
        <v>0</v>
      </c>
      <c r="AQ59" s="74">
        <v>0</v>
      </c>
      <c r="AR59" s="74">
        <v>1</v>
      </c>
      <c r="AS59" s="74">
        <v>2918429</v>
      </c>
      <c r="AT59" s="77">
        <v>1</v>
      </c>
      <c r="AU59" s="74">
        <v>515017</v>
      </c>
      <c r="AV59" s="74">
        <v>0</v>
      </c>
      <c r="AW59" s="74">
        <v>0</v>
      </c>
      <c r="AX59" s="74">
        <v>0</v>
      </c>
      <c r="AY59" s="74">
        <v>1</v>
      </c>
      <c r="AZ59" s="74">
        <v>2918429</v>
      </c>
      <c r="BA59" s="77">
        <v>1</v>
      </c>
      <c r="BB59" s="74">
        <v>515017</v>
      </c>
      <c r="BC59" s="74">
        <v>0</v>
      </c>
      <c r="BD59" s="74">
        <v>0</v>
      </c>
      <c r="BE59" s="74">
        <v>0</v>
      </c>
    </row>
    <row r="60" spans="1:57" ht="33.950000000000003" customHeight="1" x14ac:dyDescent="0.3">
      <c r="A60" s="34">
        <v>2</v>
      </c>
      <c r="B60" s="34" t="s">
        <v>389</v>
      </c>
      <c r="C60" s="34" t="s">
        <v>871</v>
      </c>
      <c r="D60" s="34" t="s">
        <v>376</v>
      </c>
      <c r="E60" s="34" t="s">
        <v>503</v>
      </c>
      <c r="F60" s="34" t="s">
        <v>521</v>
      </c>
      <c r="G60" s="34" t="s">
        <v>522</v>
      </c>
      <c r="H60" s="73" t="s">
        <v>527</v>
      </c>
      <c r="I60" s="39" t="s">
        <v>146</v>
      </c>
      <c r="J60" s="39" t="s">
        <v>890</v>
      </c>
      <c r="K60" s="39" t="s">
        <v>434</v>
      </c>
      <c r="L60" s="36" t="s">
        <v>528</v>
      </c>
      <c r="M60" s="37">
        <v>2</v>
      </c>
      <c r="N60" s="38"/>
      <c r="O60" s="37" t="s">
        <v>39</v>
      </c>
      <c r="P60" s="37" t="s">
        <v>407</v>
      </c>
      <c r="Q60" s="74">
        <v>0</v>
      </c>
      <c r="R60" s="74">
        <v>87449480</v>
      </c>
      <c r="S60" s="74">
        <v>0</v>
      </c>
      <c r="T60" s="74"/>
      <c r="U60" s="75"/>
      <c r="V60" s="74"/>
      <c r="W60" s="80"/>
      <c r="X60" s="74">
        <v>87449480</v>
      </c>
      <c r="Y60" s="76">
        <v>0</v>
      </c>
      <c r="Z60" s="74">
        <v>15432262</v>
      </c>
      <c r="AA60" s="74">
        <v>0</v>
      </c>
      <c r="AB60" s="74">
        <v>0</v>
      </c>
      <c r="AC60" s="74">
        <v>0</v>
      </c>
      <c r="AD60" s="74">
        <v>1</v>
      </c>
      <c r="AE60" s="74">
        <v>87449480</v>
      </c>
      <c r="AF60" s="76">
        <v>0</v>
      </c>
      <c r="AG60" s="74">
        <v>15432262</v>
      </c>
      <c r="AH60" s="74">
        <v>0</v>
      </c>
      <c r="AI60" s="74">
        <v>0</v>
      </c>
      <c r="AJ60" s="74">
        <v>0</v>
      </c>
      <c r="AK60" s="74">
        <v>1</v>
      </c>
      <c r="AL60" s="74">
        <v>87449480</v>
      </c>
      <c r="AM60" s="77">
        <v>0</v>
      </c>
      <c r="AN60" s="74">
        <v>15432262</v>
      </c>
      <c r="AO60" s="74">
        <v>0</v>
      </c>
      <c r="AP60" s="74">
        <v>0</v>
      </c>
      <c r="AQ60" s="74">
        <v>0</v>
      </c>
      <c r="AR60" s="74">
        <v>1</v>
      </c>
      <c r="AS60" s="74">
        <v>0</v>
      </c>
      <c r="AT60" s="77">
        <v>0</v>
      </c>
      <c r="AU60" s="74">
        <v>0</v>
      </c>
      <c r="AV60" s="74">
        <v>0</v>
      </c>
      <c r="AW60" s="74">
        <v>0</v>
      </c>
      <c r="AX60" s="74">
        <v>0</v>
      </c>
      <c r="AY60" s="74">
        <v>0</v>
      </c>
      <c r="AZ60" s="74">
        <v>79539130.689999998</v>
      </c>
      <c r="BA60" s="77">
        <v>0</v>
      </c>
      <c r="BB60" s="74">
        <v>14036317.18</v>
      </c>
      <c r="BC60" s="74">
        <v>0</v>
      </c>
      <c r="BD60" s="74">
        <v>0</v>
      </c>
      <c r="BE60" s="74">
        <v>0</v>
      </c>
    </row>
    <row r="61" spans="1:57" ht="33.950000000000003" customHeight="1" x14ac:dyDescent="0.3">
      <c r="A61" s="34">
        <v>2</v>
      </c>
      <c r="B61" s="34" t="s">
        <v>389</v>
      </c>
      <c r="C61" s="34" t="s">
        <v>871</v>
      </c>
      <c r="D61" s="34" t="s">
        <v>376</v>
      </c>
      <c r="E61" s="34" t="s">
        <v>503</v>
      </c>
      <c r="F61" s="34" t="s">
        <v>521</v>
      </c>
      <c r="G61" s="34" t="s">
        <v>522</v>
      </c>
      <c r="H61" s="73" t="s">
        <v>527</v>
      </c>
      <c r="I61" s="39" t="s">
        <v>147</v>
      </c>
      <c r="J61" s="39" t="s">
        <v>891</v>
      </c>
      <c r="K61" s="39" t="s">
        <v>429</v>
      </c>
      <c r="L61" s="36" t="s">
        <v>528</v>
      </c>
      <c r="M61" s="37">
        <v>3</v>
      </c>
      <c r="N61" s="38"/>
      <c r="O61" s="37" t="s">
        <v>39</v>
      </c>
      <c r="P61" s="37" t="s">
        <v>407</v>
      </c>
      <c r="Q61" s="74">
        <v>47206634</v>
      </c>
      <c r="R61" s="74" t="s">
        <v>429</v>
      </c>
      <c r="S61" s="74">
        <v>55537217</v>
      </c>
      <c r="T61" s="74"/>
      <c r="U61" s="75"/>
      <c r="V61" s="74"/>
      <c r="W61" s="80"/>
      <c r="X61" s="74">
        <v>47206634</v>
      </c>
      <c r="Y61" s="76">
        <v>1</v>
      </c>
      <c r="Z61" s="74">
        <v>8330583</v>
      </c>
      <c r="AA61" s="74">
        <v>0</v>
      </c>
      <c r="AB61" s="74">
        <v>0</v>
      </c>
      <c r="AC61" s="74">
        <v>0</v>
      </c>
      <c r="AD61" s="74">
        <v>2</v>
      </c>
      <c r="AE61" s="74">
        <v>47206634</v>
      </c>
      <c r="AF61" s="76">
        <v>1</v>
      </c>
      <c r="AG61" s="74">
        <v>8330583</v>
      </c>
      <c r="AH61" s="74">
        <v>0</v>
      </c>
      <c r="AI61" s="74">
        <v>0</v>
      </c>
      <c r="AJ61" s="74">
        <v>0</v>
      </c>
      <c r="AK61" s="74">
        <v>2</v>
      </c>
      <c r="AL61" s="74">
        <v>47206634</v>
      </c>
      <c r="AM61" s="77">
        <v>1</v>
      </c>
      <c r="AN61" s="74">
        <v>8330583</v>
      </c>
      <c r="AO61" s="74">
        <v>0</v>
      </c>
      <c r="AP61" s="74">
        <v>0</v>
      </c>
      <c r="AQ61" s="74">
        <v>0</v>
      </c>
      <c r="AR61" s="74">
        <v>2</v>
      </c>
      <c r="AS61" s="74">
        <v>0</v>
      </c>
      <c r="AT61" s="77">
        <v>0</v>
      </c>
      <c r="AU61" s="74">
        <v>0</v>
      </c>
      <c r="AV61" s="74">
        <v>0</v>
      </c>
      <c r="AW61" s="74">
        <v>0</v>
      </c>
      <c r="AX61" s="74">
        <v>0</v>
      </c>
      <c r="AY61" s="74">
        <v>0</v>
      </c>
      <c r="AZ61" s="74">
        <v>0</v>
      </c>
      <c r="BA61" s="77">
        <v>0</v>
      </c>
      <c r="BB61" s="74">
        <v>0</v>
      </c>
      <c r="BC61" s="74">
        <v>0</v>
      </c>
      <c r="BD61" s="74">
        <v>0</v>
      </c>
      <c r="BE61" s="74">
        <v>0</v>
      </c>
    </row>
    <row r="62" spans="1:57" ht="33.950000000000003" customHeight="1" x14ac:dyDescent="0.3">
      <c r="A62" s="34">
        <v>2</v>
      </c>
      <c r="B62" s="34" t="s">
        <v>389</v>
      </c>
      <c r="C62" s="34" t="s">
        <v>871</v>
      </c>
      <c r="D62" s="34" t="s">
        <v>529</v>
      </c>
      <c r="E62" s="34" t="s">
        <v>530</v>
      </c>
      <c r="F62" s="34" t="s">
        <v>531</v>
      </c>
      <c r="G62" s="34" t="s">
        <v>532</v>
      </c>
      <c r="H62" s="73" t="s">
        <v>533</v>
      </c>
      <c r="I62" s="39" t="s">
        <v>148</v>
      </c>
      <c r="J62" s="39" t="s">
        <v>892</v>
      </c>
      <c r="K62" s="39" t="s">
        <v>429</v>
      </c>
      <c r="L62" s="36" t="s">
        <v>534</v>
      </c>
      <c r="M62" s="37">
        <v>1</v>
      </c>
      <c r="N62" s="38"/>
      <c r="O62" s="37" t="s">
        <v>39</v>
      </c>
      <c r="P62" s="37" t="s">
        <v>414</v>
      </c>
      <c r="Q62" s="74">
        <v>30394458</v>
      </c>
      <c r="R62" s="74" t="s">
        <v>429</v>
      </c>
      <c r="S62" s="74">
        <v>35758186</v>
      </c>
      <c r="T62" s="74"/>
      <c r="U62" s="75"/>
      <c r="V62" s="74"/>
      <c r="W62" s="80"/>
      <c r="X62" s="74">
        <v>29974695.489999998</v>
      </c>
      <c r="Y62" s="76">
        <v>0.9861895050077879</v>
      </c>
      <c r="Z62" s="74">
        <v>0</v>
      </c>
      <c r="AA62" s="74">
        <v>0</v>
      </c>
      <c r="AB62" s="74">
        <v>0</v>
      </c>
      <c r="AC62" s="74">
        <v>17328733.73</v>
      </c>
      <c r="AD62" s="74">
        <v>17</v>
      </c>
      <c r="AE62" s="74">
        <v>29974695.489999998</v>
      </c>
      <c r="AF62" s="76">
        <v>0.9861895050077879</v>
      </c>
      <c r="AG62" s="74">
        <v>0</v>
      </c>
      <c r="AH62" s="74">
        <v>0</v>
      </c>
      <c r="AI62" s="74">
        <v>0</v>
      </c>
      <c r="AJ62" s="74">
        <v>17328733.73</v>
      </c>
      <c r="AK62" s="74">
        <v>17</v>
      </c>
      <c r="AL62" s="74">
        <v>29974695.489999998</v>
      </c>
      <c r="AM62" s="77">
        <v>0.9861895050077879</v>
      </c>
      <c r="AN62" s="74">
        <v>0</v>
      </c>
      <c r="AO62" s="74">
        <v>0</v>
      </c>
      <c r="AP62" s="74">
        <v>0</v>
      </c>
      <c r="AQ62" s="74">
        <v>17328733.73</v>
      </c>
      <c r="AR62" s="74">
        <v>17</v>
      </c>
      <c r="AS62" s="74">
        <v>0</v>
      </c>
      <c r="AT62" s="77">
        <v>0</v>
      </c>
      <c r="AU62" s="74">
        <v>0</v>
      </c>
      <c r="AV62" s="74">
        <v>0</v>
      </c>
      <c r="AW62" s="74">
        <v>0</v>
      </c>
      <c r="AX62" s="74">
        <v>0</v>
      </c>
      <c r="AY62" s="74">
        <v>0</v>
      </c>
      <c r="AZ62" s="74">
        <v>3728449.8400000003</v>
      </c>
      <c r="BA62" s="77">
        <v>0.12266873914974895</v>
      </c>
      <c r="BB62" s="74">
        <v>0</v>
      </c>
      <c r="BC62" s="74">
        <v>0</v>
      </c>
      <c r="BD62" s="74">
        <v>0</v>
      </c>
      <c r="BE62" s="74">
        <v>1270946.1799999997</v>
      </c>
    </row>
    <row r="63" spans="1:57" ht="33.950000000000003" customHeight="1" x14ac:dyDescent="0.3">
      <c r="A63" s="34">
        <v>2</v>
      </c>
      <c r="B63" s="34" t="s">
        <v>389</v>
      </c>
      <c r="C63" s="34" t="s">
        <v>871</v>
      </c>
      <c r="D63" s="34" t="s">
        <v>529</v>
      </c>
      <c r="E63" s="34" t="s">
        <v>530</v>
      </c>
      <c r="F63" s="34" t="s">
        <v>531</v>
      </c>
      <c r="G63" s="34" t="s">
        <v>532</v>
      </c>
      <c r="H63" s="73" t="s">
        <v>533</v>
      </c>
      <c r="I63" s="39" t="s">
        <v>149</v>
      </c>
      <c r="J63" s="39" t="s">
        <v>893</v>
      </c>
      <c r="K63" s="39" t="s">
        <v>429</v>
      </c>
      <c r="L63" s="36" t="s">
        <v>534</v>
      </c>
      <c r="M63" s="37">
        <v>2</v>
      </c>
      <c r="N63" s="38"/>
      <c r="O63" s="37" t="s">
        <v>39</v>
      </c>
      <c r="P63" s="37" t="s">
        <v>414</v>
      </c>
      <c r="Q63" s="74">
        <v>22309636</v>
      </c>
      <c r="R63" s="74" t="s">
        <v>429</v>
      </c>
      <c r="S63" s="74">
        <v>26246631</v>
      </c>
      <c r="T63" s="74"/>
      <c r="U63" s="75"/>
      <c r="V63" s="74"/>
      <c r="W63" s="80"/>
      <c r="X63" s="74">
        <v>22309636</v>
      </c>
      <c r="Y63" s="76">
        <v>1</v>
      </c>
      <c r="Z63" s="74">
        <v>0</v>
      </c>
      <c r="AA63" s="74">
        <v>0</v>
      </c>
      <c r="AB63" s="74">
        <v>0</v>
      </c>
      <c r="AC63" s="74">
        <v>41510347.090000004</v>
      </c>
      <c r="AD63" s="74">
        <v>1</v>
      </c>
      <c r="AE63" s="74">
        <v>22309636</v>
      </c>
      <c r="AF63" s="76">
        <v>1</v>
      </c>
      <c r="AG63" s="74">
        <v>0</v>
      </c>
      <c r="AH63" s="74">
        <v>0</v>
      </c>
      <c r="AI63" s="74">
        <v>0</v>
      </c>
      <c r="AJ63" s="74">
        <v>41510347.090000004</v>
      </c>
      <c r="AK63" s="74">
        <v>1</v>
      </c>
      <c r="AL63" s="74">
        <v>22309636</v>
      </c>
      <c r="AM63" s="77">
        <v>1</v>
      </c>
      <c r="AN63" s="74">
        <v>0</v>
      </c>
      <c r="AO63" s="74">
        <v>0</v>
      </c>
      <c r="AP63" s="74">
        <v>0</v>
      </c>
      <c r="AQ63" s="74">
        <v>41510347.090000004</v>
      </c>
      <c r="AR63" s="74">
        <v>1</v>
      </c>
      <c r="AS63" s="74">
        <v>0</v>
      </c>
      <c r="AT63" s="77">
        <v>0</v>
      </c>
      <c r="AU63" s="74">
        <v>0</v>
      </c>
      <c r="AV63" s="74">
        <v>0</v>
      </c>
      <c r="AW63" s="74">
        <v>0</v>
      </c>
      <c r="AX63" s="74">
        <v>0</v>
      </c>
      <c r="AY63" s="74">
        <v>0</v>
      </c>
      <c r="AZ63" s="74">
        <v>3441815.9999999995</v>
      </c>
      <c r="BA63" s="77">
        <v>0.15427486132001433</v>
      </c>
      <c r="BB63" s="74">
        <v>0</v>
      </c>
      <c r="BC63" s="74">
        <v>0</v>
      </c>
      <c r="BD63" s="74">
        <v>0</v>
      </c>
      <c r="BE63" s="74">
        <v>2880980.55</v>
      </c>
    </row>
    <row r="64" spans="1:57" ht="33.950000000000003" customHeight="1" x14ac:dyDescent="0.3">
      <c r="A64" s="34">
        <v>2</v>
      </c>
      <c r="B64" s="34" t="s">
        <v>389</v>
      </c>
      <c r="C64" s="34" t="s">
        <v>871</v>
      </c>
      <c r="D64" s="34" t="s">
        <v>529</v>
      </c>
      <c r="E64" s="34" t="s">
        <v>530</v>
      </c>
      <c r="F64" s="34" t="s">
        <v>531</v>
      </c>
      <c r="G64" s="34" t="s">
        <v>532</v>
      </c>
      <c r="H64" s="73" t="s">
        <v>533</v>
      </c>
      <c r="I64" s="39" t="s">
        <v>150</v>
      </c>
      <c r="J64" s="39" t="s">
        <v>894</v>
      </c>
      <c r="K64" s="39" t="s">
        <v>429</v>
      </c>
      <c r="L64" s="36" t="s">
        <v>532</v>
      </c>
      <c r="M64" s="37">
        <v>3</v>
      </c>
      <c r="N64" s="38"/>
      <c r="O64" s="37" t="s">
        <v>39</v>
      </c>
      <c r="P64" s="37" t="s">
        <v>414</v>
      </c>
      <c r="Q64" s="74">
        <v>21455906</v>
      </c>
      <c r="R64" s="74" t="s">
        <v>429</v>
      </c>
      <c r="S64" s="74">
        <v>22485858</v>
      </c>
      <c r="T64" s="74"/>
      <c r="U64" s="75"/>
      <c r="V64" s="74"/>
      <c r="W64" s="80"/>
      <c r="X64" s="74">
        <v>16913992.93</v>
      </c>
      <c r="Y64" s="76">
        <v>0.78831408610757336</v>
      </c>
      <c r="Z64" s="74">
        <v>0</v>
      </c>
      <c r="AA64" s="74">
        <v>0</v>
      </c>
      <c r="AB64" s="74">
        <v>0</v>
      </c>
      <c r="AC64" s="74">
        <v>10544380.25</v>
      </c>
      <c r="AD64" s="74">
        <v>16</v>
      </c>
      <c r="AE64" s="74">
        <v>1256371.83</v>
      </c>
      <c r="AF64" s="76">
        <v>5.8555990597647101E-2</v>
      </c>
      <c r="AG64" s="74">
        <v>0</v>
      </c>
      <c r="AH64" s="74">
        <v>0</v>
      </c>
      <c r="AI64" s="74">
        <v>0</v>
      </c>
      <c r="AJ64" s="74">
        <v>676507.90999999992</v>
      </c>
      <c r="AK64" s="74">
        <v>2</v>
      </c>
      <c r="AL64" s="74">
        <v>1256371.83</v>
      </c>
      <c r="AM64" s="77">
        <v>5.8555990597647101E-2</v>
      </c>
      <c r="AN64" s="74">
        <v>0</v>
      </c>
      <c r="AO64" s="74">
        <v>0</v>
      </c>
      <c r="AP64" s="74">
        <v>0</v>
      </c>
      <c r="AQ64" s="74">
        <v>676507.90999999992</v>
      </c>
      <c r="AR64" s="74">
        <v>2</v>
      </c>
      <c r="AS64" s="74">
        <v>0</v>
      </c>
      <c r="AT64" s="77">
        <v>0</v>
      </c>
      <c r="AU64" s="74">
        <v>0</v>
      </c>
      <c r="AV64" s="74">
        <v>0</v>
      </c>
      <c r="AW64" s="74">
        <v>0</v>
      </c>
      <c r="AX64" s="74">
        <v>0</v>
      </c>
      <c r="AY64" s="74">
        <v>0</v>
      </c>
      <c r="AZ64" s="74">
        <v>0</v>
      </c>
      <c r="BA64" s="77">
        <v>0</v>
      </c>
      <c r="BB64" s="74">
        <v>0</v>
      </c>
      <c r="BC64" s="74">
        <v>0</v>
      </c>
      <c r="BD64" s="74">
        <v>0</v>
      </c>
      <c r="BE64" s="74">
        <v>0</v>
      </c>
    </row>
    <row r="65" spans="1:57" ht="33.950000000000003" customHeight="1" x14ac:dyDescent="0.3">
      <c r="A65" s="34">
        <v>2</v>
      </c>
      <c r="B65" s="34" t="s">
        <v>389</v>
      </c>
      <c r="C65" s="34" t="s">
        <v>871</v>
      </c>
      <c r="D65" s="34" t="s">
        <v>529</v>
      </c>
      <c r="E65" s="34" t="s">
        <v>530</v>
      </c>
      <c r="F65" s="34" t="s">
        <v>531</v>
      </c>
      <c r="G65" s="34" t="s">
        <v>532</v>
      </c>
      <c r="H65" s="73" t="s">
        <v>533</v>
      </c>
      <c r="I65" s="39" t="s">
        <v>151</v>
      </c>
      <c r="J65" s="39" t="s">
        <v>895</v>
      </c>
      <c r="K65" s="39" t="s">
        <v>429</v>
      </c>
      <c r="L65" s="36" t="s">
        <v>532</v>
      </c>
      <c r="M65" s="37">
        <v>4</v>
      </c>
      <c r="N65" s="38"/>
      <c r="O65" s="37" t="s">
        <v>39</v>
      </c>
      <c r="P65" s="37" t="s">
        <v>414</v>
      </c>
      <c r="Q65" s="74">
        <v>0</v>
      </c>
      <c r="R65" s="74" t="s">
        <v>429</v>
      </c>
      <c r="S65" s="74">
        <v>10000000</v>
      </c>
      <c r="T65" s="74"/>
      <c r="U65" s="75"/>
      <c r="V65" s="74"/>
      <c r="W65" s="80"/>
      <c r="X65" s="74">
        <v>0</v>
      </c>
      <c r="Y65" s="76">
        <v>0</v>
      </c>
      <c r="Z65" s="74">
        <v>0</v>
      </c>
      <c r="AA65" s="74">
        <v>0</v>
      </c>
      <c r="AB65" s="74">
        <v>0</v>
      </c>
      <c r="AC65" s="74">
        <v>0</v>
      </c>
      <c r="AD65" s="74">
        <v>0</v>
      </c>
      <c r="AE65" s="74">
        <v>0</v>
      </c>
      <c r="AF65" s="76">
        <v>0</v>
      </c>
      <c r="AG65" s="74">
        <v>0</v>
      </c>
      <c r="AH65" s="74">
        <v>0</v>
      </c>
      <c r="AI65" s="74">
        <v>0</v>
      </c>
      <c r="AJ65" s="74">
        <v>0</v>
      </c>
      <c r="AK65" s="74">
        <v>0</v>
      </c>
      <c r="AL65" s="74">
        <v>0</v>
      </c>
      <c r="AM65" s="77">
        <v>0</v>
      </c>
      <c r="AN65" s="74">
        <v>0</v>
      </c>
      <c r="AO65" s="74">
        <v>0</v>
      </c>
      <c r="AP65" s="74">
        <v>0</v>
      </c>
      <c r="AQ65" s="74">
        <v>0</v>
      </c>
      <c r="AR65" s="74">
        <v>0</v>
      </c>
      <c r="AS65" s="74">
        <v>0</v>
      </c>
      <c r="AT65" s="77">
        <v>0</v>
      </c>
      <c r="AU65" s="74">
        <v>0</v>
      </c>
      <c r="AV65" s="74">
        <v>0</v>
      </c>
      <c r="AW65" s="74">
        <v>0</v>
      </c>
      <c r="AX65" s="74">
        <v>0</v>
      </c>
      <c r="AY65" s="74">
        <v>0</v>
      </c>
      <c r="AZ65" s="74">
        <v>0</v>
      </c>
      <c r="BA65" s="77">
        <v>0</v>
      </c>
      <c r="BB65" s="74">
        <v>0</v>
      </c>
      <c r="BC65" s="74">
        <v>0</v>
      </c>
      <c r="BD65" s="74">
        <v>0</v>
      </c>
      <c r="BE65" s="74">
        <v>0</v>
      </c>
    </row>
    <row r="66" spans="1:57" ht="33.950000000000003" customHeight="1" x14ac:dyDescent="0.3">
      <c r="A66" s="34">
        <v>2</v>
      </c>
      <c r="B66" s="34" t="s">
        <v>389</v>
      </c>
      <c r="C66" s="34" t="s">
        <v>871</v>
      </c>
      <c r="D66" s="34" t="s">
        <v>529</v>
      </c>
      <c r="E66" s="34" t="s">
        <v>530</v>
      </c>
      <c r="F66" s="34" t="s">
        <v>535</v>
      </c>
      <c r="G66" s="34" t="s">
        <v>536</v>
      </c>
      <c r="H66" s="73" t="s">
        <v>537</v>
      </c>
      <c r="I66" s="39" t="s">
        <v>152</v>
      </c>
      <c r="J66" s="39" t="s">
        <v>896</v>
      </c>
      <c r="K66" s="39" t="s">
        <v>429</v>
      </c>
      <c r="L66" s="36" t="s">
        <v>538</v>
      </c>
      <c r="M66" s="37">
        <v>1</v>
      </c>
      <c r="N66" s="38"/>
      <c r="O66" s="37" t="s">
        <v>40</v>
      </c>
      <c r="P66" s="37" t="s">
        <v>414</v>
      </c>
      <c r="Q66" s="74">
        <v>20000000</v>
      </c>
      <c r="R66" s="74" t="s">
        <v>429</v>
      </c>
      <c r="S66" s="74">
        <v>23529412</v>
      </c>
      <c r="T66" s="74"/>
      <c r="U66" s="75"/>
      <c r="V66" s="74"/>
      <c r="W66" s="80"/>
      <c r="X66" s="74">
        <v>19960393</v>
      </c>
      <c r="Y66" s="76">
        <v>0.99801965000000004</v>
      </c>
      <c r="Z66" s="74">
        <v>0</v>
      </c>
      <c r="AA66" s="74">
        <v>0</v>
      </c>
      <c r="AB66" s="74">
        <v>0</v>
      </c>
      <c r="AC66" s="74">
        <v>9586447.8899999987</v>
      </c>
      <c r="AD66" s="74">
        <v>9</v>
      </c>
      <c r="AE66" s="74">
        <v>19960393</v>
      </c>
      <c r="AF66" s="76">
        <v>0.99801965000000004</v>
      </c>
      <c r="AG66" s="74">
        <v>0</v>
      </c>
      <c r="AH66" s="74">
        <v>0</v>
      </c>
      <c r="AI66" s="74">
        <v>0</v>
      </c>
      <c r="AJ66" s="74">
        <v>9586447.8899999987</v>
      </c>
      <c r="AK66" s="74">
        <v>9</v>
      </c>
      <c r="AL66" s="74">
        <v>19960393</v>
      </c>
      <c r="AM66" s="77">
        <v>0.99801965000000004</v>
      </c>
      <c r="AN66" s="74">
        <v>0</v>
      </c>
      <c r="AO66" s="74">
        <v>0</v>
      </c>
      <c r="AP66" s="74">
        <v>0</v>
      </c>
      <c r="AQ66" s="74">
        <v>9586447.8899999987</v>
      </c>
      <c r="AR66" s="74">
        <v>9</v>
      </c>
      <c r="AS66" s="74">
        <v>2200396.73</v>
      </c>
      <c r="AT66" s="77">
        <v>0.1100198365</v>
      </c>
      <c r="AU66" s="74">
        <v>0</v>
      </c>
      <c r="AV66" s="74">
        <v>0</v>
      </c>
      <c r="AW66" s="74">
        <v>0</v>
      </c>
      <c r="AX66" s="74">
        <v>1122799.25</v>
      </c>
      <c r="AY66" s="74">
        <v>3</v>
      </c>
      <c r="AZ66" s="74">
        <v>11754996.750000002</v>
      </c>
      <c r="BA66" s="77">
        <v>0.58774983750000009</v>
      </c>
      <c r="BB66" s="74">
        <v>0</v>
      </c>
      <c r="BC66" s="74">
        <v>0</v>
      </c>
      <c r="BD66" s="74">
        <v>0</v>
      </c>
      <c r="BE66" s="74">
        <v>2905528.8100000005</v>
      </c>
    </row>
    <row r="67" spans="1:57" ht="33.950000000000003" customHeight="1" x14ac:dyDescent="0.3">
      <c r="A67" s="34">
        <v>2</v>
      </c>
      <c r="B67" s="34" t="s">
        <v>389</v>
      </c>
      <c r="C67" s="34" t="s">
        <v>871</v>
      </c>
      <c r="D67" s="34" t="s">
        <v>529</v>
      </c>
      <c r="E67" s="34" t="s">
        <v>530</v>
      </c>
      <c r="F67" s="34" t="s">
        <v>535</v>
      </c>
      <c r="G67" s="34" t="s">
        <v>536</v>
      </c>
      <c r="H67" s="73" t="s">
        <v>537</v>
      </c>
      <c r="I67" s="39" t="s">
        <v>153</v>
      </c>
      <c r="J67" s="39" t="s">
        <v>897</v>
      </c>
      <c r="K67" s="39" t="s">
        <v>429</v>
      </c>
      <c r="L67" s="36" t="s">
        <v>538</v>
      </c>
      <c r="M67" s="37">
        <v>2</v>
      </c>
      <c r="N67" s="78"/>
      <c r="O67" s="37" t="s">
        <v>40</v>
      </c>
      <c r="P67" s="37" t="s">
        <v>414</v>
      </c>
      <c r="Q67" s="74">
        <v>12114534</v>
      </c>
      <c r="R67" s="74" t="s">
        <v>429</v>
      </c>
      <c r="S67" s="74">
        <v>14252393</v>
      </c>
      <c r="T67" s="74"/>
      <c r="U67" s="75"/>
      <c r="V67" s="74"/>
      <c r="W67" s="80"/>
      <c r="X67" s="74">
        <v>12114532.08</v>
      </c>
      <c r="Y67" s="76">
        <v>0.99999984151268217</v>
      </c>
      <c r="Z67" s="74">
        <v>0</v>
      </c>
      <c r="AA67" s="74">
        <v>0</v>
      </c>
      <c r="AB67" s="74">
        <v>0</v>
      </c>
      <c r="AC67" s="74">
        <v>10829264.789999999</v>
      </c>
      <c r="AD67" s="74">
        <v>9</v>
      </c>
      <c r="AE67" s="74">
        <v>12114532.08</v>
      </c>
      <c r="AF67" s="76">
        <v>0.99999984151268217</v>
      </c>
      <c r="AG67" s="74">
        <v>0</v>
      </c>
      <c r="AH67" s="74">
        <v>0</v>
      </c>
      <c r="AI67" s="74">
        <v>0</v>
      </c>
      <c r="AJ67" s="74">
        <v>10829264.789999999</v>
      </c>
      <c r="AK67" s="74">
        <v>9</v>
      </c>
      <c r="AL67" s="74">
        <v>9114532.0800000001</v>
      </c>
      <c r="AM67" s="77">
        <v>0.75236340745752173</v>
      </c>
      <c r="AN67" s="74">
        <v>0</v>
      </c>
      <c r="AO67" s="74">
        <v>0</v>
      </c>
      <c r="AP67" s="74">
        <v>0</v>
      </c>
      <c r="AQ67" s="74">
        <v>9743310.7899999991</v>
      </c>
      <c r="AR67" s="74">
        <v>8</v>
      </c>
      <c r="AS67" s="74">
        <v>0</v>
      </c>
      <c r="AT67" s="77">
        <v>0</v>
      </c>
      <c r="AU67" s="74">
        <v>0</v>
      </c>
      <c r="AV67" s="74">
        <v>0</v>
      </c>
      <c r="AW67" s="74">
        <v>0</v>
      </c>
      <c r="AX67" s="74">
        <v>0</v>
      </c>
      <c r="AY67" s="74">
        <v>0</v>
      </c>
      <c r="AZ67" s="74">
        <v>1524226.33</v>
      </c>
      <c r="BA67" s="77">
        <v>0.12581799101806146</v>
      </c>
      <c r="BB67" s="74">
        <v>0</v>
      </c>
      <c r="BC67" s="74">
        <v>0</v>
      </c>
      <c r="BD67" s="74">
        <v>0</v>
      </c>
      <c r="BE67" s="74">
        <v>359476</v>
      </c>
    </row>
    <row r="68" spans="1:57" ht="33.950000000000003" customHeight="1" x14ac:dyDescent="0.3">
      <c r="A68" s="34">
        <v>2</v>
      </c>
      <c r="B68" s="34" t="s">
        <v>389</v>
      </c>
      <c r="C68" s="34" t="s">
        <v>871</v>
      </c>
      <c r="D68" s="34" t="s">
        <v>529</v>
      </c>
      <c r="E68" s="34" t="s">
        <v>530</v>
      </c>
      <c r="F68" s="34" t="s">
        <v>535</v>
      </c>
      <c r="G68" s="34" t="s">
        <v>536</v>
      </c>
      <c r="H68" s="73" t="s">
        <v>537</v>
      </c>
      <c r="I68" s="39" t="s">
        <v>154</v>
      </c>
      <c r="J68" s="39" t="s">
        <v>898</v>
      </c>
      <c r="K68" s="39" t="s">
        <v>429</v>
      </c>
      <c r="L68" s="36" t="s">
        <v>538</v>
      </c>
      <c r="M68" s="37">
        <v>3</v>
      </c>
      <c r="N68" s="38"/>
      <c r="O68" s="37" t="s">
        <v>40</v>
      </c>
      <c r="P68" s="37" t="s">
        <v>414</v>
      </c>
      <c r="Q68" s="74">
        <v>33175776</v>
      </c>
      <c r="R68" s="74" t="s">
        <v>429</v>
      </c>
      <c r="S68" s="74">
        <v>39030325</v>
      </c>
      <c r="T68" s="74"/>
      <c r="U68" s="75"/>
      <c r="V68" s="74"/>
      <c r="W68" s="80"/>
      <c r="X68" s="74">
        <v>33175645.900000002</v>
      </c>
      <c r="Y68" s="76">
        <v>0.99999607846399741</v>
      </c>
      <c r="Z68" s="74">
        <v>0</v>
      </c>
      <c r="AA68" s="74">
        <v>0</v>
      </c>
      <c r="AB68" s="74">
        <v>0</v>
      </c>
      <c r="AC68" s="74">
        <v>6785096.1600000001</v>
      </c>
      <c r="AD68" s="74">
        <v>9</v>
      </c>
      <c r="AE68" s="74">
        <v>22806636.880000003</v>
      </c>
      <c r="AF68" s="76">
        <v>0.68744848289306038</v>
      </c>
      <c r="AG68" s="74">
        <v>0</v>
      </c>
      <c r="AH68" s="74">
        <v>0</v>
      </c>
      <c r="AI68" s="74">
        <v>0</v>
      </c>
      <c r="AJ68" s="74">
        <v>4955271.0299999993</v>
      </c>
      <c r="AK68" s="74">
        <v>7</v>
      </c>
      <c r="AL68" s="74">
        <v>22806636.880000003</v>
      </c>
      <c r="AM68" s="77">
        <v>0.68744848289306038</v>
      </c>
      <c r="AN68" s="74">
        <v>0</v>
      </c>
      <c r="AO68" s="74">
        <v>0</v>
      </c>
      <c r="AP68" s="74">
        <v>0</v>
      </c>
      <c r="AQ68" s="74">
        <v>4955271.0299999993</v>
      </c>
      <c r="AR68" s="74">
        <v>7</v>
      </c>
      <c r="AS68" s="74">
        <v>0</v>
      </c>
      <c r="AT68" s="77">
        <v>0</v>
      </c>
      <c r="AU68" s="74">
        <v>0</v>
      </c>
      <c r="AV68" s="74">
        <v>0</v>
      </c>
      <c r="AW68" s="74">
        <v>0</v>
      </c>
      <c r="AX68" s="74">
        <v>0</v>
      </c>
      <c r="AY68" s="74">
        <v>0</v>
      </c>
      <c r="AZ68" s="74">
        <v>1144565.23</v>
      </c>
      <c r="BA68" s="77">
        <v>3.450002887649109E-2</v>
      </c>
      <c r="BB68" s="74">
        <v>0</v>
      </c>
      <c r="BC68" s="74">
        <v>0</v>
      </c>
      <c r="BD68" s="74">
        <v>0</v>
      </c>
      <c r="BE68" s="74">
        <v>10694.02</v>
      </c>
    </row>
    <row r="69" spans="1:57" ht="33.950000000000003" customHeight="1" x14ac:dyDescent="0.3">
      <c r="A69" s="34">
        <v>2</v>
      </c>
      <c r="B69" s="34" t="s">
        <v>389</v>
      </c>
      <c r="C69" s="34" t="s">
        <v>871</v>
      </c>
      <c r="D69" s="34" t="s">
        <v>529</v>
      </c>
      <c r="E69" s="34" t="s">
        <v>530</v>
      </c>
      <c r="F69" s="34" t="s">
        <v>535</v>
      </c>
      <c r="G69" s="34" t="s">
        <v>536</v>
      </c>
      <c r="H69" s="73" t="s">
        <v>539</v>
      </c>
      <c r="I69" s="39" t="s">
        <v>155</v>
      </c>
      <c r="J69" s="39" t="s">
        <v>899</v>
      </c>
      <c r="K69" s="39" t="s">
        <v>429</v>
      </c>
      <c r="L69" s="36" t="s">
        <v>540</v>
      </c>
      <c r="M69" s="37">
        <v>1</v>
      </c>
      <c r="N69" s="38"/>
      <c r="O69" s="37" t="s">
        <v>40</v>
      </c>
      <c r="P69" s="37" t="s">
        <v>414</v>
      </c>
      <c r="Q69" s="74">
        <v>1598349</v>
      </c>
      <c r="R69" s="74" t="s">
        <v>429</v>
      </c>
      <c r="S69" s="74">
        <v>1880411</v>
      </c>
      <c r="T69" s="74"/>
      <c r="U69" s="75"/>
      <c r="V69" s="74"/>
      <c r="W69" s="80"/>
      <c r="X69" s="74">
        <v>1257389.43</v>
      </c>
      <c r="Y69" s="76">
        <v>0.78668014932908892</v>
      </c>
      <c r="Z69" s="74">
        <v>0</v>
      </c>
      <c r="AA69" s="74">
        <v>0</v>
      </c>
      <c r="AB69" s="74">
        <v>0</v>
      </c>
      <c r="AC69" s="74">
        <v>221892.24</v>
      </c>
      <c r="AD69" s="74">
        <v>11</v>
      </c>
      <c r="AE69" s="74">
        <v>1257389.43</v>
      </c>
      <c r="AF69" s="76">
        <v>0.78668014932908892</v>
      </c>
      <c r="AG69" s="74">
        <v>0</v>
      </c>
      <c r="AH69" s="74">
        <v>0</v>
      </c>
      <c r="AI69" s="74">
        <v>0</v>
      </c>
      <c r="AJ69" s="74">
        <v>221892.24</v>
      </c>
      <c r="AK69" s="74">
        <v>11</v>
      </c>
      <c r="AL69" s="74">
        <v>1257389.43</v>
      </c>
      <c r="AM69" s="77">
        <v>0.78668014932908892</v>
      </c>
      <c r="AN69" s="74">
        <v>0</v>
      </c>
      <c r="AO69" s="74">
        <v>0</v>
      </c>
      <c r="AP69" s="74">
        <v>0</v>
      </c>
      <c r="AQ69" s="74">
        <v>221892.24</v>
      </c>
      <c r="AR69" s="74">
        <v>11</v>
      </c>
      <c r="AS69" s="74">
        <v>1257389.43</v>
      </c>
      <c r="AT69" s="77">
        <v>0.78668014932908892</v>
      </c>
      <c r="AU69" s="74">
        <v>0</v>
      </c>
      <c r="AV69" s="74">
        <v>0</v>
      </c>
      <c r="AW69" s="74">
        <v>0</v>
      </c>
      <c r="AX69" s="74">
        <v>221892.24</v>
      </c>
      <c r="AY69" s="74">
        <v>11</v>
      </c>
      <c r="AZ69" s="74">
        <v>1257389.43</v>
      </c>
      <c r="BA69" s="77">
        <v>0.78668014932908892</v>
      </c>
      <c r="BB69" s="74">
        <v>0</v>
      </c>
      <c r="BC69" s="74">
        <v>0</v>
      </c>
      <c r="BD69" s="74">
        <v>0</v>
      </c>
      <c r="BE69" s="74">
        <v>221892.24</v>
      </c>
    </row>
    <row r="70" spans="1:57" ht="33.950000000000003" customHeight="1" x14ac:dyDescent="0.3">
      <c r="A70" s="34">
        <v>2</v>
      </c>
      <c r="B70" s="34" t="s">
        <v>389</v>
      </c>
      <c r="C70" s="34" t="s">
        <v>871</v>
      </c>
      <c r="D70" s="34" t="s">
        <v>529</v>
      </c>
      <c r="E70" s="34" t="s">
        <v>530</v>
      </c>
      <c r="F70" s="34" t="s">
        <v>535</v>
      </c>
      <c r="G70" s="34" t="s">
        <v>536</v>
      </c>
      <c r="H70" s="73" t="s">
        <v>539</v>
      </c>
      <c r="I70" s="39" t="s">
        <v>156</v>
      </c>
      <c r="J70" s="39" t="s">
        <v>900</v>
      </c>
      <c r="K70" s="39" t="s">
        <v>429</v>
      </c>
      <c r="L70" s="36" t="s">
        <v>540</v>
      </c>
      <c r="M70" s="37">
        <v>2</v>
      </c>
      <c r="N70" s="38"/>
      <c r="O70" s="37" t="s">
        <v>40</v>
      </c>
      <c r="P70" s="37" t="s">
        <v>414</v>
      </c>
      <c r="Q70" s="74">
        <v>3057970</v>
      </c>
      <c r="R70" s="74" t="s">
        <v>429</v>
      </c>
      <c r="S70" s="74">
        <v>3597612</v>
      </c>
      <c r="T70" s="74"/>
      <c r="U70" s="75"/>
      <c r="V70" s="74"/>
      <c r="W70" s="80"/>
      <c r="X70" s="74">
        <v>3054874.2699999996</v>
      </c>
      <c r="Y70" s="76">
        <v>0.99898765193903127</v>
      </c>
      <c r="Z70" s="74">
        <v>0</v>
      </c>
      <c r="AA70" s="74">
        <v>0</v>
      </c>
      <c r="AB70" s="74">
        <v>1814489.5</v>
      </c>
      <c r="AC70" s="74">
        <v>992645.21</v>
      </c>
      <c r="AD70" s="74">
        <v>14</v>
      </c>
      <c r="AE70" s="74">
        <v>3054874.2699999996</v>
      </c>
      <c r="AF70" s="76">
        <v>0.99898765193903127</v>
      </c>
      <c r="AG70" s="74">
        <v>0</v>
      </c>
      <c r="AH70" s="74">
        <v>0</v>
      </c>
      <c r="AI70" s="74">
        <v>1814489.5</v>
      </c>
      <c r="AJ70" s="74">
        <v>992645.21</v>
      </c>
      <c r="AK70" s="74">
        <v>14</v>
      </c>
      <c r="AL70" s="74">
        <v>3054874.2699999996</v>
      </c>
      <c r="AM70" s="77">
        <v>0.99898765193903127</v>
      </c>
      <c r="AN70" s="74">
        <v>0</v>
      </c>
      <c r="AO70" s="74">
        <v>0</v>
      </c>
      <c r="AP70" s="74">
        <v>1814489.5</v>
      </c>
      <c r="AQ70" s="74">
        <v>992645.21</v>
      </c>
      <c r="AR70" s="74">
        <v>14</v>
      </c>
      <c r="AS70" s="74">
        <v>0</v>
      </c>
      <c r="AT70" s="77">
        <v>0</v>
      </c>
      <c r="AU70" s="74">
        <v>0</v>
      </c>
      <c r="AV70" s="74">
        <v>0</v>
      </c>
      <c r="AW70" s="74">
        <v>0</v>
      </c>
      <c r="AX70" s="74">
        <v>0</v>
      </c>
      <c r="AY70" s="74">
        <v>0</v>
      </c>
      <c r="AZ70" s="74">
        <v>912195.10999999987</v>
      </c>
      <c r="BA70" s="77">
        <v>0.29830086953109414</v>
      </c>
      <c r="BB70" s="74">
        <v>0</v>
      </c>
      <c r="BC70" s="74">
        <v>0</v>
      </c>
      <c r="BD70" s="74">
        <v>476769.35</v>
      </c>
      <c r="BE70" s="74">
        <v>47492.590000000004</v>
      </c>
    </row>
    <row r="71" spans="1:57" ht="33.950000000000003" customHeight="1" x14ac:dyDescent="0.3">
      <c r="A71" s="34">
        <v>2</v>
      </c>
      <c r="B71" s="34" t="s">
        <v>389</v>
      </c>
      <c r="C71" s="34" t="s">
        <v>871</v>
      </c>
      <c r="D71" s="34" t="s">
        <v>529</v>
      </c>
      <c r="E71" s="34" t="s">
        <v>530</v>
      </c>
      <c r="F71" s="34" t="s">
        <v>541</v>
      </c>
      <c r="G71" s="34" t="s">
        <v>542</v>
      </c>
      <c r="H71" s="73" t="s">
        <v>543</v>
      </c>
      <c r="I71" s="39" t="s">
        <v>157</v>
      </c>
      <c r="J71" s="39" t="s">
        <v>901</v>
      </c>
      <c r="K71" s="39" t="s">
        <v>429</v>
      </c>
      <c r="L71" s="36" t="s">
        <v>544</v>
      </c>
      <c r="M71" s="37" t="s">
        <v>440</v>
      </c>
      <c r="N71" s="38"/>
      <c r="O71" s="37" t="s">
        <v>39</v>
      </c>
      <c r="P71" s="37" t="s">
        <v>414</v>
      </c>
      <c r="Q71" s="74">
        <v>12428625</v>
      </c>
      <c r="R71" s="74" t="s">
        <v>429</v>
      </c>
      <c r="S71" s="74">
        <v>14621912</v>
      </c>
      <c r="T71" s="74"/>
      <c r="U71" s="75"/>
      <c r="V71" s="74"/>
      <c r="W71" s="80"/>
      <c r="X71" s="74">
        <v>8149224.3399999999</v>
      </c>
      <c r="Y71" s="76">
        <v>0.65568189079644768</v>
      </c>
      <c r="Z71" s="74">
        <v>1438098.4100000001</v>
      </c>
      <c r="AA71" s="74">
        <v>0</v>
      </c>
      <c r="AB71" s="74">
        <v>0</v>
      </c>
      <c r="AC71" s="74">
        <v>0</v>
      </c>
      <c r="AD71" s="74">
        <v>2</v>
      </c>
      <c r="AE71" s="74">
        <v>8149224.3399999999</v>
      </c>
      <c r="AF71" s="76">
        <v>0.65568189079644768</v>
      </c>
      <c r="AG71" s="74">
        <v>1438098.4100000001</v>
      </c>
      <c r="AH71" s="74">
        <v>0</v>
      </c>
      <c r="AI71" s="74">
        <v>0</v>
      </c>
      <c r="AJ71" s="74">
        <v>0</v>
      </c>
      <c r="AK71" s="74">
        <v>2</v>
      </c>
      <c r="AL71" s="74">
        <v>8149224.3399999999</v>
      </c>
      <c r="AM71" s="77">
        <v>0.65568189079644768</v>
      </c>
      <c r="AN71" s="74">
        <v>1438098.4100000001</v>
      </c>
      <c r="AO71" s="74">
        <v>0</v>
      </c>
      <c r="AP71" s="74">
        <v>0</v>
      </c>
      <c r="AQ71" s="74">
        <v>0</v>
      </c>
      <c r="AR71" s="74">
        <v>2</v>
      </c>
      <c r="AS71" s="74">
        <v>0</v>
      </c>
      <c r="AT71" s="77">
        <v>0</v>
      </c>
      <c r="AU71" s="74">
        <v>0</v>
      </c>
      <c r="AV71" s="74">
        <v>0</v>
      </c>
      <c r="AW71" s="74">
        <v>0</v>
      </c>
      <c r="AX71" s="74">
        <v>0</v>
      </c>
      <c r="AY71" s="74">
        <v>0</v>
      </c>
      <c r="AZ71" s="74">
        <v>2175478.4000000004</v>
      </c>
      <c r="BA71" s="77">
        <v>0.17503773748101664</v>
      </c>
      <c r="BB71" s="74">
        <v>383907.95</v>
      </c>
      <c r="BC71" s="74">
        <v>0</v>
      </c>
      <c r="BD71" s="74">
        <v>0</v>
      </c>
      <c r="BE71" s="74">
        <v>0</v>
      </c>
    </row>
    <row r="72" spans="1:57" ht="33.950000000000003" customHeight="1" x14ac:dyDescent="0.3">
      <c r="A72" s="34">
        <v>2</v>
      </c>
      <c r="B72" s="34" t="s">
        <v>389</v>
      </c>
      <c r="C72" s="34" t="s">
        <v>871</v>
      </c>
      <c r="D72" s="34" t="s">
        <v>529</v>
      </c>
      <c r="E72" s="34" t="s">
        <v>530</v>
      </c>
      <c r="F72" s="34" t="s">
        <v>541</v>
      </c>
      <c r="G72" s="34" t="s">
        <v>542</v>
      </c>
      <c r="H72" s="73" t="s">
        <v>545</v>
      </c>
      <c r="I72" s="39" t="s">
        <v>158</v>
      </c>
      <c r="J72" s="39" t="s">
        <v>902</v>
      </c>
      <c r="K72" s="39" t="s">
        <v>429</v>
      </c>
      <c r="L72" s="36" t="s">
        <v>546</v>
      </c>
      <c r="M72" s="37">
        <v>1</v>
      </c>
      <c r="N72" s="38"/>
      <c r="O72" s="37" t="s">
        <v>39</v>
      </c>
      <c r="P72" s="37" t="s">
        <v>414</v>
      </c>
      <c r="Q72" s="74">
        <v>2500000</v>
      </c>
      <c r="R72" s="74" t="s">
        <v>429</v>
      </c>
      <c r="S72" s="74">
        <v>2941177</v>
      </c>
      <c r="T72" s="74"/>
      <c r="U72" s="75"/>
      <c r="V72" s="74"/>
      <c r="W72" s="80"/>
      <c r="X72" s="74">
        <v>2500000</v>
      </c>
      <c r="Y72" s="76">
        <v>1</v>
      </c>
      <c r="Z72" s="74">
        <v>441177</v>
      </c>
      <c r="AA72" s="74">
        <v>0</v>
      </c>
      <c r="AB72" s="74">
        <v>0</v>
      </c>
      <c r="AC72" s="74">
        <v>0</v>
      </c>
      <c r="AD72" s="74">
        <v>1</v>
      </c>
      <c r="AE72" s="74">
        <v>2500000</v>
      </c>
      <c r="AF72" s="76">
        <v>1</v>
      </c>
      <c r="AG72" s="74">
        <v>441177</v>
      </c>
      <c r="AH72" s="74">
        <v>0</v>
      </c>
      <c r="AI72" s="74">
        <v>0</v>
      </c>
      <c r="AJ72" s="74">
        <v>0</v>
      </c>
      <c r="AK72" s="74">
        <v>1</v>
      </c>
      <c r="AL72" s="74">
        <v>2500000</v>
      </c>
      <c r="AM72" s="77">
        <v>1</v>
      </c>
      <c r="AN72" s="74">
        <v>441177</v>
      </c>
      <c r="AO72" s="74">
        <v>0</v>
      </c>
      <c r="AP72" s="74">
        <v>0</v>
      </c>
      <c r="AQ72" s="74">
        <v>0</v>
      </c>
      <c r="AR72" s="74">
        <v>1</v>
      </c>
      <c r="AS72" s="74">
        <v>0</v>
      </c>
      <c r="AT72" s="77">
        <v>0</v>
      </c>
      <c r="AU72" s="74">
        <v>0</v>
      </c>
      <c r="AV72" s="74">
        <v>0</v>
      </c>
      <c r="AW72" s="74">
        <v>0</v>
      </c>
      <c r="AX72" s="74">
        <v>0</v>
      </c>
      <c r="AY72" s="74">
        <v>0</v>
      </c>
      <c r="AZ72" s="74">
        <v>372910.83</v>
      </c>
      <c r="BA72" s="77">
        <v>0.14916433200000001</v>
      </c>
      <c r="BB72" s="74">
        <v>65807.78</v>
      </c>
      <c r="BC72" s="74">
        <v>0</v>
      </c>
      <c r="BD72" s="74">
        <v>0</v>
      </c>
      <c r="BE72" s="74">
        <v>0</v>
      </c>
    </row>
    <row r="73" spans="1:57" ht="33.950000000000003" customHeight="1" x14ac:dyDescent="0.3">
      <c r="A73" s="34">
        <v>2</v>
      </c>
      <c r="B73" s="34" t="s">
        <v>389</v>
      </c>
      <c r="C73" s="34" t="s">
        <v>871</v>
      </c>
      <c r="D73" s="34" t="s">
        <v>529</v>
      </c>
      <c r="E73" s="34" t="s">
        <v>530</v>
      </c>
      <c r="F73" s="34" t="s">
        <v>541</v>
      </c>
      <c r="G73" s="34" t="s">
        <v>542</v>
      </c>
      <c r="H73" s="73" t="s">
        <v>545</v>
      </c>
      <c r="I73" s="39" t="s">
        <v>159</v>
      </c>
      <c r="J73" s="39" t="s">
        <v>903</v>
      </c>
      <c r="K73" s="39" t="s">
        <v>429</v>
      </c>
      <c r="L73" s="36" t="s">
        <v>546</v>
      </c>
      <c r="M73" s="37">
        <v>2</v>
      </c>
      <c r="N73" s="38"/>
      <c r="O73" s="37" t="s">
        <v>39</v>
      </c>
      <c r="P73" s="37" t="s">
        <v>414</v>
      </c>
      <c r="Q73" s="74">
        <v>1694262</v>
      </c>
      <c r="R73" s="74" t="s">
        <v>429</v>
      </c>
      <c r="S73" s="74">
        <v>1993250</v>
      </c>
      <c r="T73" s="74"/>
      <c r="U73" s="75"/>
      <c r="V73" s="74"/>
      <c r="W73" s="80"/>
      <c r="X73" s="74">
        <v>1694261.16</v>
      </c>
      <c r="Y73" s="76">
        <v>0.99999950420891215</v>
      </c>
      <c r="Z73" s="74">
        <v>0</v>
      </c>
      <c r="AA73" s="74">
        <v>0</v>
      </c>
      <c r="AB73" s="74">
        <v>304851.26</v>
      </c>
      <c r="AC73" s="74">
        <v>0</v>
      </c>
      <c r="AD73" s="74">
        <v>8</v>
      </c>
      <c r="AE73" s="74">
        <v>1694261.16</v>
      </c>
      <c r="AF73" s="76">
        <v>0.99999950420891215</v>
      </c>
      <c r="AG73" s="74">
        <v>0</v>
      </c>
      <c r="AH73" s="74">
        <v>0</v>
      </c>
      <c r="AI73" s="74">
        <v>304851.26</v>
      </c>
      <c r="AJ73" s="74">
        <v>0</v>
      </c>
      <c r="AK73" s="74">
        <v>8</v>
      </c>
      <c r="AL73" s="74">
        <v>1694261.16</v>
      </c>
      <c r="AM73" s="77">
        <v>0.99999950420891215</v>
      </c>
      <c r="AN73" s="74">
        <v>0</v>
      </c>
      <c r="AO73" s="74">
        <v>0</v>
      </c>
      <c r="AP73" s="74">
        <v>304851.26</v>
      </c>
      <c r="AQ73" s="74">
        <v>0</v>
      </c>
      <c r="AR73" s="74">
        <v>8</v>
      </c>
      <c r="AS73" s="74">
        <v>0</v>
      </c>
      <c r="AT73" s="77">
        <v>0</v>
      </c>
      <c r="AU73" s="74">
        <v>0</v>
      </c>
      <c r="AV73" s="74">
        <v>0</v>
      </c>
      <c r="AW73" s="74">
        <v>0</v>
      </c>
      <c r="AX73" s="74">
        <v>0</v>
      </c>
      <c r="AY73" s="74">
        <v>0</v>
      </c>
      <c r="AZ73" s="74">
        <v>500464.86</v>
      </c>
      <c r="BA73" s="77">
        <v>0.29538811588762542</v>
      </c>
      <c r="BB73" s="74">
        <v>0</v>
      </c>
      <c r="BC73" s="74">
        <v>0</v>
      </c>
      <c r="BD73" s="74">
        <v>44396.87</v>
      </c>
      <c r="BE73" s="74">
        <v>0</v>
      </c>
    </row>
    <row r="74" spans="1:57" ht="33.950000000000003" customHeight="1" x14ac:dyDescent="0.3">
      <c r="A74" s="34">
        <v>2</v>
      </c>
      <c r="B74" s="34" t="s">
        <v>389</v>
      </c>
      <c r="C74" s="34" t="s">
        <v>871</v>
      </c>
      <c r="D74" s="34" t="s">
        <v>529</v>
      </c>
      <c r="E74" s="34" t="s">
        <v>530</v>
      </c>
      <c r="F74" s="34" t="s">
        <v>541</v>
      </c>
      <c r="G74" s="34" t="s">
        <v>542</v>
      </c>
      <c r="H74" s="73" t="s">
        <v>545</v>
      </c>
      <c r="I74" s="39" t="s">
        <v>160</v>
      </c>
      <c r="J74" s="39" t="s">
        <v>904</v>
      </c>
      <c r="K74" s="39" t="s">
        <v>429</v>
      </c>
      <c r="L74" s="36" t="s">
        <v>546</v>
      </c>
      <c r="M74" s="37">
        <v>3</v>
      </c>
      <c r="N74" s="38"/>
      <c r="O74" s="37" t="s">
        <v>39</v>
      </c>
      <c r="P74" s="37" t="s">
        <v>414</v>
      </c>
      <c r="Q74" s="74">
        <v>14000000</v>
      </c>
      <c r="R74" s="74" t="s">
        <v>429</v>
      </c>
      <c r="S74" s="74">
        <v>16470589</v>
      </c>
      <c r="T74" s="74"/>
      <c r="U74" s="75"/>
      <c r="V74" s="74"/>
      <c r="W74" s="80"/>
      <c r="X74" s="74">
        <v>8309887.0300000003</v>
      </c>
      <c r="Y74" s="76">
        <v>0.59356335928571435</v>
      </c>
      <c r="Z74" s="74">
        <v>1466450.65</v>
      </c>
      <c r="AA74" s="74">
        <v>0</v>
      </c>
      <c r="AB74" s="74">
        <v>0</v>
      </c>
      <c r="AC74" s="74">
        <v>0</v>
      </c>
      <c r="AD74" s="74">
        <v>1</v>
      </c>
      <c r="AE74" s="74">
        <v>8309887.0300000003</v>
      </c>
      <c r="AF74" s="76">
        <v>0.59356335928571435</v>
      </c>
      <c r="AG74" s="74">
        <v>1466450.65</v>
      </c>
      <c r="AH74" s="74">
        <v>0</v>
      </c>
      <c r="AI74" s="74">
        <v>0</v>
      </c>
      <c r="AJ74" s="74">
        <v>0</v>
      </c>
      <c r="AK74" s="74">
        <v>1</v>
      </c>
      <c r="AL74" s="74">
        <v>8309887.0300000003</v>
      </c>
      <c r="AM74" s="77">
        <v>0.59356335928571435</v>
      </c>
      <c r="AN74" s="74">
        <v>1466450.65</v>
      </c>
      <c r="AO74" s="74">
        <v>0</v>
      </c>
      <c r="AP74" s="74">
        <v>0</v>
      </c>
      <c r="AQ74" s="74">
        <v>0</v>
      </c>
      <c r="AR74" s="74">
        <v>1</v>
      </c>
      <c r="AS74" s="74">
        <v>0</v>
      </c>
      <c r="AT74" s="77">
        <v>0</v>
      </c>
      <c r="AU74" s="74">
        <v>0</v>
      </c>
      <c r="AV74" s="74">
        <v>0</v>
      </c>
      <c r="AW74" s="74">
        <v>0</v>
      </c>
      <c r="AX74" s="74">
        <v>0</v>
      </c>
      <c r="AY74" s="74">
        <v>0</v>
      </c>
      <c r="AZ74" s="74">
        <v>102379.87999999999</v>
      </c>
      <c r="BA74" s="77">
        <v>7.3128485714285705E-3</v>
      </c>
      <c r="BB74" s="74">
        <v>18067.04</v>
      </c>
      <c r="BC74" s="74">
        <v>0</v>
      </c>
      <c r="BD74" s="74">
        <v>0</v>
      </c>
      <c r="BE74" s="74">
        <v>0</v>
      </c>
    </row>
    <row r="75" spans="1:57" ht="33.950000000000003" customHeight="1" x14ac:dyDescent="0.3">
      <c r="A75" s="34">
        <v>2</v>
      </c>
      <c r="B75" s="34" t="s">
        <v>389</v>
      </c>
      <c r="C75" s="34" t="s">
        <v>871</v>
      </c>
      <c r="D75" s="34" t="s">
        <v>529</v>
      </c>
      <c r="E75" s="34" t="s">
        <v>530</v>
      </c>
      <c r="F75" s="34" t="s">
        <v>541</v>
      </c>
      <c r="G75" s="34" t="s">
        <v>542</v>
      </c>
      <c r="H75" s="73" t="s">
        <v>545</v>
      </c>
      <c r="I75" s="39" t="s">
        <v>161</v>
      </c>
      <c r="J75" s="39" t="s">
        <v>905</v>
      </c>
      <c r="K75" s="39" t="s">
        <v>429</v>
      </c>
      <c r="L75" s="36" t="s">
        <v>546</v>
      </c>
      <c r="M75" s="37">
        <v>4</v>
      </c>
      <c r="N75" s="38"/>
      <c r="O75" s="37" t="s">
        <v>39</v>
      </c>
      <c r="P75" s="37" t="s">
        <v>414</v>
      </c>
      <c r="Q75" s="74">
        <v>9083238</v>
      </c>
      <c r="R75" s="74" t="s">
        <v>429</v>
      </c>
      <c r="S75" s="74">
        <v>10686163</v>
      </c>
      <c r="T75" s="74"/>
      <c r="U75" s="75"/>
      <c r="V75" s="74"/>
      <c r="W75" s="80"/>
      <c r="X75" s="74">
        <v>9083238</v>
      </c>
      <c r="Y75" s="76">
        <v>1</v>
      </c>
      <c r="Z75" s="74">
        <v>0</v>
      </c>
      <c r="AA75" s="74">
        <v>0</v>
      </c>
      <c r="AB75" s="74">
        <v>1342947.67</v>
      </c>
      <c r="AC75" s="74">
        <v>586916.88</v>
      </c>
      <c r="AD75" s="74">
        <v>10</v>
      </c>
      <c r="AE75" s="74">
        <v>8210138.7699999996</v>
      </c>
      <c r="AF75" s="76">
        <v>0.90387797501287537</v>
      </c>
      <c r="AG75" s="74">
        <v>0</v>
      </c>
      <c r="AH75" s="74">
        <v>0</v>
      </c>
      <c r="AI75" s="74">
        <v>1188871.3399999999</v>
      </c>
      <c r="AJ75" s="74">
        <v>586916.88</v>
      </c>
      <c r="AK75" s="74">
        <v>9</v>
      </c>
      <c r="AL75" s="74">
        <v>8210138.7699999996</v>
      </c>
      <c r="AM75" s="77">
        <v>0.90387797501287537</v>
      </c>
      <c r="AN75" s="74">
        <v>0</v>
      </c>
      <c r="AO75" s="74">
        <v>0</v>
      </c>
      <c r="AP75" s="74">
        <v>1188871.3399999999</v>
      </c>
      <c r="AQ75" s="74">
        <v>586916.88</v>
      </c>
      <c r="AR75" s="74">
        <v>9</v>
      </c>
      <c r="AS75" s="74">
        <v>0</v>
      </c>
      <c r="AT75" s="77">
        <v>0</v>
      </c>
      <c r="AU75" s="74">
        <v>0</v>
      </c>
      <c r="AV75" s="74">
        <v>0</v>
      </c>
      <c r="AW75" s="74">
        <v>0</v>
      </c>
      <c r="AX75" s="74">
        <v>0</v>
      </c>
      <c r="AY75" s="74">
        <v>0</v>
      </c>
      <c r="AZ75" s="74">
        <v>7139</v>
      </c>
      <c r="BA75" s="77">
        <v>7.8595320303178229E-4</v>
      </c>
      <c r="BB75" s="74">
        <v>0</v>
      </c>
      <c r="BC75" s="74">
        <v>0</v>
      </c>
      <c r="BD75" s="74">
        <v>0</v>
      </c>
      <c r="BE75" s="74">
        <v>0</v>
      </c>
    </row>
    <row r="76" spans="1:57" ht="33.950000000000003" customHeight="1" x14ac:dyDescent="0.3">
      <c r="A76" s="34">
        <v>2</v>
      </c>
      <c r="B76" s="34" t="s">
        <v>389</v>
      </c>
      <c r="C76" s="34" t="s">
        <v>871</v>
      </c>
      <c r="D76" s="34" t="s">
        <v>529</v>
      </c>
      <c r="E76" s="34" t="s">
        <v>530</v>
      </c>
      <c r="F76" s="34" t="s">
        <v>541</v>
      </c>
      <c r="G76" s="34" t="s">
        <v>542</v>
      </c>
      <c r="H76" s="73" t="s">
        <v>547</v>
      </c>
      <c r="I76" s="39" t="s">
        <v>162</v>
      </c>
      <c r="J76" s="39" t="s">
        <v>906</v>
      </c>
      <c r="K76" s="39" t="s">
        <v>429</v>
      </c>
      <c r="L76" s="36" t="s">
        <v>548</v>
      </c>
      <c r="M76" s="37">
        <v>1</v>
      </c>
      <c r="N76" s="38"/>
      <c r="O76" s="37" t="s">
        <v>39</v>
      </c>
      <c r="P76" s="37" t="s">
        <v>414</v>
      </c>
      <c r="Q76" s="74">
        <v>9243750</v>
      </c>
      <c r="R76" s="74" t="s">
        <v>429</v>
      </c>
      <c r="S76" s="74">
        <v>15186191</v>
      </c>
      <c r="T76" s="74"/>
      <c r="U76" s="75"/>
      <c r="V76" s="74"/>
      <c r="W76" s="80"/>
      <c r="X76" s="74">
        <v>9243750</v>
      </c>
      <c r="Y76" s="76">
        <v>1</v>
      </c>
      <c r="Z76" s="74">
        <v>1631250</v>
      </c>
      <c r="AA76" s="74">
        <v>0</v>
      </c>
      <c r="AB76" s="74">
        <v>0</v>
      </c>
      <c r="AC76" s="74">
        <v>0</v>
      </c>
      <c r="AD76" s="74">
        <v>2</v>
      </c>
      <c r="AE76" s="74">
        <v>9243750</v>
      </c>
      <c r="AF76" s="76">
        <v>1</v>
      </c>
      <c r="AG76" s="74">
        <v>1631250</v>
      </c>
      <c r="AH76" s="74">
        <v>0</v>
      </c>
      <c r="AI76" s="74">
        <v>0</v>
      </c>
      <c r="AJ76" s="74">
        <v>0</v>
      </c>
      <c r="AK76" s="74">
        <v>2</v>
      </c>
      <c r="AL76" s="74">
        <v>9243750</v>
      </c>
      <c r="AM76" s="77">
        <v>1</v>
      </c>
      <c r="AN76" s="74">
        <v>1631250</v>
      </c>
      <c r="AO76" s="74">
        <v>0</v>
      </c>
      <c r="AP76" s="74">
        <v>0</v>
      </c>
      <c r="AQ76" s="74">
        <v>0</v>
      </c>
      <c r="AR76" s="74">
        <v>2</v>
      </c>
      <c r="AS76" s="74">
        <v>0</v>
      </c>
      <c r="AT76" s="77">
        <v>0</v>
      </c>
      <c r="AU76" s="74">
        <v>0</v>
      </c>
      <c r="AV76" s="74">
        <v>0</v>
      </c>
      <c r="AW76" s="74">
        <v>0</v>
      </c>
      <c r="AX76" s="74">
        <v>0</v>
      </c>
      <c r="AY76" s="74">
        <v>0</v>
      </c>
      <c r="AZ76" s="74">
        <v>2785572.8200000003</v>
      </c>
      <c r="BA76" s="77">
        <v>0.30134662014874919</v>
      </c>
      <c r="BB76" s="74">
        <v>491571.67999999993</v>
      </c>
      <c r="BC76" s="74">
        <v>0</v>
      </c>
      <c r="BD76" s="74">
        <v>0</v>
      </c>
      <c r="BE76" s="74">
        <v>0</v>
      </c>
    </row>
    <row r="77" spans="1:57" ht="33.950000000000003" customHeight="1" x14ac:dyDescent="0.3">
      <c r="A77" s="34">
        <v>2</v>
      </c>
      <c r="B77" s="34" t="s">
        <v>389</v>
      </c>
      <c r="C77" s="34" t="s">
        <v>871</v>
      </c>
      <c r="D77" s="34" t="s">
        <v>529</v>
      </c>
      <c r="E77" s="34" t="s">
        <v>530</v>
      </c>
      <c r="F77" s="34" t="s">
        <v>541</v>
      </c>
      <c r="G77" s="34" t="s">
        <v>542</v>
      </c>
      <c r="H77" s="73" t="s">
        <v>549</v>
      </c>
      <c r="I77" s="39" t="s">
        <v>163</v>
      </c>
      <c r="J77" s="39" t="s">
        <v>907</v>
      </c>
      <c r="K77" s="39" t="s">
        <v>429</v>
      </c>
      <c r="L77" s="36" t="s">
        <v>550</v>
      </c>
      <c r="M77" s="37">
        <v>1</v>
      </c>
      <c r="N77" s="37"/>
      <c r="O77" s="37" t="s">
        <v>39</v>
      </c>
      <c r="P77" s="37" t="s">
        <v>414</v>
      </c>
      <c r="Q77" s="74">
        <v>4225717</v>
      </c>
      <c r="R77" s="74" t="s">
        <v>429</v>
      </c>
      <c r="S77" s="74">
        <v>6386915</v>
      </c>
      <c r="T77" s="74"/>
      <c r="U77" s="75"/>
      <c r="V77" s="74"/>
      <c r="W77" s="80"/>
      <c r="X77" s="74">
        <v>4225717</v>
      </c>
      <c r="Y77" s="76">
        <v>1</v>
      </c>
      <c r="Z77" s="74">
        <v>0</v>
      </c>
      <c r="AA77" s="74">
        <v>0</v>
      </c>
      <c r="AB77" s="74">
        <v>608749.34000000008</v>
      </c>
      <c r="AC77" s="74">
        <v>136965.66</v>
      </c>
      <c r="AD77" s="74">
        <v>2</v>
      </c>
      <c r="AE77" s="74">
        <v>4225717</v>
      </c>
      <c r="AF77" s="76">
        <v>1</v>
      </c>
      <c r="AG77" s="74">
        <v>0</v>
      </c>
      <c r="AH77" s="74">
        <v>0</v>
      </c>
      <c r="AI77" s="74">
        <v>608749.34000000008</v>
      </c>
      <c r="AJ77" s="74">
        <v>136965.66</v>
      </c>
      <c r="AK77" s="74">
        <v>2</v>
      </c>
      <c r="AL77" s="74">
        <v>4225717</v>
      </c>
      <c r="AM77" s="77">
        <v>1</v>
      </c>
      <c r="AN77" s="74">
        <v>0</v>
      </c>
      <c r="AO77" s="74">
        <v>0</v>
      </c>
      <c r="AP77" s="74">
        <v>608749.34000000008</v>
      </c>
      <c r="AQ77" s="74">
        <v>136965.66</v>
      </c>
      <c r="AR77" s="74">
        <v>2</v>
      </c>
      <c r="AS77" s="74">
        <v>0</v>
      </c>
      <c r="AT77" s="77">
        <v>0</v>
      </c>
      <c r="AU77" s="74">
        <v>0</v>
      </c>
      <c r="AV77" s="74">
        <v>0</v>
      </c>
      <c r="AW77" s="74">
        <v>0</v>
      </c>
      <c r="AX77" s="74">
        <v>0</v>
      </c>
      <c r="AY77" s="74">
        <v>0</v>
      </c>
      <c r="AZ77" s="74">
        <v>2200371.0599999996</v>
      </c>
      <c r="BA77" s="77">
        <v>0.5207095174617703</v>
      </c>
      <c r="BB77" s="74">
        <v>0</v>
      </c>
      <c r="BC77" s="74">
        <v>0</v>
      </c>
      <c r="BD77" s="74">
        <v>209860.47</v>
      </c>
      <c r="BE77" s="74">
        <v>87128.69</v>
      </c>
    </row>
    <row r="78" spans="1:57" ht="33.950000000000003" customHeight="1" x14ac:dyDescent="0.3">
      <c r="A78" s="34">
        <v>2</v>
      </c>
      <c r="B78" s="34" t="s">
        <v>389</v>
      </c>
      <c r="C78" s="34" t="s">
        <v>871</v>
      </c>
      <c r="D78" s="34" t="s">
        <v>529</v>
      </c>
      <c r="E78" s="34" t="s">
        <v>530</v>
      </c>
      <c r="F78" s="34" t="s">
        <v>541</v>
      </c>
      <c r="G78" s="34" t="s">
        <v>542</v>
      </c>
      <c r="H78" s="73" t="s">
        <v>549</v>
      </c>
      <c r="I78" s="39" t="s">
        <v>164</v>
      </c>
      <c r="J78" s="39" t="s">
        <v>908</v>
      </c>
      <c r="K78" s="39" t="s">
        <v>429</v>
      </c>
      <c r="L78" s="36" t="s">
        <v>550</v>
      </c>
      <c r="M78" s="37">
        <v>2</v>
      </c>
      <c r="N78" s="38"/>
      <c r="O78" s="37" t="s">
        <v>39</v>
      </c>
      <c r="P78" s="37" t="s">
        <v>414</v>
      </c>
      <c r="Q78" s="74">
        <v>845143</v>
      </c>
      <c r="R78" s="74" t="s">
        <v>429</v>
      </c>
      <c r="S78" s="74">
        <v>1277384</v>
      </c>
      <c r="T78" s="74"/>
      <c r="U78" s="75"/>
      <c r="V78" s="74"/>
      <c r="W78" s="80"/>
      <c r="X78" s="74">
        <v>845143</v>
      </c>
      <c r="Y78" s="76">
        <v>1</v>
      </c>
      <c r="Z78" s="74">
        <v>0</v>
      </c>
      <c r="AA78" s="74">
        <v>0</v>
      </c>
      <c r="AB78" s="74">
        <v>149143</v>
      </c>
      <c r="AC78" s="74">
        <v>0</v>
      </c>
      <c r="AD78" s="74">
        <v>1</v>
      </c>
      <c r="AE78" s="74">
        <v>845143</v>
      </c>
      <c r="AF78" s="76">
        <v>1</v>
      </c>
      <c r="AG78" s="74">
        <v>0</v>
      </c>
      <c r="AH78" s="74">
        <v>0</v>
      </c>
      <c r="AI78" s="74">
        <v>149143</v>
      </c>
      <c r="AJ78" s="74">
        <v>0</v>
      </c>
      <c r="AK78" s="74">
        <v>1</v>
      </c>
      <c r="AL78" s="74">
        <v>845143</v>
      </c>
      <c r="AM78" s="77">
        <v>1</v>
      </c>
      <c r="AN78" s="74">
        <v>0</v>
      </c>
      <c r="AO78" s="74">
        <v>0</v>
      </c>
      <c r="AP78" s="74">
        <v>149143</v>
      </c>
      <c r="AQ78" s="74">
        <v>0</v>
      </c>
      <c r="AR78" s="74">
        <v>1</v>
      </c>
      <c r="AS78" s="74">
        <v>0</v>
      </c>
      <c r="AT78" s="77">
        <v>0</v>
      </c>
      <c r="AU78" s="74">
        <v>0</v>
      </c>
      <c r="AV78" s="74">
        <v>0</v>
      </c>
      <c r="AW78" s="74">
        <v>0</v>
      </c>
      <c r="AX78" s="74">
        <v>0</v>
      </c>
      <c r="AY78" s="74">
        <v>0</v>
      </c>
      <c r="AZ78" s="74">
        <v>0</v>
      </c>
      <c r="BA78" s="77">
        <v>0</v>
      </c>
      <c r="BB78" s="74">
        <v>0</v>
      </c>
      <c r="BC78" s="74">
        <v>0</v>
      </c>
      <c r="BD78" s="74">
        <v>0</v>
      </c>
      <c r="BE78" s="74">
        <v>0</v>
      </c>
    </row>
    <row r="79" spans="1:57" ht="33.950000000000003" customHeight="1" x14ac:dyDescent="0.3">
      <c r="A79" s="34">
        <v>2</v>
      </c>
      <c r="B79" s="34" t="s">
        <v>389</v>
      </c>
      <c r="C79" s="34" t="s">
        <v>871</v>
      </c>
      <c r="D79" s="34" t="s">
        <v>529</v>
      </c>
      <c r="E79" s="34" t="s">
        <v>530</v>
      </c>
      <c r="F79" s="34" t="s">
        <v>541</v>
      </c>
      <c r="G79" s="34" t="s">
        <v>542</v>
      </c>
      <c r="H79" s="73" t="s">
        <v>551</v>
      </c>
      <c r="I79" s="39" t="s">
        <v>165</v>
      </c>
      <c r="J79" s="39" t="s">
        <v>909</v>
      </c>
      <c r="K79" s="39" t="s">
        <v>429</v>
      </c>
      <c r="L79" s="36" t="s">
        <v>552</v>
      </c>
      <c r="M79" s="37">
        <v>1</v>
      </c>
      <c r="N79" s="38"/>
      <c r="O79" s="37" t="s">
        <v>39</v>
      </c>
      <c r="P79" s="37" t="s">
        <v>414</v>
      </c>
      <c r="Q79" s="74">
        <v>74812</v>
      </c>
      <c r="R79" s="74" t="s">
        <v>429</v>
      </c>
      <c r="S79" s="74">
        <v>71616</v>
      </c>
      <c r="T79" s="74"/>
      <c r="U79" s="75"/>
      <c r="V79" s="74"/>
      <c r="W79" s="80"/>
      <c r="X79" s="74">
        <v>60872.1</v>
      </c>
      <c r="Y79" s="76">
        <v>0.81366759343420836</v>
      </c>
      <c r="Z79" s="74">
        <v>0</v>
      </c>
      <c r="AA79" s="74">
        <v>0</v>
      </c>
      <c r="AB79" s="74">
        <v>0</v>
      </c>
      <c r="AC79" s="74">
        <v>3216.9</v>
      </c>
      <c r="AD79" s="74">
        <v>4</v>
      </c>
      <c r="AE79" s="74">
        <v>60872.1</v>
      </c>
      <c r="AF79" s="76">
        <v>0.81366759343420836</v>
      </c>
      <c r="AG79" s="74">
        <v>0</v>
      </c>
      <c r="AH79" s="74">
        <v>0</v>
      </c>
      <c r="AI79" s="74">
        <v>0</v>
      </c>
      <c r="AJ79" s="74">
        <v>3216.9</v>
      </c>
      <c r="AK79" s="74">
        <v>4</v>
      </c>
      <c r="AL79" s="74">
        <v>60872.1</v>
      </c>
      <c r="AM79" s="77">
        <v>0.81366759343420836</v>
      </c>
      <c r="AN79" s="74">
        <v>0</v>
      </c>
      <c r="AO79" s="74">
        <v>0</v>
      </c>
      <c r="AP79" s="74">
        <v>0</v>
      </c>
      <c r="AQ79" s="74">
        <v>3216.9</v>
      </c>
      <c r="AR79" s="74">
        <v>4</v>
      </c>
      <c r="AS79" s="74">
        <v>60872.1</v>
      </c>
      <c r="AT79" s="77">
        <v>0.81366759343420836</v>
      </c>
      <c r="AU79" s="74">
        <v>0</v>
      </c>
      <c r="AV79" s="74">
        <v>0</v>
      </c>
      <c r="AW79" s="74">
        <v>0</v>
      </c>
      <c r="AX79" s="74">
        <v>3216.9</v>
      </c>
      <c r="AY79" s="74">
        <v>4</v>
      </c>
      <c r="AZ79" s="74">
        <v>60872.1</v>
      </c>
      <c r="BA79" s="77">
        <v>0.81366759343420836</v>
      </c>
      <c r="BB79" s="74">
        <v>0</v>
      </c>
      <c r="BC79" s="74">
        <v>0</v>
      </c>
      <c r="BD79" s="74">
        <v>0</v>
      </c>
      <c r="BE79" s="74">
        <v>3216.9</v>
      </c>
    </row>
    <row r="80" spans="1:57" ht="33.950000000000003" customHeight="1" x14ac:dyDescent="0.3">
      <c r="A80" s="34">
        <v>2</v>
      </c>
      <c r="B80" s="34" t="s">
        <v>389</v>
      </c>
      <c r="C80" s="34" t="s">
        <v>871</v>
      </c>
      <c r="D80" s="34" t="s">
        <v>529</v>
      </c>
      <c r="E80" s="34" t="s">
        <v>530</v>
      </c>
      <c r="F80" s="34" t="s">
        <v>541</v>
      </c>
      <c r="G80" s="34" t="s">
        <v>542</v>
      </c>
      <c r="H80" s="73" t="s">
        <v>551</v>
      </c>
      <c r="I80" s="39" t="s">
        <v>166</v>
      </c>
      <c r="J80" s="39" t="s">
        <v>910</v>
      </c>
      <c r="K80" s="39" t="s">
        <v>429</v>
      </c>
      <c r="L80" s="36" t="s">
        <v>552</v>
      </c>
      <c r="M80" s="37">
        <v>2</v>
      </c>
      <c r="N80" s="38"/>
      <c r="O80" s="37" t="s">
        <v>39</v>
      </c>
      <c r="P80" s="37" t="s">
        <v>414</v>
      </c>
      <c r="Q80" s="74">
        <v>1773172</v>
      </c>
      <c r="R80" s="74" t="s">
        <v>429</v>
      </c>
      <c r="S80" s="74">
        <v>2072456</v>
      </c>
      <c r="T80" s="74"/>
      <c r="U80" s="75"/>
      <c r="V80" s="74"/>
      <c r="W80" s="80"/>
      <c r="X80" s="74">
        <v>1761586.5699999994</v>
      </c>
      <c r="Y80" s="76">
        <v>0.99346626835975271</v>
      </c>
      <c r="Z80" s="74">
        <v>0</v>
      </c>
      <c r="AA80" s="74">
        <v>0</v>
      </c>
      <c r="AB80" s="74">
        <v>0</v>
      </c>
      <c r="AC80" s="74">
        <v>383068.92999999982</v>
      </c>
      <c r="AD80" s="74">
        <v>147</v>
      </c>
      <c r="AE80" s="74">
        <v>1761586.5699999994</v>
      </c>
      <c r="AF80" s="76">
        <v>0.99346626835975271</v>
      </c>
      <c r="AG80" s="74">
        <v>0</v>
      </c>
      <c r="AH80" s="74">
        <v>0</v>
      </c>
      <c r="AI80" s="74">
        <v>0</v>
      </c>
      <c r="AJ80" s="74">
        <v>383068.92999999982</v>
      </c>
      <c r="AK80" s="74">
        <v>147</v>
      </c>
      <c r="AL80" s="74">
        <v>1761586.5699999994</v>
      </c>
      <c r="AM80" s="77">
        <v>0.99346626835975271</v>
      </c>
      <c r="AN80" s="74">
        <v>0</v>
      </c>
      <c r="AO80" s="74">
        <v>0</v>
      </c>
      <c r="AP80" s="74">
        <v>0</v>
      </c>
      <c r="AQ80" s="74">
        <v>383068.92999999982</v>
      </c>
      <c r="AR80" s="74">
        <v>147</v>
      </c>
      <c r="AS80" s="74">
        <v>1690523.2999999993</v>
      </c>
      <c r="AT80" s="77">
        <v>0.95338934970775502</v>
      </c>
      <c r="AU80" s="74">
        <v>0</v>
      </c>
      <c r="AV80" s="74">
        <v>0</v>
      </c>
      <c r="AW80" s="74">
        <v>0</v>
      </c>
      <c r="AX80" s="74">
        <v>368057.76999999979</v>
      </c>
      <c r="AY80" s="74">
        <v>143</v>
      </c>
      <c r="AZ80" s="74">
        <v>1690523.2999999993</v>
      </c>
      <c r="BA80" s="77">
        <v>0.95338934970775502</v>
      </c>
      <c r="BB80" s="74">
        <v>0</v>
      </c>
      <c r="BC80" s="74">
        <v>0</v>
      </c>
      <c r="BD80" s="74">
        <v>0</v>
      </c>
      <c r="BE80" s="74">
        <v>368057.76999999979</v>
      </c>
    </row>
    <row r="81" spans="1:57" ht="33.950000000000003" customHeight="1" x14ac:dyDescent="0.3">
      <c r="A81" s="34">
        <v>2</v>
      </c>
      <c r="B81" s="34" t="s">
        <v>389</v>
      </c>
      <c r="C81" s="34" t="s">
        <v>871</v>
      </c>
      <c r="D81" s="34" t="s">
        <v>529</v>
      </c>
      <c r="E81" s="34" t="s">
        <v>530</v>
      </c>
      <c r="F81" s="34" t="s">
        <v>541</v>
      </c>
      <c r="G81" s="34" t="s">
        <v>542</v>
      </c>
      <c r="H81" s="73" t="s">
        <v>551</v>
      </c>
      <c r="I81" s="39" t="s">
        <v>167</v>
      </c>
      <c r="J81" s="39" t="s">
        <v>911</v>
      </c>
      <c r="K81" s="39" t="s">
        <v>429</v>
      </c>
      <c r="L81" s="36" t="s">
        <v>552</v>
      </c>
      <c r="M81" s="37">
        <v>3</v>
      </c>
      <c r="N81" s="38"/>
      <c r="O81" s="37" t="s">
        <v>39</v>
      </c>
      <c r="P81" s="37" t="s">
        <v>414</v>
      </c>
      <c r="Q81" s="74">
        <v>441289</v>
      </c>
      <c r="R81" s="74" t="s">
        <v>429</v>
      </c>
      <c r="S81" s="74">
        <v>471084</v>
      </c>
      <c r="T81" s="74"/>
      <c r="U81" s="75"/>
      <c r="V81" s="74"/>
      <c r="W81" s="80"/>
      <c r="X81" s="74">
        <v>400420.90000000037</v>
      </c>
      <c r="Y81" s="76">
        <v>0.90738926191226243</v>
      </c>
      <c r="Z81" s="74">
        <v>0</v>
      </c>
      <c r="AA81" s="74">
        <v>0</v>
      </c>
      <c r="AB81" s="74">
        <v>0</v>
      </c>
      <c r="AC81" s="74">
        <v>176037.10000000009</v>
      </c>
      <c r="AD81" s="74">
        <v>74</v>
      </c>
      <c r="AE81" s="74">
        <v>400420.90000000037</v>
      </c>
      <c r="AF81" s="76">
        <v>0.90738926191226243</v>
      </c>
      <c r="AG81" s="74">
        <v>0</v>
      </c>
      <c r="AH81" s="74">
        <v>0</v>
      </c>
      <c r="AI81" s="74">
        <v>0</v>
      </c>
      <c r="AJ81" s="74">
        <v>176037.10000000009</v>
      </c>
      <c r="AK81" s="74">
        <v>74</v>
      </c>
      <c r="AL81" s="74">
        <v>400420.90000000037</v>
      </c>
      <c r="AM81" s="77">
        <v>0.90738926191226243</v>
      </c>
      <c r="AN81" s="74">
        <v>0</v>
      </c>
      <c r="AO81" s="74">
        <v>0</v>
      </c>
      <c r="AP81" s="74">
        <v>0</v>
      </c>
      <c r="AQ81" s="74">
        <v>176037.10000000009</v>
      </c>
      <c r="AR81" s="74">
        <v>74</v>
      </c>
      <c r="AS81" s="74">
        <v>400420.90000000037</v>
      </c>
      <c r="AT81" s="77">
        <v>0.90738926191226243</v>
      </c>
      <c r="AU81" s="74">
        <v>0</v>
      </c>
      <c r="AV81" s="74">
        <v>0</v>
      </c>
      <c r="AW81" s="74">
        <v>0</v>
      </c>
      <c r="AX81" s="74">
        <v>176037.10000000009</v>
      </c>
      <c r="AY81" s="74">
        <v>74</v>
      </c>
      <c r="AZ81" s="74">
        <v>400420.90000000037</v>
      </c>
      <c r="BA81" s="77">
        <v>0.90738926191226243</v>
      </c>
      <c r="BB81" s="74">
        <v>0</v>
      </c>
      <c r="BC81" s="74">
        <v>0</v>
      </c>
      <c r="BD81" s="74">
        <v>0</v>
      </c>
      <c r="BE81" s="74">
        <v>176037.10000000009</v>
      </c>
    </row>
    <row r="82" spans="1:57" ht="33.950000000000003" customHeight="1" x14ac:dyDescent="0.3">
      <c r="A82" s="34">
        <v>2</v>
      </c>
      <c r="B82" s="34" t="s">
        <v>389</v>
      </c>
      <c r="C82" s="34" t="s">
        <v>871</v>
      </c>
      <c r="D82" s="34" t="s">
        <v>529</v>
      </c>
      <c r="E82" s="34" t="s">
        <v>530</v>
      </c>
      <c r="F82" s="34" t="s">
        <v>541</v>
      </c>
      <c r="G82" s="34" t="s">
        <v>542</v>
      </c>
      <c r="H82" s="73" t="s">
        <v>551</v>
      </c>
      <c r="I82" s="39" t="s">
        <v>168</v>
      </c>
      <c r="J82" s="39" t="s">
        <v>912</v>
      </c>
      <c r="K82" s="39" t="s">
        <v>429</v>
      </c>
      <c r="L82" s="36" t="s">
        <v>552</v>
      </c>
      <c r="M82" s="37">
        <v>4</v>
      </c>
      <c r="N82" s="38"/>
      <c r="O82" s="37" t="s">
        <v>39</v>
      </c>
      <c r="P82" s="37" t="s">
        <v>414</v>
      </c>
      <c r="Q82" s="74">
        <v>2173791</v>
      </c>
      <c r="R82" s="74" t="s">
        <v>429</v>
      </c>
      <c r="S82" s="74">
        <v>2441032</v>
      </c>
      <c r="T82" s="74"/>
      <c r="U82" s="75"/>
      <c r="V82" s="74"/>
      <c r="W82" s="80"/>
      <c r="X82" s="74">
        <v>2074876.2699999975</v>
      </c>
      <c r="Y82" s="76">
        <v>0.95449666964303259</v>
      </c>
      <c r="Z82" s="74">
        <v>0</v>
      </c>
      <c r="AA82" s="74">
        <v>0</v>
      </c>
      <c r="AB82" s="74">
        <v>0</v>
      </c>
      <c r="AC82" s="74">
        <v>519515.15999999933</v>
      </c>
      <c r="AD82" s="74">
        <v>229</v>
      </c>
      <c r="AE82" s="74">
        <v>2074876.2699999975</v>
      </c>
      <c r="AF82" s="76">
        <v>0.95449666964303259</v>
      </c>
      <c r="AG82" s="74">
        <v>0</v>
      </c>
      <c r="AH82" s="74">
        <v>0</v>
      </c>
      <c r="AI82" s="74">
        <v>0</v>
      </c>
      <c r="AJ82" s="74">
        <v>519515.15999999933</v>
      </c>
      <c r="AK82" s="74">
        <v>229</v>
      </c>
      <c r="AL82" s="74">
        <v>2074876.2699999975</v>
      </c>
      <c r="AM82" s="77">
        <v>0.95449666964303259</v>
      </c>
      <c r="AN82" s="74">
        <v>0</v>
      </c>
      <c r="AO82" s="74">
        <v>0</v>
      </c>
      <c r="AP82" s="74">
        <v>0</v>
      </c>
      <c r="AQ82" s="74">
        <v>519515.15999999933</v>
      </c>
      <c r="AR82" s="74">
        <v>229</v>
      </c>
      <c r="AS82" s="74">
        <v>1991267.8199999975</v>
      </c>
      <c r="AT82" s="77">
        <v>0.91603462338375563</v>
      </c>
      <c r="AU82" s="74">
        <v>0</v>
      </c>
      <c r="AV82" s="74">
        <v>0</v>
      </c>
      <c r="AW82" s="74">
        <v>0</v>
      </c>
      <c r="AX82" s="74">
        <v>485810.60999999935</v>
      </c>
      <c r="AY82" s="74">
        <v>220</v>
      </c>
      <c r="AZ82" s="74">
        <v>1991154.1599999976</v>
      </c>
      <c r="BA82" s="77">
        <v>0.91598233684838959</v>
      </c>
      <c r="BB82" s="74">
        <v>0</v>
      </c>
      <c r="BC82" s="74">
        <v>0</v>
      </c>
      <c r="BD82" s="74">
        <v>0</v>
      </c>
      <c r="BE82" s="74">
        <v>485696.94999999937</v>
      </c>
    </row>
    <row r="83" spans="1:57" ht="33.950000000000003" customHeight="1" x14ac:dyDescent="0.3">
      <c r="A83" s="34">
        <v>2</v>
      </c>
      <c r="B83" s="34" t="s">
        <v>389</v>
      </c>
      <c r="C83" s="34" t="s">
        <v>871</v>
      </c>
      <c r="D83" s="34" t="s">
        <v>529</v>
      </c>
      <c r="E83" s="34" t="s">
        <v>530</v>
      </c>
      <c r="F83" s="34" t="s">
        <v>541</v>
      </c>
      <c r="G83" s="34" t="s">
        <v>542</v>
      </c>
      <c r="H83" s="73" t="s">
        <v>551</v>
      </c>
      <c r="I83" s="39" t="s">
        <v>169</v>
      </c>
      <c r="J83" s="39" t="s">
        <v>913</v>
      </c>
      <c r="K83" s="39" t="s">
        <v>429</v>
      </c>
      <c r="L83" s="36" t="s">
        <v>552</v>
      </c>
      <c r="M83" s="37">
        <v>5</v>
      </c>
      <c r="N83" s="38"/>
      <c r="O83" s="37" t="s">
        <v>39</v>
      </c>
      <c r="P83" s="37" t="s">
        <v>414</v>
      </c>
      <c r="Q83" s="74">
        <v>8738786</v>
      </c>
      <c r="R83" s="74" t="s">
        <v>429</v>
      </c>
      <c r="S83" s="74">
        <v>8210160</v>
      </c>
      <c r="T83" s="74"/>
      <c r="U83" s="75"/>
      <c r="V83" s="74"/>
      <c r="W83" s="80"/>
      <c r="X83" s="74">
        <v>6951396.0100000128</v>
      </c>
      <c r="Y83" s="76">
        <v>0.79546472587840156</v>
      </c>
      <c r="Z83" s="74">
        <v>0</v>
      </c>
      <c r="AA83" s="74">
        <v>0</v>
      </c>
      <c r="AB83" s="74">
        <v>0</v>
      </c>
      <c r="AC83" s="74">
        <v>1839206.570000004</v>
      </c>
      <c r="AD83" s="74">
        <v>777</v>
      </c>
      <c r="AE83" s="74">
        <v>6870095.1100000134</v>
      </c>
      <c r="AF83" s="76">
        <v>0.78616127114224033</v>
      </c>
      <c r="AG83" s="74">
        <v>0</v>
      </c>
      <c r="AH83" s="74">
        <v>0</v>
      </c>
      <c r="AI83" s="74">
        <v>0</v>
      </c>
      <c r="AJ83" s="74">
        <v>1816830.7300000037</v>
      </c>
      <c r="AK83" s="74">
        <v>768</v>
      </c>
      <c r="AL83" s="74">
        <v>6951396.0100000128</v>
      </c>
      <c r="AM83" s="77">
        <v>0.79546472587840156</v>
      </c>
      <c r="AN83" s="74">
        <v>0</v>
      </c>
      <c r="AO83" s="74">
        <v>0</v>
      </c>
      <c r="AP83" s="74">
        <v>0</v>
      </c>
      <c r="AQ83" s="74">
        <v>1839206.570000004</v>
      </c>
      <c r="AR83" s="74">
        <v>777</v>
      </c>
      <c r="AS83" s="74">
        <v>2491338.0999999992</v>
      </c>
      <c r="AT83" s="77">
        <v>0.28508972527762999</v>
      </c>
      <c r="AU83" s="74">
        <v>0</v>
      </c>
      <c r="AV83" s="74">
        <v>0</v>
      </c>
      <c r="AW83" s="74">
        <v>0</v>
      </c>
      <c r="AX83" s="74">
        <v>659821.85</v>
      </c>
      <c r="AY83" s="74">
        <v>343</v>
      </c>
      <c r="AZ83" s="74">
        <v>2390634.8499999996</v>
      </c>
      <c r="BA83" s="77">
        <v>0.27356601363164168</v>
      </c>
      <c r="BB83" s="74">
        <v>0</v>
      </c>
      <c r="BC83" s="74">
        <v>0</v>
      </c>
      <c r="BD83" s="74">
        <v>0</v>
      </c>
      <c r="BE83" s="74">
        <v>651497.61</v>
      </c>
    </row>
    <row r="84" spans="1:57" ht="33.950000000000003" customHeight="1" x14ac:dyDescent="0.3">
      <c r="A84" s="34">
        <v>2</v>
      </c>
      <c r="B84" s="34" t="s">
        <v>389</v>
      </c>
      <c r="C84" s="34" t="s">
        <v>871</v>
      </c>
      <c r="D84" s="34" t="s">
        <v>529</v>
      </c>
      <c r="E84" s="34" t="s">
        <v>530</v>
      </c>
      <c r="F84" s="34" t="s">
        <v>541</v>
      </c>
      <c r="G84" s="34" t="s">
        <v>542</v>
      </c>
      <c r="H84" s="73" t="s">
        <v>553</v>
      </c>
      <c r="I84" s="39" t="s">
        <v>170</v>
      </c>
      <c r="J84" s="39" t="s">
        <v>914</v>
      </c>
      <c r="K84" s="39" t="s">
        <v>429</v>
      </c>
      <c r="L84" s="36" t="s">
        <v>554</v>
      </c>
      <c r="M84" s="37" t="s">
        <v>440</v>
      </c>
      <c r="N84" s="38"/>
      <c r="O84" s="37" t="s">
        <v>39</v>
      </c>
      <c r="P84" s="37" t="s">
        <v>414</v>
      </c>
      <c r="Q84" s="74">
        <v>2456090</v>
      </c>
      <c r="R84" s="74" t="s">
        <v>429</v>
      </c>
      <c r="S84" s="74">
        <v>2818325</v>
      </c>
      <c r="T84" s="74"/>
      <c r="U84" s="75"/>
      <c r="V84" s="74"/>
      <c r="W84" s="80"/>
      <c r="X84" s="74">
        <v>2395575.59</v>
      </c>
      <c r="Y84" s="76">
        <v>0.97536148512473075</v>
      </c>
      <c r="Z84" s="74">
        <v>0</v>
      </c>
      <c r="AA84" s="74">
        <v>0</v>
      </c>
      <c r="AB84" s="74">
        <v>0</v>
      </c>
      <c r="AC84" s="74">
        <v>3347995.41</v>
      </c>
      <c r="AD84" s="74">
        <v>7</v>
      </c>
      <c r="AE84" s="74">
        <v>2395575.59</v>
      </c>
      <c r="AF84" s="76">
        <v>0.97536148512473075</v>
      </c>
      <c r="AG84" s="74">
        <v>0</v>
      </c>
      <c r="AH84" s="74">
        <v>0</v>
      </c>
      <c r="AI84" s="74">
        <v>0</v>
      </c>
      <c r="AJ84" s="74">
        <v>3347995.41</v>
      </c>
      <c r="AK84" s="74">
        <v>7</v>
      </c>
      <c r="AL84" s="74">
        <v>2395575.59</v>
      </c>
      <c r="AM84" s="77">
        <v>0.97536148512473075</v>
      </c>
      <c r="AN84" s="74">
        <v>0</v>
      </c>
      <c r="AO84" s="74">
        <v>0</v>
      </c>
      <c r="AP84" s="74">
        <v>0</v>
      </c>
      <c r="AQ84" s="74">
        <v>3347995.41</v>
      </c>
      <c r="AR84" s="74">
        <v>7</v>
      </c>
      <c r="AS84" s="74">
        <v>2045117.16</v>
      </c>
      <c r="AT84" s="77">
        <v>0.83267191348851222</v>
      </c>
      <c r="AU84" s="74">
        <v>0</v>
      </c>
      <c r="AV84" s="74">
        <v>0</v>
      </c>
      <c r="AW84" s="74">
        <v>0</v>
      </c>
      <c r="AX84" s="74">
        <v>2997536.98</v>
      </c>
      <c r="AY84" s="74">
        <v>6</v>
      </c>
      <c r="AZ84" s="74">
        <v>2105994.3800000004</v>
      </c>
      <c r="BA84" s="77">
        <v>0.85745814689201139</v>
      </c>
      <c r="BB84" s="74">
        <v>0</v>
      </c>
      <c r="BC84" s="74">
        <v>0</v>
      </c>
      <c r="BD84" s="74">
        <v>0</v>
      </c>
      <c r="BE84" s="74">
        <v>2997536.9800000004</v>
      </c>
    </row>
    <row r="85" spans="1:57" ht="33.950000000000003" customHeight="1" x14ac:dyDescent="0.3">
      <c r="A85" s="34">
        <v>2</v>
      </c>
      <c r="B85" s="34" t="s">
        <v>389</v>
      </c>
      <c r="C85" s="34" t="s">
        <v>871</v>
      </c>
      <c r="D85" s="34" t="s">
        <v>555</v>
      </c>
      <c r="E85" s="34" t="s">
        <v>556</v>
      </c>
      <c r="F85" s="34" t="s">
        <v>557</v>
      </c>
      <c r="G85" s="34" t="s">
        <v>558</v>
      </c>
      <c r="H85" s="73" t="s">
        <v>559</v>
      </c>
      <c r="I85" s="39" t="s">
        <v>171</v>
      </c>
      <c r="J85" s="39" t="s">
        <v>915</v>
      </c>
      <c r="K85" s="39" t="s">
        <v>429</v>
      </c>
      <c r="L85" s="36" t="s">
        <v>560</v>
      </c>
      <c r="M85" s="37">
        <v>1</v>
      </c>
      <c r="N85" s="38"/>
      <c r="O85" s="37" t="s">
        <v>39</v>
      </c>
      <c r="P85" s="37" t="s">
        <v>412</v>
      </c>
      <c r="Q85" s="74">
        <v>10840775</v>
      </c>
      <c r="R85" s="74" t="s">
        <v>429</v>
      </c>
      <c r="S85" s="74">
        <v>12753852.77</v>
      </c>
      <c r="T85" s="74"/>
      <c r="U85" s="75"/>
      <c r="V85" s="74"/>
      <c r="W85" s="80"/>
      <c r="X85" s="74">
        <v>10840774.77</v>
      </c>
      <c r="Y85" s="76">
        <v>0.99999997878380464</v>
      </c>
      <c r="Z85" s="74">
        <v>0</v>
      </c>
      <c r="AA85" s="74">
        <v>0</v>
      </c>
      <c r="AB85" s="74">
        <v>2845201.6999999997</v>
      </c>
      <c r="AC85" s="74">
        <v>0</v>
      </c>
      <c r="AD85" s="74">
        <v>9</v>
      </c>
      <c r="AE85" s="74">
        <v>10840774.77</v>
      </c>
      <c r="AF85" s="76">
        <v>0.99999997878380464</v>
      </c>
      <c r="AG85" s="74">
        <v>0</v>
      </c>
      <c r="AH85" s="74">
        <v>0</v>
      </c>
      <c r="AI85" s="74">
        <v>2845201.6999999997</v>
      </c>
      <c r="AJ85" s="74">
        <v>0</v>
      </c>
      <c r="AK85" s="74">
        <v>9</v>
      </c>
      <c r="AL85" s="74">
        <v>10840774.77</v>
      </c>
      <c r="AM85" s="77">
        <v>0.99999997878380464</v>
      </c>
      <c r="AN85" s="74">
        <v>0</v>
      </c>
      <c r="AO85" s="74">
        <v>0</v>
      </c>
      <c r="AP85" s="74">
        <v>2845201.6999999997</v>
      </c>
      <c r="AQ85" s="74">
        <v>0</v>
      </c>
      <c r="AR85" s="74">
        <v>9</v>
      </c>
      <c r="AS85" s="74">
        <v>191353.85</v>
      </c>
      <c r="AT85" s="77">
        <v>1.76513072174268E-2</v>
      </c>
      <c r="AU85" s="74">
        <v>0</v>
      </c>
      <c r="AV85" s="74">
        <v>0</v>
      </c>
      <c r="AW85" s="74">
        <v>33768.33</v>
      </c>
      <c r="AX85" s="74">
        <v>0</v>
      </c>
      <c r="AY85" s="74">
        <v>1</v>
      </c>
      <c r="AZ85" s="74">
        <v>9757446.7299999986</v>
      </c>
      <c r="BA85" s="77">
        <v>0.9000691122175305</v>
      </c>
      <c r="BB85" s="74">
        <v>0</v>
      </c>
      <c r="BC85" s="74">
        <v>0</v>
      </c>
      <c r="BD85" s="74">
        <v>2009592.6799999997</v>
      </c>
      <c r="BE85" s="74">
        <v>0</v>
      </c>
    </row>
    <row r="86" spans="1:57" ht="33.950000000000003" customHeight="1" x14ac:dyDescent="0.3">
      <c r="A86" s="34">
        <v>2</v>
      </c>
      <c r="B86" s="34" t="s">
        <v>389</v>
      </c>
      <c r="C86" s="34" t="s">
        <v>871</v>
      </c>
      <c r="D86" s="34" t="s">
        <v>555</v>
      </c>
      <c r="E86" s="34" t="s">
        <v>556</v>
      </c>
      <c r="F86" s="34" t="s">
        <v>557</v>
      </c>
      <c r="G86" s="34" t="s">
        <v>558</v>
      </c>
      <c r="H86" s="73" t="s">
        <v>559</v>
      </c>
      <c r="I86" s="39" t="s">
        <v>172</v>
      </c>
      <c r="J86" s="39" t="s">
        <v>916</v>
      </c>
      <c r="K86" s="39" t="s">
        <v>429</v>
      </c>
      <c r="L86" s="36" t="s">
        <v>560</v>
      </c>
      <c r="M86" s="37">
        <v>2</v>
      </c>
      <c r="N86" s="38"/>
      <c r="O86" s="37" t="s">
        <v>39</v>
      </c>
      <c r="P86" s="37" t="s">
        <v>412</v>
      </c>
      <c r="Q86" s="74">
        <v>52663505</v>
      </c>
      <c r="R86" s="74" t="s">
        <v>429</v>
      </c>
      <c r="S86" s="74">
        <v>75947517.229999989</v>
      </c>
      <c r="T86" s="74"/>
      <c r="U86" s="75"/>
      <c r="V86" s="74"/>
      <c r="W86" s="80"/>
      <c r="X86" s="74">
        <v>60302633.289999992</v>
      </c>
      <c r="Y86" s="76">
        <v>1.1450554476007624</v>
      </c>
      <c r="Z86" s="74">
        <v>0</v>
      </c>
      <c r="AA86" s="74">
        <v>0</v>
      </c>
      <c r="AB86" s="74">
        <v>23293433.68</v>
      </c>
      <c r="AC86" s="74">
        <v>43032.380000000005</v>
      </c>
      <c r="AD86" s="74">
        <v>46</v>
      </c>
      <c r="AE86" s="74">
        <v>7142581.46</v>
      </c>
      <c r="AF86" s="76">
        <v>0.13562677721507521</v>
      </c>
      <c r="AG86" s="74">
        <v>0</v>
      </c>
      <c r="AH86" s="74">
        <v>0</v>
      </c>
      <c r="AI86" s="74">
        <v>1687474.42</v>
      </c>
      <c r="AJ86" s="74">
        <v>0</v>
      </c>
      <c r="AK86" s="74">
        <v>5</v>
      </c>
      <c r="AL86" s="74">
        <v>1984204.61</v>
      </c>
      <c r="AM86" s="77">
        <v>3.7677032890233948E-2</v>
      </c>
      <c r="AN86" s="74">
        <v>0</v>
      </c>
      <c r="AO86" s="74">
        <v>0</v>
      </c>
      <c r="AP86" s="74">
        <v>499155.35</v>
      </c>
      <c r="AQ86" s="74">
        <v>0</v>
      </c>
      <c r="AR86" s="74">
        <v>1</v>
      </c>
      <c r="AS86" s="74">
        <v>0</v>
      </c>
      <c r="AT86" s="77">
        <v>0</v>
      </c>
      <c r="AU86" s="74">
        <v>0</v>
      </c>
      <c r="AV86" s="74">
        <v>0</v>
      </c>
      <c r="AW86" s="74">
        <v>0</v>
      </c>
      <c r="AX86" s="74">
        <v>0</v>
      </c>
      <c r="AY86" s="74">
        <v>0</v>
      </c>
      <c r="AZ86" s="74">
        <v>0</v>
      </c>
      <c r="BA86" s="77">
        <v>0</v>
      </c>
      <c r="BB86" s="74">
        <v>0</v>
      </c>
      <c r="BC86" s="74">
        <v>0</v>
      </c>
      <c r="BD86" s="74">
        <v>0</v>
      </c>
      <c r="BE86" s="74">
        <v>0</v>
      </c>
    </row>
    <row r="87" spans="1:57" ht="33.950000000000003" customHeight="1" x14ac:dyDescent="0.3">
      <c r="A87" s="34">
        <v>2</v>
      </c>
      <c r="B87" s="34" t="s">
        <v>389</v>
      </c>
      <c r="C87" s="34" t="s">
        <v>871</v>
      </c>
      <c r="D87" s="34" t="s">
        <v>555</v>
      </c>
      <c r="E87" s="34" t="s">
        <v>556</v>
      </c>
      <c r="F87" s="34" t="s">
        <v>557</v>
      </c>
      <c r="G87" s="34" t="s">
        <v>558</v>
      </c>
      <c r="H87" s="73" t="s">
        <v>559</v>
      </c>
      <c r="I87" s="39" t="s">
        <v>173</v>
      </c>
      <c r="J87" s="39" t="s">
        <v>917</v>
      </c>
      <c r="K87" s="39" t="s">
        <v>429</v>
      </c>
      <c r="L87" s="36" t="s">
        <v>560</v>
      </c>
      <c r="M87" s="37">
        <v>3</v>
      </c>
      <c r="N87" s="38"/>
      <c r="O87" s="37" t="s">
        <v>39</v>
      </c>
      <c r="P87" s="37" t="s">
        <v>412</v>
      </c>
      <c r="Q87" s="74">
        <v>11891884</v>
      </c>
      <c r="R87" s="74" t="s">
        <v>429</v>
      </c>
      <c r="S87" s="74">
        <v>0</v>
      </c>
      <c r="T87" s="74"/>
      <c r="U87" s="75"/>
      <c r="V87" s="74"/>
      <c r="W87" s="80"/>
      <c r="X87" s="74">
        <v>0</v>
      </c>
      <c r="Y87" s="76">
        <v>0</v>
      </c>
      <c r="Z87" s="74">
        <v>0</v>
      </c>
      <c r="AA87" s="74">
        <v>0</v>
      </c>
      <c r="AB87" s="74">
        <v>0</v>
      </c>
      <c r="AC87" s="74">
        <v>0</v>
      </c>
      <c r="AD87" s="74">
        <v>0</v>
      </c>
      <c r="AE87" s="74">
        <v>0</v>
      </c>
      <c r="AF87" s="76">
        <v>0</v>
      </c>
      <c r="AG87" s="74">
        <v>0</v>
      </c>
      <c r="AH87" s="74">
        <v>0</v>
      </c>
      <c r="AI87" s="74">
        <v>0</v>
      </c>
      <c r="AJ87" s="74">
        <v>0</v>
      </c>
      <c r="AK87" s="74">
        <v>0</v>
      </c>
      <c r="AL87" s="74">
        <v>0</v>
      </c>
      <c r="AM87" s="77">
        <v>0</v>
      </c>
      <c r="AN87" s="74">
        <v>0</v>
      </c>
      <c r="AO87" s="74">
        <v>0</v>
      </c>
      <c r="AP87" s="74">
        <v>0</v>
      </c>
      <c r="AQ87" s="74">
        <v>0</v>
      </c>
      <c r="AR87" s="74">
        <v>0</v>
      </c>
      <c r="AS87" s="74">
        <v>0</v>
      </c>
      <c r="AT87" s="77">
        <v>0</v>
      </c>
      <c r="AU87" s="74">
        <v>0</v>
      </c>
      <c r="AV87" s="74">
        <v>0</v>
      </c>
      <c r="AW87" s="74">
        <v>0</v>
      </c>
      <c r="AX87" s="74">
        <v>0</v>
      </c>
      <c r="AY87" s="74">
        <v>0</v>
      </c>
      <c r="AZ87" s="74">
        <v>0</v>
      </c>
      <c r="BA87" s="77">
        <v>0</v>
      </c>
      <c r="BB87" s="74">
        <v>0</v>
      </c>
      <c r="BC87" s="74">
        <v>0</v>
      </c>
      <c r="BD87" s="74">
        <v>0</v>
      </c>
      <c r="BE87" s="74">
        <v>0</v>
      </c>
    </row>
    <row r="88" spans="1:57" ht="33.950000000000003" customHeight="1" x14ac:dyDescent="0.3">
      <c r="A88" s="34">
        <v>2</v>
      </c>
      <c r="B88" s="34" t="s">
        <v>389</v>
      </c>
      <c r="C88" s="34" t="s">
        <v>871</v>
      </c>
      <c r="D88" s="34" t="s">
        <v>555</v>
      </c>
      <c r="E88" s="34" t="s">
        <v>556</v>
      </c>
      <c r="F88" s="34" t="s">
        <v>557</v>
      </c>
      <c r="G88" s="34" t="s">
        <v>558</v>
      </c>
      <c r="H88" s="73" t="s">
        <v>561</v>
      </c>
      <c r="I88" s="39" t="s">
        <v>174</v>
      </c>
      <c r="J88" s="39" t="s">
        <v>918</v>
      </c>
      <c r="K88" s="39" t="s">
        <v>429</v>
      </c>
      <c r="L88" s="36" t="s">
        <v>562</v>
      </c>
      <c r="M88" s="37" t="s">
        <v>440</v>
      </c>
      <c r="N88" s="37"/>
      <c r="O88" s="37" t="s">
        <v>39</v>
      </c>
      <c r="P88" s="37" t="s">
        <v>412</v>
      </c>
      <c r="Q88" s="74">
        <v>22492390</v>
      </c>
      <c r="R88" s="74" t="s">
        <v>429</v>
      </c>
      <c r="S88" s="74">
        <v>26461636</v>
      </c>
      <c r="T88" s="74"/>
      <c r="U88" s="75"/>
      <c r="V88" s="74"/>
      <c r="W88" s="80"/>
      <c r="X88" s="74">
        <v>22492390</v>
      </c>
      <c r="Y88" s="76">
        <v>1</v>
      </c>
      <c r="Z88" s="74">
        <v>3969246</v>
      </c>
      <c r="AA88" s="74">
        <v>0</v>
      </c>
      <c r="AB88" s="74">
        <v>0</v>
      </c>
      <c r="AC88" s="74">
        <v>0</v>
      </c>
      <c r="AD88" s="74">
        <v>1</v>
      </c>
      <c r="AE88" s="74">
        <v>22492390</v>
      </c>
      <c r="AF88" s="76">
        <v>1</v>
      </c>
      <c r="AG88" s="74">
        <v>3969246</v>
      </c>
      <c r="AH88" s="74">
        <v>0</v>
      </c>
      <c r="AI88" s="74">
        <v>0</v>
      </c>
      <c r="AJ88" s="74">
        <v>0</v>
      </c>
      <c r="AK88" s="74">
        <v>1</v>
      </c>
      <c r="AL88" s="74">
        <v>22492390</v>
      </c>
      <c r="AM88" s="77">
        <v>1</v>
      </c>
      <c r="AN88" s="74">
        <v>3969246</v>
      </c>
      <c r="AO88" s="74">
        <v>0</v>
      </c>
      <c r="AP88" s="74">
        <v>0</v>
      </c>
      <c r="AQ88" s="74">
        <v>0</v>
      </c>
      <c r="AR88" s="74">
        <v>1</v>
      </c>
      <c r="AS88" s="74">
        <v>0</v>
      </c>
      <c r="AT88" s="77">
        <v>0</v>
      </c>
      <c r="AU88" s="74">
        <v>0</v>
      </c>
      <c r="AV88" s="74">
        <v>0</v>
      </c>
      <c r="AW88" s="74">
        <v>0</v>
      </c>
      <c r="AX88" s="74">
        <v>0</v>
      </c>
      <c r="AY88" s="74">
        <v>0</v>
      </c>
      <c r="AZ88" s="74">
        <v>3594088.56</v>
      </c>
      <c r="BA88" s="77">
        <v>0.15979131430674998</v>
      </c>
      <c r="BB88" s="74">
        <v>634250.92999999993</v>
      </c>
      <c r="BC88" s="74">
        <v>0</v>
      </c>
      <c r="BD88" s="74">
        <v>0</v>
      </c>
      <c r="BE88" s="74">
        <v>0</v>
      </c>
    </row>
    <row r="89" spans="1:57" ht="33.950000000000003" customHeight="1" x14ac:dyDescent="0.3">
      <c r="A89" s="34">
        <v>2</v>
      </c>
      <c r="B89" s="34" t="s">
        <v>389</v>
      </c>
      <c r="C89" s="34" t="s">
        <v>871</v>
      </c>
      <c r="D89" s="34" t="s">
        <v>555</v>
      </c>
      <c r="E89" s="34" t="s">
        <v>556</v>
      </c>
      <c r="F89" s="34" t="s">
        <v>557</v>
      </c>
      <c r="G89" s="34" t="s">
        <v>558</v>
      </c>
      <c r="H89" s="73" t="s">
        <v>563</v>
      </c>
      <c r="I89" s="39" t="s">
        <v>175</v>
      </c>
      <c r="J89" s="39" t="s">
        <v>919</v>
      </c>
      <c r="K89" s="39" t="s">
        <v>429</v>
      </c>
      <c r="L89" s="36" t="s">
        <v>564</v>
      </c>
      <c r="M89" s="37" t="s">
        <v>440</v>
      </c>
      <c r="N89" s="37"/>
      <c r="O89" s="37" t="s">
        <v>39</v>
      </c>
      <c r="P89" s="37" t="s">
        <v>412</v>
      </c>
      <c r="Q89" s="74">
        <v>11008322</v>
      </c>
      <c r="R89" s="74" t="s">
        <v>429</v>
      </c>
      <c r="S89" s="74">
        <v>12950968</v>
      </c>
      <c r="T89" s="74"/>
      <c r="U89" s="75"/>
      <c r="V89" s="74"/>
      <c r="W89" s="80"/>
      <c r="X89" s="74">
        <v>0</v>
      </c>
      <c r="Y89" s="76">
        <v>0</v>
      </c>
      <c r="Z89" s="74">
        <v>0</v>
      </c>
      <c r="AA89" s="74">
        <v>0</v>
      </c>
      <c r="AB89" s="74">
        <v>0</v>
      </c>
      <c r="AC89" s="74">
        <v>0</v>
      </c>
      <c r="AD89" s="74">
        <v>0</v>
      </c>
      <c r="AE89" s="74">
        <v>0</v>
      </c>
      <c r="AF89" s="76">
        <v>0</v>
      </c>
      <c r="AG89" s="74">
        <v>0</v>
      </c>
      <c r="AH89" s="74">
        <v>0</v>
      </c>
      <c r="AI89" s="74">
        <v>0</v>
      </c>
      <c r="AJ89" s="74">
        <v>0</v>
      </c>
      <c r="AK89" s="74">
        <v>0</v>
      </c>
      <c r="AL89" s="74">
        <v>0</v>
      </c>
      <c r="AM89" s="77">
        <v>0</v>
      </c>
      <c r="AN89" s="74">
        <v>0</v>
      </c>
      <c r="AO89" s="74">
        <v>0</v>
      </c>
      <c r="AP89" s="74">
        <v>0</v>
      </c>
      <c r="AQ89" s="74">
        <v>0</v>
      </c>
      <c r="AR89" s="74">
        <v>0</v>
      </c>
      <c r="AS89" s="74">
        <v>0</v>
      </c>
      <c r="AT89" s="77">
        <v>0</v>
      </c>
      <c r="AU89" s="74">
        <v>0</v>
      </c>
      <c r="AV89" s="74">
        <v>0</v>
      </c>
      <c r="AW89" s="74">
        <v>0</v>
      </c>
      <c r="AX89" s="74">
        <v>0</v>
      </c>
      <c r="AY89" s="74">
        <v>0</v>
      </c>
      <c r="AZ89" s="74">
        <v>0</v>
      </c>
      <c r="BA89" s="77">
        <v>0</v>
      </c>
      <c r="BB89" s="74">
        <v>0</v>
      </c>
      <c r="BC89" s="74">
        <v>0</v>
      </c>
      <c r="BD89" s="74">
        <v>0</v>
      </c>
      <c r="BE89" s="74">
        <v>0</v>
      </c>
    </row>
    <row r="90" spans="1:57" ht="33.950000000000003" customHeight="1" x14ac:dyDescent="0.3">
      <c r="A90" s="34">
        <v>2</v>
      </c>
      <c r="B90" s="34" t="s">
        <v>389</v>
      </c>
      <c r="C90" s="34" t="s">
        <v>871</v>
      </c>
      <c r="D90" s="34" t="s">
        <v>565</v>
      </c>
      <c r="E90" s="34" t="s">
        <v>566</v>
      </c>
      <c r="F90" s="34" t="s">
        <v>567</v>
      </c>
      <c r="G90" s="34" t="s">
        <v>568</v>
      </c>
      <c r="H90" s="73" t="s">
        <v>569</v>
      </c>
      <c r="I90" s="39" t="s">
        <v>176</v>
      </c>
      <c r="J90" s="39" t="s">
        <v>920</v>
      </c>
      <c r="K90" s="39" t="s">
        <v>429</v>
      </c>
      <c r="L90" s="36" t="s">
        <v>570</v>
      </c>
      <c r="M90" s="37">
        <v>1</v>
      </c>
      <c r="N90" s="37"/>
      <c r="O90" s="37" t="s">
        <v>40</v>
      </c>
      <c r="P90" s="37" t="s">
        <v>412</v>
      </c>
      <c r="Q90" s="74">
        <v>12544923</v>
      </c>
      <c r="R90" s="74" t="s">
        <v>429</v>
      </c>
      <c r="S90" s="74">
        <v>17707200</v>
      </c>
      <c r="T90" s="74"/>
      <c r="U90" s="75"/>
      <c r="V90" s="74"/>
      <c r="W90" s="80"/>
      <c r="X90" s="74">
        <v>12539835.15</v>
      </c>
      <c r="Y90" s="76">
        <v>0.9995944295552871</v>
      </c>
      <c r="Z90" s="74">
        <v>5167364.8499999996</v>
      </c>
      <c r="AA90" s="74">
        <v>0</v>
      </c>
      <c r="AB90" s="74">
        <v>0</v>
      </c>
      <c r="AC90" s="74">
        <v>0</v>
      </c>
      <c r="AD90" s="74">
        <v>1</v>
      </c>
      <c r="AE90" s="74">
        <v>12539835.15</v>
      </c>
      <c r="AF90" s="76">
        <v>0.9995944295552871</v>
      </c>
      <c r="AG90" s="74">
        <v>5167364.8499999996</v>
      </c>
      <c r="AH90" s="74">
        <v>0</v>
      </c>
      <c r="AI90" s="74">
        <v>0</v>
      </c>
      <c r="AJ90" s="74">
        <v>0</v>
      </c>
      <c r="AK90" s="74">
        <v>1</v>
      </c>
      <c r="AL90" s="74">
        <v>12539835.15</v>
      </c>
      <c r="AM90" s="77">
        <v>0.9995944295552871</v>
      </c>
      <c r="AN90" s="74">
        <v>5167364.8499999996</v>
      </c>
      <c r="AO90" s="74">
        <v>0</v>
      </c>
      <c r="AP90" s="74">
        <v>0</v>
      </c>
      <c r="AQ90" s="74">
        <v>0</v>
      </c>
      <c r="AR90" s="74">
        <v>1</v>
      </c>
      <c r="AS90" s="74">
        <v>12539835.15</v>
      </c>
      <c r="AT90" s="77">
        <v>0.9995944295552871</v>
      </c>
      <c r="AU90" s="74">
        <v>5167364.8499999996</v>
      </c>
      <c r="AV90" s="74">
        <v>0</v>
      </c>
      <c r="AW90" s="74">
        <v>0</v>
      </c>
      <c r="AX90" s="74">
        <v>0</v>
      </c>
      <c r="AY90" s="74">
        <v>1</v>
      </c>
      <c r="AZ90" s="74">
        <v>12539835.15</v>
      </c>
      <c r="BA90" s="77">
        <v>0.9995944295552871</v>
      </c>
      <c r="BB90" s="74">
        <v>5167364.8499999996</v>
      </c>
      <c r="BC90" s="74">
        <v>0</v>
      </c>
      <c r="BD90" s="74">
        <v>0</v>
      </c>
      <c r="BE90" s="74">
        <v>0</v>
      </c>
    </row>
    <row r="91" spans="1:57" ht="33.950000000000003" customHeight="1" x14ac:dyDescent="0.3">
      <c r="A91" s="34">
        <v>2</v>
      </c>
      <c r="B91" s="34" t="s">
        <v>389</v>
      </c>
      <c r="C91" s="34" t="s">
        <v>871</v>
      </c>
      <c r="D91" s="34" t="s">
        <v>565</v>
      </c>
      <c r="E91" s="34" t="s">
        <v>566</v>
      </c>
      <c r="F91" s="34" t="s">
        <v>567</v>
      </c>
      <c r="G91" s="34" t="s">
        <v>568</v>
      </c>
      <c r="H91" s="73" t="s">
        <v>569</v>
      </c>
      <c r="I91" s="39" t="s">
        <v>177</v>
      </c>
      <c r="J91" s="39" t="s">
        <v>921</v>
      </c>
      <c r="K91" s="39" t="s">
        <v>429</v>
      </c>
      <c r="L91" s="36" t="s">
        <v>568</v>
      </c>
      <c r="M91" s="37">
        <v>2</v>
      </c>
      <c r="N91" s="37"/>
      <c r="O91" s="37" t="s">
        <v>40</v>
      </c>
      <c r="P91" s="37" t="s">
        <v>412</v>
      </c>
      <c r="Q91" s="74">
        <v>54444719</v>
      </c>
      <c r="R91" s="74" t="s">
        <v>429</v>
      </c>
      <c r="S91" s="74">
        <v>64052611</v>
      </c>
      <c r="T91" s="74"/>
      <c r="U91" s="75"/>
      <c r="V91" s="74"/>
      <c r="W91" s="80"/>
      <c r="X91" s="74">
        <v>53979960.170000002</v>
      </c>
      <c r="Y91" s="76">
        <v>0.99146365637409206</v>
      </c>
      <c r="Z91" s="74">
        <v>9525875.3300000001</v>
      </c>
      <c r="AA91" s="74">
        <v>0</v>
      </c>
      <c r="AB91" s="74">
        <v>0</v>
      </c>
      <c r="AC91" s="74">
        <v>0</v>
      </c>
      <c r="AD91" s="74">
        <v>1</v>
      </c>
      <c r="AE91" s="74">
        <v>53979960.170000002</v>
      </c>
      <c r="AF91" s="76">
        <v>0.99146365637409206</v>
      </c>
      <c r="AG91" s="74">
        <v>9525875.3300000001</v>
      </c>
      <c r="AH91" s="74">
        <v>0</v>
      </c>
      <c r="AI91" s="74">
        <v>0</v>
      </c>
      <c r="AJ91" s="74">
        <v>0</v>
      </c>
      <c r="AK91" s="74">
        <v>1</v>
      </c>
      <c r="AL91" s="74">
        <v>53979960.170000002</v>
      </c>
      <c r="AM91" s="77">
        <v>0.99146365637409206</v>
      </c>
      <c r="AN91" s="74">
        <v>9525875.3300000001</v>
      </c>
      <c r="AO91" s="74">
        <v>0</v>
      </c>
      <c r="AP91" s="74">
        <v>0</v>
      </c>
      <c r="AQ91" s="74">
        <v>0</v>
      </c>
      <c r="AR91" s="74">
        <v>1</v>
      </c>
      <c r="AS91" s="74">
        <v>0</v>
      </c>
      <c r="AT91" s="77">
        <v>0</v>
      </c>
      <c r="AU91" s="74">
        <v>0</v>
      </c>
      <c r="AV91" s="74">
        <v>0</v>
      </c>
      <c r="AW91" s="74">
        <v>0</v>
      </c>
      <c r="AX91" s="74">
        <v>0</v>
      </c>
      <c r="AY91" s="74">
        <v>0</v>
      </c>
      <c r="AZ91" s="74">
        <v>49223712.140000001</v>
      </c>
      <c r="BA91" s="77">
        <v>0.90410443922026673</v>
      </c>
      <c r="BB91" s="74">
        <v>8686537.4399999995</v>
      </c>
      <c r="BC91" s="74">
        <v>0</v>
      </c>
      <c r="BD91" s="74">
        <v>0</v>
      </c>
      <c r="BE91" s="74">
        <v>0</v>
      </c>
    </row>
    <row r="92" spans="1:57" ht="33.950000000000003" customHeight="1" x14ac:dyDescent="0.3">
      <c r="A92" s="34">
        <v>2</v>
      </c>
      <c r="B92" s="34" t="s">
        <v>389</v>
      </c>
      <c r="C92" s="34" t="s">
        <v>871</v>
      </c>
      <c r="D92" s="34" t="s">
        <v>565</v>
      </c>
      <c r="E92" s="34" t="s">
        <v>566</v>
      </c>
      <c r="F92" s="34" t="s">
        <v>567</v>
      </c>
      <c r="G92" s="34" t="s">
        <v>568</v>
      </c>
      <c r="H92" s="73" t="s">
        <v>571</v>
      </c>
      <c r="I92" s="39" t="s">
        <v>178</v>
      </c>
      <c r="J92" s="39" t="s">
        <v>922</v>
      </c>
      <c r="K92" s="39" t="s">
        <v>429</v>
      </c>
      <c r="L92" s="36" t="s">
        <v>572</v>
      </c>
      <c r="M92" s="37" t="s">
        <v>440</v>
      </c>
      <c r="N92" s="38"/>
      <c r="O92" s="37" t="s">
        <v>40</v>
      </c>
      <c r="P92" s="37" t="s">
        <v>412</v>
      </c>
      <c r="Q92" s="74">
        <v>104608561</v>
      </c>
      <c r="R92" s="74" t="s">
        <v>429</v>
      </c>
      <c r="S92" s="74">
        <v>123068896</v>
      </c>
      <c r="T92" s="74"/>
      <c r="U92" s="75"/>
      <c r="V92" s="74"/>
      <c r="W92" s="80"/>
      <c r="X92" s="74">
        <v>104608561</v>
      </c>
      <c r="Y92" s="76">
        <v>1</v>
      </c>
      <c r="Z92" s="74">
        <v>18460335</v>
      </c>
      <c r="AA92" s="74">
        <v>0</v>
      </c>
      <c r="AB92" s="74">
        <v>0</v>
      </c>
      <c r="AC92" s="74">
        <v>0</v>
      </c>
      <c r="AD92" s="74">
        <v>2</v>
      </c>
      <c r="AE92" s="74">
        <v>104608561</v>
      </c>
      <c r="AF92" s="76">
        <v>1</v>
      </c>
      <c r="AG92" s="74">
        <v>18460335</v>
      </c>
      <c r="AH92" s="74">
        <v>0</v>
      </c>
      <c r="AI92" s="74">
        <v>0</v>
      </c>
      <c r="AJ92" s="74">
        <v>0</v>
      </c>
      <c r="AK92" s="74">
        <v>2</v>
      </c>
      <c r="AL92" s="74">
        <v>104608561</v>
      </c>
      <c r="AM92" s="77">
        <v>1</v>
      </c>
      <c r="AN92" s="74">
        <v>18460335</v>
      </c>
      <c r="AO92" s="74">
        <v>0</v>
      </c>
      <c r="AP92" s="74">
        <v>0</v>
      </c>
      <c r="AQ92" s="74">
        <v>0</v>
      </c>
      <c r="AR92" s="74">
        <v>2</v>
      </c>
      <c r="AS92" s="74">
        <v>0</v>
      </c>
      <c r="AT92" s="77">
        <v>0</v>
      </c>
      <c r="AU92" s="74">
        <v>0</v>
      </c>
      <c r="AV92" s="74">
        <v>0</v>
      </c>
      <c r="AW92" s="74">
        <v>0</v>
      </c>
      <c r="AX92" s="74">
        <v>0</v>
      </c>
      <c r="AY92" s="74">
        <v>0</v>
      </c>
      <c r="AZ92" s="74">
        <v>33263.360000000001</v>
      </c>
      <c r="BA92" s="77">
        <v>3.1797932867081498E-4</v>
      </c>
      <c r="BB92" s="74">
        <v>5870.01</v>
      </c>
      <c r="BC92" s="74">
        <v>0</v>
      </c>
      <c r="BD92" s="74">
        <v>0</v>
      </c>
      <c r="BE92" s="74">
        <v>0</v>
      </c>
    </row>
    <row r="93" spans="1:57" ht="33.950000000000003" customHeight="1" x14ac:dyDescent="0.3">
      <c r="A93" s="34">
        <v>2</v>
      </c>
      <c r="B93" s="34" t="s">
        <v>389</v>
      </c>
      <c r="C93" s="34" t="s">
        <v>871</v>
      </c>
      <c r="D93" s="34" t="s">
        <v>573</v>
      </c>
      <c r="E93" s="34" t="s">
        <v>574</v>
      </c>
      <c r="F93" s="34" t="s">
        <v>575</v>
      </c>
      <c r="G93" s="34" t="s">
        <v>576</v>
      </c>
      <c r="H93" s="73" t="s">
        <v>577</v>
      </c>
      <c r="I93" s="39" t="s">
        <v>179</v>
      </c>
      <c r="J93" s="39" t="s">
        <v>923</v>
      </c>
      <c r="K93" s="39" t="s">
        <v>429</v>
      </c>
      <c r="L93" s="36" t="s">
        <v>576</v>
      </c>
      <c r="M93" s="37" t="s">
        <v>440</v>
      </c>
      <c r="N93" s="38"/>
      <c r="O93" s="37" t="s">
        <v>39</v>
      </c>
      <c r="P93" s="37" t="s">
        <v>406</v>
      </c>
      <c r="Q93" s="74">
        <v>54884514</v>
      </c>
      <c r="R93" s="74" t="s">
        <v>429</v>
      </c>
      <c r="S93" s="74">
        <v>64570017</v>
      </c>
      <c r="T93" s="74"/>
      <c r="U93" s="75"/>
      <c r="V93" s="74"/>
      <c r="W93" s="80"/>
      <c r="X93" s="74">
        <v>54863264</v>
      </c>
      <c r="Y93" s="76">
        <v>0.99961282339131219</v>
      </c>
      <c r="Z93" s="74">
        <v>9681752.4700000007</v>
      </c>
      <c r="AA93" s="74">
        <v>0</v>
      </c>
      <c r="AB93" s="74">
        <v>0</v>
      </c>
      <c r="AC93" s="74">
        <v>20939906.390000001</v>
      </c>
      <c r="AD93" s="74">
        <v>1</v>
      </c>
      <c r="AE93" s="74">
        <v>54863264</v>
      </c>
      <c r="AF93" s="76">
        <v>0.99961282339131219</v>
      </c>
      <c r="AG93" s="74">
        <v>9681752.4700000007</v>
      </c>
      <c r="AH93" s="74">
        <v>0</v>
      </c>
      <c r="AI93" s="74">
        <v>0</v>
      </c>
      <c r="AJ93" s="74">
        <v>20939906.390000001</v>
      </c>
      <c r="AK93" s="74">
        <v>1</v>
      </c>
      <c r="AL93" s="74">
        <v>54863264</v>
      </c>
      <c r="AM93" s="77">
        <v>0.99961282339131219</v>
      </c>
      <c r="AN93" s="74">
        <v>9681752.4700000007</v>
      </c>
      <c r="AO93" s="74">
        <v>0</v>
      </c>
      <c r="AP93" s="74">
        <v>0</v>
      </c>
      <c r="AQ93" s="74">
        <v>20939906.390000001</v>
      </c>
      <c r="AR93" s="74">
        <v>1</v>
      </c>
      <c r="AS93" s="74">
        <v>0</v>
      </c>
      <c r="AT93" s="77">
        <v>0</v>
      </c>
      <c r="AU93" s="74">
        <v>0</v>
      </c>
      <c r="AV93" s="74">
        <v>0</v>
      </c>
      <c r="AW93" s="74">
        <v>0</v>
      </c>
      <c r="AX93" s="74">
        <v>0</v>
      </c>
      <c r="AY93" s="74">
        <v>0</v>
      </c>
      <c r="AZ93" s="74">
        <v>30088.36</v>
      </c>
      <c r="BA93" s="77">
        <v>5.4821219697782149E-4</v>
      </c>
      <c r="BB93" s="74">
        <v>5311.64</v>
      </c>
      <c r="BC93" s="74">
        <v>0</v>
      </c>
      <c r="BD93" s="74">
        <v>0</v>
      </c>
      <c r="BE93" s="74">
        <v>0</v>
      </c>
    </row>
    <row r="94" spans="1:57" ht="33.950000000000003" customHeight="1" x14ac:dyDescent="0.3">
      <c r="A94" s="34">
        <v>2</v>
      </c>
      <c r="B94" s="34" t="s">
        <v>389</v>
      </c>
      <c r="C94" s="34" t="s">
        <v>871</v>
      </c>
      <c r="D94" s="34" t="s">
        <v>578</v>
      </c>
      <c r="E94" s="34" t="s">
        <v>579</v>
      </c>
      <c r="F94" s="34" t="s">
        <v>580</v>
      </c>
      <c r="G94" s="34" t="s">
        <v>581</v>
      </c>
      <c r="H94" s="73" t="s">
        <v>582</v>
      </c>
      <c r="I94" s="39" t="s">
        <v>180</v>
      </c>
      <c r="J94" s="39" t="s">
        <v>924</v>
      </c>
      <c r="K94" s="39" t="s">
        <v>429</v>
      </c>
      <c r="L94" s="36" t="s">
        <v>583</v>
      </c>
      <c r="M94" s="37" t="s">
        <v>440</v>
      </c>
      <c r="N94" s="38"/>
      <c r="O94" s="37" t="s">
        <v>39</v>
      </c>
      <c r="P94" s="37" t="s">
        <v>409</v>
      </c>
      <c r="Q94" s="74">
        <v>4000000</v>
      </c>
      <c r="R94" s="74" t="s">
        <v>429</v>
      </c>
      <c r="S94" s="74">
        <v>4705883</v>
      </c>
      <c r="T94" s="74"/>
      <c r="U94" s="75"/>
      <c r="V94" s="74"/>
      <c r="W94" s="80"/>
      <c r="X94" s="74">
        <v>0</v>
      </c>
      <c r="Y94" s="76">
        <v>0</v>
      </c>
      <c r="Z94" s="74">
        <v>0</v>
      </c>
      <c r="AA94" s="74">
        <v>0</v>
      </c>
      <c r="AB94" s="74">
        <v>0</v>
      </c>
      <c r="AC94" s="74">
        <v>0</v>
      </c>
      <c r="AD94" s="74">
        <v>0</v>
      </c>
      <c r="AE94" s="74">
        <v>0</v>
      </c>
      <c r="AF94" s="76">
        <v>0</v>
      </c>
      <c r="AG94" s="74">
        <v>0</v>
      </c>
      <c r="AH94" s="74">
        <v>0</v>
      </c>
      <c r="AI94" s="74">
        <v>0</v>
      </c>
      <c r="AJ94" s="74">
        <v>0</v>
      </c>
      <c r="AK94" s="74">
        <v>0</v>
      </c>
      <c r="AL94" s="74">
        <v>0</v>
      </c>
      <c r="AM94" s="77">
        <v>0</v>
      </c>
      <c r="AN94" s="74">
        <v>0</v>
      </c>
      <c r="AO94" s="74">
        <v>0</v>
      </c>
      <c r="AP94" s="74">
        <v>0</v>
      </c>
      <c r="AQ94" s="74">
        <v>0</v>
      </c>
      <c r="AR94" s="74">
        <v>0</v>
      </c>
      <c r="AS94" s="74">
        <v>0</v>
      </c>
      <c r="AT94" s="77">
        <v>0</v>
      </c>
      <c r="AU94" s="74">
        <v>0</v>
      </c>
      <c r="AV94" s="74">
        <v>0</v>
      </c>
      <c r="AW94" s="74">
        <v>0</v>
      </c>
      <c r="AX94" s="74">
        <v>0</v>
      </c>
      <c r="AY94" s="74">
        <v>0</v>
      </c>
      <c r="AZ94" s="74">
        <v>0</v>
      </c>
      <c r="BA94" s="77">
        <v>0</v>
      </c>
      <c r="BB94" s="74">
        <v>0</v>
      </c>
      <c r="BC94" s="74">
        <v>0</v>
      </c>
      <c r="BD94" s="74">
        <v>0</v>
      </c>
      <c r="BE94" s="74">
        <v>0</v>
      </c>
    </row>
    <row r="95" spans="1:57" ht="33.950000000000003" customHeight="1" x14ac:dyDescent="0.3">
      <c r="A95" s="34">
        <v>2</v>
      </c>
      <c r="B95" s="34" t="s">
        <v>389</v>
      </c>
      <c r="C95" s="34" t="s">
        <v>871</v>
      </c>
      <c r="D95" s="34" t="s">
        <v>578</v>
      </c>
      <c r="E95" s="34" t="s">
        <v>579</v>
      </c>
      <c r="F95" s="34" t="s">
        <v>580</v>
      </c>
      <c r="G95" s="34" t="s">
        <v>581</v>
      </c>
      <c r="H95" s="73" t="s">
        <v>584</v>
      </c>
      <c r="I95" s="39" t="s">
        <v>181</v>
      </c>
      <c r="J95" s="39" t="s">
        <v>925</v>
      </c>
      <c r="K95" s="39" t="s">
        <v>429</v>
      </c>
      <c r="L95" s="36" t="s">
        <v>585</v>
      </c>
      <c r="M95" s="37" t="s">
        <v>440</v>
      </c>
      <c r="N95" s="38"/>
      <c r="O95" s="37" t="s">
        <v>39</v>
      </c>
      <c r="P95" s="37" t="s">
        <v>409</v>
      </c>
      <c r="Q95" s="74">
        <v>31000000</v>
      </c>
      <c r="R95" s="74" t="s">
        <v>429</v>
      </c>
      <c r="S95" s="74">
        <v>36470589</v>
      </c>
      <c r="T95" s="74"/>
      <c r="U95" s="75"/>
      <c r="V95" s="74"/>
      <c r="W95" s="80"/>
      <c r="X95" s="74">
        <v>0</v>
      </c>
      <c r="Y95" s="76">
        <v>0</v>
      </c>
      <c r="Z95" s="74">
        <v>0</v>
      </c>
      <c r="AA95" s="74">
        <v>0</v>
      </c>
      <c r="AB95" s="74">
        <v>0</v>
      </c>
      <c r="AC95" s="74">
        <v>0</v>
      </c>
      <c r="AD95" s="74">
        <v>0</v>
      </c>
      <c r="AE95" s="74">
        <v>0</v>
      </c>
      <c r="AF95" s="76">
        <v>0</v>
      </c>
      <c r="AG95" s="74">
        <v>0</v>
      </c>
      <c r="AH95" s="74">
        <v>0</v>
      </c>
      <c r="AI95" s="74">
        <v>0</v>
      </c>
      <c r="AJ95" s="74">
        <v>0</v>
      </c>
      <c r="AK95" s="74">
        <v>0</v>
      </c>
      <c r="AL95" s="74">
        <v>0</v>
      </c>
      <c r="AM95" s="77">
        <v>0</v>
      </c>
      <c r="AN95" s="74">
        <v>0</v>
      </c>
      <c r="AO95" s="74">
        <v>0</v>
      </c>
      <c r="AP95" s="74">
        <v>0</v>
      </c>
      <c r="AQ95" s="74">
        <v>0</v>
      </c>
      <c r="AR95" s="74">
        <v>0</v>
      </c>
      <c r="AS95" s="74">
        <v>0</v>
      </c>
      <c r="AT95" s="77">
        <v>0</v>
      </c>
      <c r="AU95" s="74">
        <v>0</v>
      </c>
      <c r="AV95" s="74">
        <v>0</v>
      </c>
      <c r="AW95" s="74">
        <v>0</v>
      </c>
      <c r="AX95" s="74">
        <v>0</v>
      </c>
      <c r="AY95" s="74">
        <v>0</v>
      </c>
      <c r="AZ95" s="74">
        <v>0</v>
      </c>
      <c r="BA95" s="77">
        <v>0</v>
      </c>
      <c r="BB95" s="74">
        <v>0</v>
      </c>
      <c r="BC95" s="74">
        <v>0</v>
      </c>
      <c r="BD95" s="74">
        <v>0</v>
      </c>
      <c r="BE95" s="74">
        <v>0</v>
      </c>
    </row>
    <row r="96" spans="1:57" ht="33.950000000000003" customHeight="1" x14ac:dyDescent="0.3">
      <c r="A96" s="34">
        <v>3</v>
      </c>
      <c r="B96" s="34" t="s">
        <v>390</v>
      </c>
      <c r="C96" s="34" t="s">
        <v>926</v>
      </c>
      <c r="D96" s="34" t="s">
        <v>586</v>
      </c>
      <c r="E96" s="34" t="s">
        <v>587</v>
      </c>
      <c r="F96" s="34" t="s">
        <v>588</v>
      </c>
      <c r="G96" s="34" t="s">
        <v>589</v>
      </c>
      <c r="H96" s="73" t="s">
        <v>590</v>
      </c>
      <c r="I96" s="39" t="s">
        <v>182</v>
      </c>
      <c r="J96" s="39" t="s">
        <v>927</v>
      </c>
      <c r="K96" s="39" t="s">
        <v>429</v>
      </c>
      <c r="L96" s="36" t="s">
        <v>589</v>
      </c>
      <c r="M96" s="37">
        <v>1</v>
      </c>
      <c r="N96" s="38"/>
      <c r="O96" s="37" t="s">
        <v>40</v>
      </c>
      <c r="P96" s="37" t="s">
        <v>412</v>
      </c>
      <c r="Q96" s="74">
        <v>100860345</v>
      </c>
      <c r="R96" s="74" t="s">
        <v>429</v>
      </c>
      <c r="S96" s="74">
        <v>118659230</v>
      </c>
      <c r="T96" s="74"/>
      <c r="U96" s="75"/>
      <c r="V96" s="74"/>
      <c r="W96" s="80"/>
      <c r="X96" s="74">
        <v>100860345</v>
      </c>
      <c r="Y96" s="76">
        <v>1</v>
      </c>
      <c r="Z96" s="74">
        <v>17798885</v>
      </c>
      <c r="AA96" s="74">
        <v>0</v>
      </c>
      <c r="AB96" s="74">
        <v>0</v>
      </c>
      <c r="AC96" s="74">
        <v>0</v>
      </c>
      <c r="AD96" s="74">
        <v>3</v>
      </c>
      <c r="AE96" s="74">
        <v>77060345</v>
      </c>
      <c r="AF96" s="76">
        <v>0.76403015476498715</v>
      </c>
      <c r="AG96" s="74">
        <v>13598885</v>
      </c>
      <c r="AH96" s="74">
        <v>0</v>
      </c>
      <c r="AI96" s="74">
        <v>0</v>
      </c>
      <c r="AJ96" s="74">
        <v>0</v>
      </c>
      <c r="AK96" s="74">
        <v>2</v>
      </c>
      <c r="AL96" s="74">
        <v>77060345</v>
      </c>
      <c r="AM96" s="77">
        <v>0.76403015476498715</v>
      </c>
      <c r="AN96" s="74">
        <v>13598885</v>
      </c>
      <c r="AO96" s="74">
        <v>0</v>
      </c>
      <c r="AP96" s="74">
        <v>0</v>
      </c>
      <c r="AQ96" s="74">
        <v>0</v>
      </c>
      <c r="AR96" s="74">
        <v>2</v>
      </c>
      <c r="AS96" s="74">
        <v>0</v>
      </c>
      <c r="AT96" s="77">
        <v>0</v>
      </c>
      <c r="AU96" s="74">
        <v>0</v>
      </c>
      <c r="AV96" s="74">
        <v>0</v>
      </c>
      <c r="AW96" s="74">
        <v>0</v>
      </c>
      <c r="AX96" s="74">
        <v>0</v>
      </c>
      <c r="AY96" s="74">
        <v>0</v>
      </c>
      <c r="AZ96" s="74">
        <v>0</v>
      </c>
      <c r="BA96" s="77">
        <v>0</v>
      </c>
      <c r="BB96" s="74">
        <v>0</v>
      </c>
      <c r="BC96" s="74">
        <v>0</v>
      </c>
      <c r="BD96" s="74">
        <v>0</v>
      </c>
      <c r="BE96" s="74">
        <v>0</v>
      </c>
    </row>
    <row r="97" spans="1:57" ht="33.950000000000003" customHeight="1" x14ac:dyDescent="0.3">
      <c r="A97" s="34">
        <v>3</v>
      </c>
      <c r="B97" s="34" t="s">
        <v>390</v>
      </c>
      <c r="C97" s="34" t="s">
        <v>926</v>
      </c>
      <c r="D97" s="34" t="s">
        <v>586</v>
      </c>
      <c r="E97" s="34" t="s">
        <v>587</v>
      </c>
      <c r="F97" s="34" t="s">
        <v>588</v>
      </c>
      <c r="G97" s="34" t="s">
        <v>589</v>
      </c>
      <c r="H97" s="73" t="s">
        <v>591</v>
      </c>
      <c r="I97" s="39" t="s">
        <v>183</v>
      </c>
      <c r="J97" s="39" t="s">
        <v>928</v>
      </c>
      <c r="K97" s="39" t="s">
        <v>429</v>
      </c>
      <c r="L97" s="36" t="s">
        <v>592</v>
      </c>
      <c r="M97" s="37">
        <v>1</v>
      </c>
      <c r="N97" s="37"/>
      <c r="O97" s="37" t="s">
        <v>40</v>
      </c>
      <c r="P97" s="37" t="s">
        <v>412</v>
      </c>
      <c r="Q97" s="74">
        <v>56077253</v>
      </c>
      <c r="R97" s="74" t="s">
        <v>429</v>
      </c>
      <c r="S97" s="74">
        <v>65973240</v>
      </c>
      <c r="T97" s="74"/>
      <c r="U97" s="75"/>
      <c r="V97" s="74"/>
      <c r="W97" s="80"/>
      <c r="X97" s="74">
        <v>56077253</v>
      </c>
      <c r="Y97" s="76">
        <v>1</v>
      </c>
      <c r="Z97" s="74">
        <v>9895987</v>
      </c>
      <c r="AA97" s="74">
        <v>0</v>
      </c>
      <c r="AB97" s="74">
        <v>0</v>
      </c>
      <c r="AC97" s="74">
        <v>0</v>
      </c>
      <c r="AD97" s="74">
        <v>4</v>
      </c>
      <c r="AE97" s="74">
        <v>56077253</v>
      </c>
      <c r="AF97" s="76">
        <v>1</v>
      </c>
      <c r="AG97" s="74">
        <v>9895987</v>
      </c>
      <c r="AH97" s="74">
        <v>0</v>
      </c>
      <c r="AI97" s="74">
        <v>0</v>
      </c>
      <c r="AJ97" s="74">
        <v>0</v>
      </c>
      <c r="AK97" s="74">
        <v>4</v>
      </c>
      <c r="AL97" s="74">
        <v>56077253</v>
      </c>
      <c r="AM97" s="77">
        <v>1</v>
      </c>
      <c r="AN97" s="74">
        <v>9895987</v>
      </c>
      <c r="AO97" s="74">
        <v>0</v>
      </c>
      <c r="AP97" s="74">
        <v>0</v>
      </c>
      <c r="AQ97" s="74">
        <v>0</v>
      </c>
      <c r="AR97" s="74">
        <v>4</v>
      </c>
      <c r="AS97" s="74">
        <v>0</v>
      </c>
      <c r="AT97" s="77">
        <v>0</v>
      </c>
      <c r="AU97" s="74">
        <v>0</v>
      </c>
      <c r="AV97" s="74">
        <v>0</v>
      </c>
      <c r="AW97" s="74">
        <v>0</v>
      </c>
      <c r="AX97" s="74">
        <v>0</v>
      </c>
      <c r="AY97" s="74">
        <v>0</v>
      </c>
      <c r="AZ97" s="74">
        <v>1524339.8</v>
      </c>
      <c r="BA97" s="77">
        <v>2.7182854338460554E-2</v>
      </c>
      <c r="BB97" s="74">
        <v>269001.14</v>
      </c>
      <c r="BC97" s="74">
        <v>0</v>
      </c>
      <c r="BD97" s="74">
        <v>0</v>
      </c>
      <c r="BE97" s="74">
        <v>0</v>
      </c>
    </row>
    <row r="98" spans="1:57" ht="33.950000000000003" customHeight="1" x14ac:dyDescent="0.3">
      <c r="A98" s="34">
        <v>3</v>
      </c>
      <c r="B98" s="34" t="s">
        <v>390</v>
      </c>
      <c r="C98" s="34" t="s">
        <v>926</v>
      </c>
      <c r="D98" s="34" t="s">
        <v>586</v>
      </c>
      <c r="E98" s="34" t="s">
        <v>587</v>
      </c>
      <c r="F98" s="34" t="s">
        <v>588</v>
      </c>
      <c r="G98" s="34" t="s">
        <v>589</v>
      </c>
      <c r="H98" s="73" t="s">
        <v>593</v>
      </c>
      <c r="I98" s="39" t="s">
        <v>184</v>
      </c>
      <c r="J98" s="39" t="s">
        <v>929</v>
      </c>
      <c r="K98" s="39" t="s">
        <v>429</v>
      </c>
      <c r="L98" s="36" t="s">
        <v>594</v>
      </c>
      <c r="M98" s="37">
        <v>1</v>
      </c>
      <c r="N98" s="38"/>
      <c r="O98" s="37" t="s">
        <v>40</v>
      </c>
      <c r="P98" s="37" t="s">
        <v>412</v>
      </c>
      <c r="Q98" s="74">
        <v>52395743</v>
      </c>
      <c r="R98" s="74" t="s">
        <v>429</v>
      </c>
      <c r="S98" s="74">
        <v>61642051</v>
      </c>
      <c r="T98" s="74"/>
      <c r="U98" s="75"/>
      <c r="V98" s="74"/>
      <c r="W98" s="80"/>
      <c r="X98" s="74">
        <v>52395743</v>
      </c>
      <c r="Y98" s="76">
        <v>1</v>
      </c>
      <c r="Z98" s="74">
        <v>0</v>
      </c>
      <c r="AA98" s="74">
        <v>0</v>
      </c>
      <c r="AB98" s="74">
        <v>0</v>
      </c>
      <c r="AC98" s="74">
        <v>9246308</v>
      </c>
      <c r="AD98" s="74">
        <v>2</v>
      </c>
      <c r="AE98" s="74">
        <v>52395743</v>
      </c>
      <c r="AF98" s="76">
        <v>1</v>
      </c>
      <c r="AG98" s="74">
        <v>0</v>
      </c>
      <c r="AH98" s="74">
        <v>0</v>
      </c>
      <c r="AI98" s="74">
        <v>0</v>
      </c>
      <c r="AJ98" s="74">
        <v>9246308</v>
      </c>
      <c r="AK98" s="74">
        <v>2</v>
      </c>
      <c r="AL98" s="74">
        <v>52395743</v>
      </c>
      <c r="AM98" s="77">
        <v>1</v>
      </c>
      <c r="AN98" s="74">
        <v>0</v>
      </c>
      <c r="AO98" s="74">
        <v>0</v>
      </c>
      <c r="AP98" s="74">
        <v>0</v>
      </c>
      <c r="AQ98" s="74">
        <v>9246308</v>
      </c>
      <c r="AR98" s="74">
        <v>2</v>
      </c>
      <c r="AS98" s="74">
        <v>0</v>
      </c>
      <c r="AT98" s="77">
        <v>0</v>
      </c>
      <c r="AU98" s="74">
        <v>0</v>
      </c>
      <c r="AV98" s="74">
        <v>0</v>
      </c>
      <c r="AW98" s="74">
        <v>0</v>
      </c>
      <c r="AX98" s="74">
        <v>0</v>
      </c>
      <c r="AY98" s="74">
        <v>0</v>
      </c>
      <c r="AZ98" s="74">
        <v>36967426.459999993</v>
      </c>
      <c r="BA98" s="77">
        <v>0.7055425563866895</v>
      </c>
      <c r="BB98" s="74">
        <v>0</v>
      </c>
      <c r="BC98" s="74">
        <v>0</v>
      </c>
      <c r="BD98" s="74">
        <v>0</v>
      </c>
      <c r="BE98" s="74">
        <v>4481826.6999999993</v>
      </c>
    </row>
    <row r="99" spans="1:57" ht="33.950000000000003" customHeight="1" x14ac:dyDescent="0.3">
      <c r="A99" s="34">
        <v>3</v>
      </c>
      <c r="B99" s="34" t="s">
        <v>390</v>
      </c>
      <c r="C99" s="34" t="s">
        <v>926</v>
      </c>
      <c r="D99" s="34" t="s">
        <v>586</v>
      </c>
      <c r="E99" s="34" t="s">
        <v>587</v>
      </c>
      <c r="F99" s="34" t="s">
        <v>588</v>
      </c>
      <c r="G99" s="34" t="s">
        <v>589</v>
      </c>
      <c r="H99" s="73" t="s">
        <v>595</v>
      </c>
      <c r="I99" s="39" t="s">
        <v>185</v>
      </c>
      <c r="J99" s="39" t="s">
        <v>930</v>
      </c>
      <c r="K99" s="39" t="s">
        <v>429</v>
      </c>
      <c r="L99" s="36" t="s">
        <v>596</v>
      </c>
      <c r="M99" s="37" t="s">
        <v>440</v>
      </c>
      <c r="N99" s="38"/>
      <c r="O99" s="37" t="s">
        <v>40</v>
      </c>
      <c r="P99" s="37" t="s">
        <v>412</v>
      </c>
      <c r="Q99" s="74">
        <v>71483894</v>
      </c>
      <c r="R99" s="74" t="s">
        <v>429</v>
      </c>
      <c r="S99" s="74">
        <v>84098699</v>
      </c>
      <c r="T99" s="74"/>
      <c r="U99" s="75"/>
      <c r="V99" s="74"/>
      <c r="W99" s="80"/>
      <c r="X99" s="74">
        <v>71483894</v>
      </c>
      <c r="Y99" s="76">
        <v>1</v>
      </c>
      <c r="Z99" s="74">
        <v>0</v>
      </c>
      <c r="AA99" s="74">
        <v>0</v>
      </c>
      <c r="AB99" s="74">
        <v>51248584.670000002</v>
      </c>
      <c r="AC99" s="74">
        <v>0</v>
      </c>
      <c r="AD99" s="74">
        <v>1</v>
      </c>
      <c r="AE99" s="74">
        <v>71483894</v>
      </c>
      <c r="AF99" s="76">
        <v>1</v>
      </c>
      <c r="AG99" s="74">
        <v>0</v>
      </c>
      <c r="AH99" s="74">
        <v>0</v>
      </c>
      <c r="AI99" s="74">
        <v>51248584.670000002</v>
      </c>
      <c r="AJ99" s="74">
        <v>0</v>
      </c>
      <c r="AK99" s="74">
        <v>1</v>
      </c>
      <c r="AL99" s="74">
        <v>71483894</v>
      </c>
      <c r="AM99" s="77">
        <v>1</v>
      </c>
      <c r="AN99" s="74">
        <v>0</v>
      </c>
      <c r="AO99" s="74">
        <v>0</v>
      </c>
      <c r="AP99" s="74">
        <v>51248584.670000002</v>
      </c>
      <c r="AQ99" s="74">
        <v>0</v>
      </c>
      <c r="AR99" s="74">
        <v>1</v>
      </c>
      <c r="AS99" s="74">
        <v>0</v>
      </c>
      <c r="AT99" s="77">
        <v>0</v>
      </c>
      <c r="AU99" s="74">
        <v>0</v>
      </c>
      <c r="AV99" s="74">
        <v>0</v>
      </c>
      <c r="AW99" s="74">
        <v>0</v>
      </c>
      <c r="AX99" s="74">
        <v>0</v>
      </c>
      <c r="AY99" s="74">
        <v>0</v>
      </c>
      <c r="AZ99" s="74">
        <v>42624395.010000005</v>
      </c>
      <c r="BA99" s="77">
        <v>0.59627970197034885</v>
      </c>
      <c r="BB99" s="74">
        <v>0</v>
      </c>
      <c r="BC99" s="74">
        <v>0</v>
      </c>
      <c r="BD99" s="74">
        <v>27422219.240000002</v>
      </c>
      <c r="BE99" s="74">
        <v>0</v>
      </c>
    </row>
    <row r="100" spans="1:57" ht="33.950000000000003" customHeight="1" x14ac:dyDescent="0.3">
      <c r="A100" s="34">
        <v>3</v>
      </c>
      <c r="B100" s="34" t="s">
        <v>390</v>
      </c>
      <c r="C100" s="34" t="s">
        <v>926</v>
      </c>
      <c r="D100" s="34" t="s">
        <v>586</v>
      </c>
      <c r="E100" s="34" t="s">
        <v>587</v>
      </c>
      <c r="F100" s="34" t="s">
        <v>588</v>
      </c>
      <c r="G100" s="34" t="s">
        <v>589</v>
      </c>
      <c r="H100" s="73" t="s">
        <v>597</v>
      </c>
      <c r="I100" s="39" t="s">
        <v>186</v>
      </c>
      <c r="J100" s="39" t="s">
        <v>931</v>
      </c>
      <c r="K100" s="39" t="s">
        <v>429</v>
      </c>
      <c r="L100" s="36" t="s">
        <v>598</v>
      </c>
      <c r="M100" s="37" t="s">
        <v>440</v>
      </c>
      <c r="N100" s="38"/>
      <c r="O100" s="37" t="s">
        <v>40</v>
      </c>
      <c r="P100" s="37" t="s">
        <v>412</v>
      </c>
      <c r="Q100" s="74">
        <v>16093145</v>
      </c>
      <c r="R100" s="74" t="s">
        <v>429</v>
      </c>
      <c r="S100" s="74">
        <v>18933112</v>
      </c>
      <c r="T100" s="74"/>
      <c r="U100" s="75"/>
      <c r="V100" s="74"/>
      <c r="W100" s="80"/>
      <c r="X100" s="74">
        <v>16093144.969999999</v>
      </c>
      <c r="Y100" s="76">
        <v>0.99999999813585216</v>
      </c>
      <c r="Z100" s="74">
        <v>0</v>
      </c>
      <c r="AA100" s="74">
        <v>0</v>
      </c>
      <c r="AB100" s="74">
        <v>2839966.7600000002</v>
      </c>
      <c r="AC100" s="74">
        <v>0</v>
      </c>
      <c r="AD100" s="74">
        <v>5</v>
      </c>
      <c r="AE100" s="74">
        <v>16093144.969999999</v>
      </c>
      <c r="AF100" s="76">
        <v>0.99999999813585216</v>
      </c>
      <c r="AG100" s="74">
        <v>0</v>
      </c>
      <c r="AH100" s="74">
        <v>0</v>
      </c>
      <c r="AI100" s="74">
        <v>2839966.7600000002</v>
      </c>
      <c r="AJ100" s="74">
        <v>0</v>
      </c>
      <c r="AK100" s="74">
        <v>5</v>
      </c>
      <c r="AL100" s="74">
        <v>16093144.969999999</v>
      </c>
      <c r="AM100" s="77">
        <v>0.99999999813585216</v>
      </c>
      <c r="AN100" s="74">
        <v>0</v>
      </c>
      <c r="AO100" s="74">
        <v>0</v>
      </c>
      <c r="AP100" s="74">
        <v>2839966.7600000002</v>
      </c>
      <c r="AQ100" s="74">
        <v>0</v>
      </c>
      <c r="AR100" s="74">
        <v>5</v>
      </c>
      <c r="AS100" s="74">
        <v>0</v>
      </c>
      <c r="AT100" s="77">
        <v>0</v>
      </c>
      <c r="AU100" s="74">
        <v>0</v>
      </c>
      <c r="AV100" s="74">
        <v>0</v>
      </c>
      <c r="AW100" s="74">
        <v>0</v>
      </c>
      <c r="AX100" s="74">
        <v>0</v>
      </c>
      <c r="AY100" s="74">
        <v>0</v>
      </c>
      <c r="AZ100" s="74">
        <v>528620.38</v>
      </c>
      <c r="BA100" s="77">
        <v>3.2847549686528019E-2</v>
      </c>
      <c r="BB100" s="74">
        <v>0</v>
      </c>
      <c r="BC100" s="74">
        <v>0</v>
      </c>
      <c r="BD100" s="74">
        <v>0</v>
      </c>
      <c r="BE100" s="74">
        <v>0</v>
      </c>
    </row>
    <row r="101" spans="1:57" ht="33.950000000000003" customHeight="1" x14ac:dyDescent="0.3">
      <c r="A101" s="34">
        <v>3</v>
      </c>
      <c r="B101" s="34" t="s">
        <v>390</v>
      </c>
      <c r="C101" s="34" t="s">
        <v>926</v>
      </c>
      <c r="D101" s="34" t="s">
        <v>586</v>
      </c>
      <c r="E101" s="34" t="s">
        <v>587</v>
      </c>
      <c r="F101" s="34" t="s">
        <v>588</v>
      </c>
      <c r="G101" s="34" t="s">
        <v>589</v>
      </c>
      <c r="H101" s="73" t="s">
        <v>599</v>
      </c>
      <c r="I101" s="39" t="s">
        <v>187</v>
      </c>
      <c r="J101" s="39" t="s">
        <v>932</v>
      </c>
      <c r="K101" s="39" t="s">
        <v>429</v>
      </c>
      <c r="L101" s="36" t="s">
        <v>600</v>
      </c>
      <c r="M101" s="37">
        <v>1</v>
      </c>
      <c r="N101" s="38"/>
      <c r="O101" s="37" t="s">
        <v>40</v>
      </c>
      <c r="P101" s="37" t="s">
        <v>412</v>
      </c>
      <c r="Q101" s="74">
        <v>8113999</v>
      </c>
      <c r="R101" s="74" t="s">
        <v>429</v>
      </c>
      <c r="S101" s="74">
        <v>9545882</v>
      </c>
      <c r="T101" s="74"/>
      <c r="U101" s="75"/>
      <c r="V101" s="74"/>
      <c r="W101" s="80"/>
      <c r="X101" s="74">
        <v>8113999</v>
      </c>
      <c r="Y101" s="76">
        <v>1</v>
      </c>
      <c r="Z101" s="74">
        <v>0</v>
      </c>
      <c r="AA101" s="74">
        <v>0</v>
      </c>
      <c r="AB101" s="74">
        <v>0</v>
      </c>
      <c r="AC101" s="74">
        <v>1431883</v>
      </c>
      <c r="AD101" s="74">
        <v>2</v>
      </c>
      <c r="AE101" s="74">
        <v>8113999</v>
      </c>
      <c r="AF101" s="76">
        <v>1</v>
      </c>
      <c r="AG101" s="74">
        <v>0</v>
      </c>
      <c r="AH101" s="74">
        <v>0</v>
      </c>
      <c r="AI101" s="74">
        <v>0</v>
      </c>
      <c r="AJ101" s="74">
        <v>1431883</v>
      </c>
      <c r="AK101" s="74">
        <v>2</v>
      </c>
      <c r="AL101" s="74">
        <v>8113999</v>
      </c>
      <c r="AM101" s="77">
        <v>1</v>
      </c>
      <c r="AN101" s="74">
        <v>0</v>
      </c>
      <c r="AO101" s="74">
        <v>0</v>
      </c>
      <c r="AP101" s="74">
        <v>0</v>
      </c>
      <c r="AQ101" s="74">
        <v>1431883</v>
      </c>
      <c r="AR101" s="74">
        <v>2</v>
      </c>
      <c r="AS101" s="74">
        <v>0</v>
      </c>
      <c r="AT101" s="77">
        <v>0</v>
      </c>
      <c r="AU101" s="74">
        <v>0</v>
      </c>
      <c r="AV101" s="74">
        <v>0</v>
      </c>
      <c r="AW101" s="74">
        <v>0</v>
      </c>
      <c r="AX101" s="74">
        <v>0</v>
      </c>
      <c r="AY101" s="74">
        <v>0</v>
      </c>
      <c r="AZ101" s="74">
        <v>1782305.0099999998</v>
      </c>
      <c r="BA101" s="77">
        <v>0.2196580268249971</v>
      </c>
      <c r="BB101" s="74">
        <v>0</v>
      </c>
      <c r="BC101" s="74">
        <v>0</v>
      </c>
      <c r="BD101" s="74">
        <v>0</v>
      </c>
      <c r="BE101" s="74">
        <v>99742.09</v>
      </c>
    </row>
    <row r="102" spans="1:57" ht="33.950000000000003" customHeight="1" x14ac:dyDescent="0.3">
      <c r="A102" s="34">
        <v>3</v>
      </c>
      <c r="B102" s="34" t="s">
        <v>390</v>
      </c>
      <c r="C102" s="34" t="s">
        <v>926</v>
      </c>
      <c r="D102" s="34" t="s">
        <v>586</v>
      </c>
      <c r="E102" s="34" t="s">
        <v>587</v>
      </c>
      <c r="F102" s="34" t="s">
        <v>588</v>
      </c>
      <c r="G102" s="34" t="s">
        <v>589</v>
      </c>
      <c r="H102" s="73" t="s">
        <v>601</v>
      </c>
      <c r="I102" s="39" t="s">
        <v>188</v>
      </c>
      <c r="J102" s="39" t="s">
        <v>933</v>
      </c>
      <c r="K102" s="39" t="s">
        <v>429</v>
      </c>
      <c r="L102" s="36" t="s">
        <v>602</v>
      </c>
      <c r="M102" s="37" t="s">
        <v>440</v>
      </c>
      <c r="N102" s="38"/>
      <c r="O102" s="37" t="s">
        <v>40</v>
      </c>
      <c r="P102" s="37" t="s">
        <v>321</v>
      </c>
      <c r="Q102" s="74">
        <v>32686570</v>
      </c>
      <c r="R102" s="74" t="s">
        <v>429</v>
      </c>
      <c r="S102" s="74">
        <v>38454791</v>
      </c>
      <c r="T102" s="74"/>
      <c r="U102" s="75"/>
      <c r="V102" s="74"/>
      <c r="W102" s="80"/>
      <c r="X102" s="74">
        <v>30368364</v>
      </c>
      <c r="Y102" s="76">
        <v>0.92907772213480955</v>
      </c>
      <c r="Z102" s="74">
        <v>5359125</v>
      </c>
      <c r="AA102" s="74">
        <v>0</v>
      </c>
      <c r="AB102" s="74">
        <v>0</v>
      </c>
      <c r="AC102" s="74">
        <v>0</v>
      </c>
      <c r="AD102" s="74">
        <v>3</v>
      </c>
      <c r="AE102" s="74">
        <v>30368364</v>
      </c>
      <c r="AF102" s="76">
        <v>0.92907772213480955</v>
      </c>
      <c r="AG102" s="74">
        <v>5359125</v>
      </c>
      <c r="AH102" s="74">
        <v>0</v>
      </c>
      <c r="AI102" s="74">
        <v>0</v>
      </c>
      <c r="AJ102" s="74">
        <v>0</v>
      </c>
      <c r="AK102" s="74">
        <v>3</v>
      </c>
      <c r="AL102" s="74">
        <v>30368364</v>
      </c>
      <c r="AM102" s="77">
        <v>0.92907772213480955</v>
      </c>
      <c r="AN102" s="74">
        <v>5359125</v>
      </c>
      <c r="AO102" s="74">
        <v>0</v>
      </c>
      <c r="AP102" s="74">
        <v>0</v>
      </c>
      <c r="AQ102" s="74">
        <v>0</v>
      </c>
      <c r="AR102" s="74">
        <v>3</v>
      </c>
      <c r="AS102" s="74">
        <v>0</v>
      </c>
      <c r="AT102" s="77">
        <v>0</v>
      </c>
      <c r="AU102" s="74">
        <v>0</v>
      </c>
      <c r="AV102" s="74">
        <v>0</v>
      </c>
      <c r="AW102" s="74">
        <v>0</v>
      </c>
      <c r="AX102" s="74">
        <v>0</v>
      </c>
      <c r="AY102" s="74">
        <v>0</v>
      </c>
      <c r="AZ102" s="74">
        <v>1521871.3100000003</v>
      </c>
      <c r="BA102" s="77">
        <v>4.6559529188899301E-2</v>
      </c>
      <c r="BB102" s="74">
        <v>268565.51</v>
      </c>
      <c r="BC102" s="74">
        <v>0</v>
      </c>
      <c r="BD102" s="74">
        <v>0</v>
      </c>
      <c r="BE102" s="74">
        <v>0</v>
      </c>
    </row>
    <row r="103" spans="1:57" ht="33.950000000000003" customHeight="1" x14ac:dyDescent="0.3">
      <c r="A103" s="34">
        <v>3</v>
      </c>
      <c r="B103" s="34" t="s">
        <v>390</v>
      </c>
      <c r="C103" s="34" t="s">
        <v>926</v>
      </c>
      <c r="D103" s="34" t="s">
        <v>379</v>
      </c>
      <c r="E103" s="34" t="s">
        <v>603</v>
      </c>
      <c r="F103" s="34" t="s">
        <v>604</v>
      </c>
      <c r="G103" s="34" t="s">
        <v>603</v>
      </c>
      <c r="H103" s="73" t="s">
        <v>605</v>
      </c>
      <c r="I103" s="39" t="s">
        <v>189</v>
      </c>
      <c r="J103" s="39" t="s">
        <v>934</v>
      </c>
      <c r="K103" s="39" t="s">
        <v>429</v>
      </c>
      <c r="L103" s="36" t="s">
        <v>603</v>
      </c>
      <c r="M103" s="37" t="s">
        <v>440</v>
      </c>
      <c r="N103" s="38"/>
      <c r="O103" s="37" t="s">
        <v>39</v>
      </c>
      <c r="P103" s="37" t="s">
        <v>412</v>
      </c>
      <c r="Q103" s="74">
        <v>1954863</v>
      </c>
      <c r="R103" s="74" t="s">
        <v>429</v>
      </c>
      <c r="S103" s="74">
        <v>2299839</v>
      </c>
      <c r="T103" s="74"/>
      <c r="U103" s="75"/>
      <c r="V103" s="74"/>
      <c r="W103" s="80"/>
      <c r="X103" s="74">
        <v>1954863</v>
      </c>
      <c r="Y103" s="76">
        <v>1</v>
      </c>
      <c r="Z103" s="74">
        <v>0</v>
      </c>
      <c r="AA103" s="74">
        <v>0</v>
      </c>
      <c r="AB103" s="74">
        <v>0</v>
      </c>
      <c r="AC103" s="74">
        <v>465637</v>
      </c>
      <c r="AD103" s="74">
        <v>1</v>
      </c>
      <c r="AE103" s="74">
        <v>1954863</v>
      </c>
      <c r="AF103" s="76">
        <v>1</v>
      </c>
      <c r="AG103" s="74">
        <v>0</v>
      </c>
      <c r="AH103" s="74">
        <v>0</v>
      </c>
      <c r="AI103" s="74">
        <v>0</v>
      </c>
      <c r="AJ103" s="74">
        <v>465637</v>
      </c>
      <c r="AK103" s="74">
        <v>1</v>
      </c>
      <c r="AL103" s="74">
        <v>1954863</v>
      </c>
      <c r="AM103" s="77">
        <v>1</v>
      </c>
      <c r="AN103" s="74">
        <v>0</v>
      </c>
      <c r="AO103" s="74">
        <v>0</v>
      </c>
      <c r="AP103" s="74">
        <v>0</v>
      </c>
      <c r="AQ103" s="74">
        <v>465637</v>
      </c>
      <c r="AR103" s="74">
        <v>1</v>
      </c>
      <c r="AS103" s="74">
        <v>0</v>
      </c>
      <c r="AT103" s="77">
        <v>0</v>
      </c>
      <c r="AU103" s="74">
        <v>0</v>
      </c>
      <c r="AV103" s="74">
        <v>0</v>
      </c>
      <c r="AW103" s="74">
        <v>0</v>
      </c>
      <c r="AX103" s="74">
        <v>0</v>
      </c>
      <c r="AY103" s="74">
        <v>0</v>
      </c>
      <c r="AZ103" s="74">
        <v>0</v>
      </c>
      <c r="BA103" s="77">
        <v>0</v>
      </c>
      <c r="BB103" s="74">
        <v>0</v>
      </c>
      <c r="BC103" s="74">
        <v>0</v>
      </c>
      <c r="BD103" s="74">
        <v>0</v>
      </c>
      <c r="BE103" s="74">
        <v>0</v>
      </c>
    </row>
    <row r="104" spans="1:57" ht="33.950000000000003" customHeight="1" x14ac:dyDescent="0.3">
      <c r="A104" s="34">
        <v>3</v>
      </c>
      <c r="B104" s="34" t="s">
        <v>390</v>
      </c>
      <c r="C104" s="34" t="s">
        <v>926</v>
      </c>
      <c r="D104" s="34" t="s">
        <v>379</v>
      </c>
      <c r="E104" s="34" t="s">
        <v>603</v>
      </c>
      <c r="F104" s="34" t="s">
        <v>604</v>
      </c>
      <c r="G104" s="34" t="s">
        <v>603</v>
      </c>
      <c r="H104" s="73" t="s">
        <v>606</v>
      </c>
      <c r="I104" s="39" t="s">
        <v>190</v>
      </c>
      <c r="J104" s="39" t="s">
        <v>935</v>
      </c>
      <c r="K104" s="39" t="s">
        <v>429</v>
      </c>
      <c r="L104" s="36" t="s">
        <v>603</v>
      </c>
      <c r="M104" s="37" t="s">
        <v>440</v>
      </c>
      <c r="N104" s="37"/>
      <c r="O104" s="37" t="s">
        <v>39</v>
      </c>
      <c r="P104" s="37" t="s">
        <v>412</v>
      </c>
      <c r="Q104" s="74">
        <v>4323627</v>
      </c>
      <c r="R104" s="74" t="s">
        <v>429</v>
      </c>
      <c r="S104" s="74">
        <v>5086621</v>
      </c>
      <c r="T104" s="74"/>
      <c r="U104" s="75"/>
      <c r="V104" s="74"/>
      <c r="W104" s="80"/>
      <c r="X104" s="74">
        <v>4323627</v>
      </c>
      <c r="Y104" s="76">
        <v>1</v>
      </c>
      <c r="Z104" s="74">
        <v>0</v>
      </c>
      <c r="AA104" s="74">
        <v>0</v>
      </c>
      <c r="AB104" s="74">
        <v>3861223</v>
      </c>
      <c r="AC104" s="74">
        <v>0</v>
      </c>
      <c r="AD104" s="74">
        <v>1</v>
      </c>
      <c r="AE104" s="74">
        <v>4323627</v>
      </c>
      <c r="AF104" s="76">
        <v>1</v>
      </c>
      <c r="AG104" s="74">
        <v>0</v>
      </c>
      <c r="AH104" s="74">
        <v>0</v>
      </c>
      <c r="AI104" s="74">
        <v>3861223</v>
      </c>
      <c r="AJ104" s="74">
        <v>0</v>
      </c>
      <c r="AK104" s="74">
        <v>1</v>
      </c>
      <c r="AL104" s="74">
        <v>4323627</v>
      </c>
      <c r="AM104" s="77">
        <v>1</v>
      </c>
      <c r="AN104" s="74">
        <v>0</v>
      </c>
      <c r="AO104" s="74">
        <v>0</v>
      </c>
      <c r="AP104" s="74">
        <v>3861223</v>
      </c>
      <c r="AQ104" s="74">
        <v>0</v>
      </c>
      <c r="AR104" s="74">
        <v>1</v>
      </c>
      <c r="AS104" s="74">
        <v>0</v>
      </c>
      <c r="AT104" s="77">
        <v>0</v>
      </c>
      <c r="AU104" s="74">
        <v>0</v>
      </c>
      <c r="AV104" s="74">
        <v>0</v>
      </c>
      <c r="AW104" s="74">
        <v>0</v>
      </c>
      <c r="AX104" s="74">
        <v>0</v>
      </c>
      <c r="AY104" s="74">
        <v>0</v>
      </c>
      <c r="AZ104" s="74">
        <v>0</v>
      </c>
      <c r="BA104" s="77">
        <v>0</v>
      </c>
      <c r="BB104" s="74">
        <v>0</v>
      </c>
      <c r="BC104" s="74">
        <v>0</v>
      </c>
      <c r="BD104" s="74">
        <v>0</v>
      </c>
      <c r="BE104" s="74">
        <v>0</v>
      </c>
    </row>
    <row r="105" spans="1:57" ht="33.950000000000003" customHeight="1" x14ac:dyDescent="0.3">
      <c r="A105" s="34">
        <v>3</v>
      </c>
      <c r="B105" s="34" t="s">
        <v>390</v>
      </c>
      <c r="C105" s="34" t="s">
        <v>926</v>
      </c>
      <c r="D105" s="34" t="s">
        <v>379</v>
      </c>
      <c r="E105" s="34" t="s">
        <v>603</v>
      </c>
      <c r="F105" s="34" t="s">
        <v>604</v>
      </c>
      <c r="G105" s="34" t="s">
        <v>603</v>
      </c>
      <c r="H105" s="73" t="s">
        <v>607</v>
      </c>
      <c r="I105" s="39" t="s">
        <v>191</v>
      </c>
      <c r="J105" s="39" t="s">
        <v>936</v>
      </c>
      <c r="K105" s="39" t="s">
        <v>429</v>
      </c>
      <c r="L105" s="36" t="s">
        <v>603</v>
      </c>
      <c r="M105" s="37" t="s">
        <v>440</v>
      </c>
      <c r="N105" s="38"/>
      <c r="O105" s="37" t="s">
        <v>39</v>
      </c>
      <c r="P105" s="37" t="s">
        <v>414</v>
      </c>
      <c r="Q105" s="74">
        <v>33305324</v>
      </c>
      <c r="R105" s="74" t="s">
        <v>429</v>
      </c>
      <c r="S105" s="74">
        <v>39182735</v>
      </c>
      <c r="T105" s="74"/>
      <c r="U105" s="75"/>
      <c r="V105" s="74"/>
      <c r="W105" s="80"/>
      <c r="X105" s="74">
        <v>33305324</v>
      </c>
      <c r="Y105" s="76">
        <v>1</v>
      </c>
      <c r="Z105" s="74">
        <v>5877411</v>
      </c>
      <c r="AA105" s="74">
        <v>0</v>
      </c>
      <c r="AB105" s="74">
        <v>0</v>
      </c>
      <c r="AC105" s="74">
        <v>0</v>
      </c>
      <c r="AD105" s="74">
        <v>7</v>
      </c>
      <c r="AE105" s="74">
        <v>33305324</v>
      </c>
      <c r="AF105" s="76">
        <v>1</v>
      </c>
      <c r="AG105" s="74">
        <v>5877411</v>
      </c>
      <c r="AH105" s="74">
        <v>0</v>
      </c>
      <c r="AI105" s="74">
        <v>0</v>
      </c>
      <c r="AJ105" s="74">
        <v>0</v>
      </c>
      <c r="AK105" s="74">
        <v>7</v>
      </c>
      <c r="AL105" s="74">
        <v>33305324</v>
      </c>
      <c r="AM105" s="77">
        <v>1</v>
      </c>
      <c r="AN105" s="74">
        <v>5877411</v>
      </c>
      <c r="AO105" s="74">
        <v>0</v>
      </c>
      <c r="AP105" s="74">
        <v>0</v>
      </c>
      <c r="AQ105" s="74">
        <v>0</v>
      </c>
      <c r="AR105" s="74">
        <v>7</v>
      </c>
      <c r="AS105" s="74">
        <v>0</v>
      </c>
      <c r="AT105" s="77">
        <v>0</v>
      </c>
      <c r="AU105" s="74">
        <v>0</v>
      </c>
      <c r="AV105" s="74">
        <v>0</v>
      </c>
      <c r="AW105" s="74">
        <v>0</v>
      </c>
      <c r="AX105" s="74">
        <v>0</v>
      </c>
      <c r="AY105" s="74">
        <v>0</v>
      </c>
      <c r="AZ105" s="74">
        <v>0</v>
      </c>
      <c r="BA105" s="77">
        <v>0</v>
      </c>
      <c r="BB105" s="74">
        <v>0</v>
      </c>
      <c r="BC105" s="74">
        <v>0</v>
      </c>
      <c r="BD105" s="74">
        <v>0</v>
      </c>
      <c r="BE105" s="74">
        <v>0</v>
      </c>
    </row>
    <row r="106" spans="1:57" ht="33.950000000000003" customHeight="1" x14ac:dyDescent="0.3">
      <c r="A106" s="34">
        <v>3</v>
      </c>
      <c r="B106" s="34" t="s">
        <v>390</v>
      </c>
      <c r="C106" s="34" t="s">
        <v>926</v>
      </c>
      <c r="D106" s="34" t="s">
        <v>379</v>
      </c>
      <c r="E106" s="34" t="s">
        <v>603</v>
      </c>
      <c r="F106" s="34" t="s">
        <v>604</v>
      </c>
      <c r="G106" s="34" t="s">
        <v>603</v>
      </c>
      <c r="H106" s="73" t="s">
        <v>608</v>
      </c>
      <c r="I106" s="39" t="s">
        <v>192</v>
      </c>
      <c r="J106" s="39" t="s">
        <v>937</v>
      </c>
      <c r="K106" s="39" t="s">
        <v>429</v>
      </c>
      <c r="L106" s="36" t="s">
        <v>609</v>
      </c>
      <c r="M106" s="37" t="s">
        <v>440</v>
      </c>
      <c r="N106" s="38"/>
      <c r="O106" s="37" t="s">
        <v>39</v>
      </c>
      <c r="P106" s="37" t="s">
        <v>414</v>
      </c>
      <c r="Q106" s="74">
        <v>13812500</v>
      </c>
      <c r="R106" s="74" t="s">
        <v>429</v>
      </c>
      <c r="S106" s="74">
        <v>16250000</v>
      </c>
      <c r="T106" s="74"/>
      <c r="U106" s="75"/>
      <c r="V106" s="74"/>
      <c r="W106" s="80"/>
      <c r="X106" s="74">
        <v>13812500</v>
      </c>
      <c r="Y106" s="76">
        <v>1</v>
      </c>
      <c r="Z106" s="74">
        <v>2437500</v>
      </c>
      <c r="AA106" s="74">
        <v>0</v>
      </c>
      <c r="AB106" s="74">
        <v>0</v>
      </c>
      <c r="AC106" s="74">
        <v>0</v>
      </c>
      <c r="AD106" s="74">
        <v>1</v>
      </c>
      <c r="AE106" s="74">
        <v>13812500</v>
      </c>
      <c r="AF106" s="76">
        <v>1</v>
      </c>
      <c r="AG106" s="74">
        <v>2437500</v>
      </c>
      <c r="AH106" s="74">
        <v>0</v>
      </c>
      <c r="AI106" s="74">
        <v>0</v>
      </c>
      <c r="AJ106" s="74">
        <v>0</v>
      </c>
      <c r="AK106" s="74">
        <v>1</v>
      </c>
      <c r="AL106" s="74">
        <v>13812500</v>
      </c>
      <c r="AM106" s="77">
        <v>1</v>
      </c>
      <c r="AN106" s="74">
        <v>2437500</v>
      </c>
      <c r="AO106" s="74">
        <v>0</v>
      </c>
      <c r="AP106" s="74">
        <v>0</v>
      </c>
      <c r="AQ106" s="74">
        <v>0</v>
      </c>
      <c r="AR106" s="74">
        <v>1</v>
      </c>
      <c r="AS106" s="74">
        <v>0</v>
      </c>
      <c r="AT106" s="77">
        <v>0</v>
      </c>
      <c r="AU106" s="74">
        <v>0</v>
      </c>
      <c r="AV106" s="74">
        <v>0</v>
      </c>
      <c r="AW106" s="74">
        <v>0</v>
      </c>
      <c r="AX106" s="74">
        <v>0</v>
      </c>
      <c r="AY106" s="74">
        <v>0</v>
      </c>
      <c r="AZ106" s="74">
        <v>0</v>
      </c>
      <c r="BA106" s="77">
        <v>0</v>
      </c>
      <c r="BB106" s="74">
        <v>0</v>
      </c>
      <c r="BC106" s="74">
        <v>0</v>
      </c>
      <c r="BD106" s="74">
        <v>0</v>
      </c>
      <c r="BE106" s="74">
        <v>0</v>
      </c>
    </row>
    <row r="107" spans="1:57" ht="33.950000000000003" customHeight="1" x14ac:dyDescent="0.3">
      <c r="A107" s="34">
        <v>3</v>
      </c>
      <c r="B107" s="34" t="s">
        <v>390</v>
      </c>
      <c r="C107" s="34" t="s">
        <v>926</v>
      </c>
      <c r="D107" s="34" t="s">
        <v>379</v>
      </c>
      <c r="E107" s="34" t="s">
        <v>603</v>
      </c>
      <c r="F107" s="34" t="s">
        <v>604</v>
      </c>
      <c r="G107" s="34" t="s">
        <v>603</v>
      </c>
      <c r="H107" s="73" t="s">
        <v>610</v>
      </c>
      <c r="I107" s="39" t="s">
        <v>193</v>
      </c>
      <c r="J107" s="39" t="s">
        <v>938</v>
      </c>
      <c r="K107" s="39" t="s">
        <v>434</v>
      </c>
      <c r="L107" s="36" t="s">
        <v>611</v>
      </c>
      <c r="M107" s="37" t="s">
        <v>440</v>
      </c>
      <c r="N107" s="38"/>
      <c r="O107" s="37" t="s">
        <v>39</v>
      </c>
      <c r="P107" s="37" t="s">
        <v>407</v>
      </c>
      <c r="Q107" s="74">
        <v>24669413</v>
      </c>
      <c r="R107" s="74">
        <v>65791802</v>
      </c>
      <c r="S107" s="74">
        <v>29022839</v>
      </c>
      <c r="T107" s="74"/>
      <c r="U107" s="75"/>
      <c r="V107" s="74"/>
      <c r="W107" s="80"/>
      <c r="X107" s="74">
        <v>90461215</v>
      </c>
      <c r="Y107" s="76">
        <v>3.666938285073909</v>
      </c>
      <c r="Z107" s="74">
        <v>15963744</v>
      </c>
      <c r="AA107" s="74">
        <v>0</v>
      </c>
      <c r="AB107" s="74">
        <v>0</v>
      </c>
      <c r="AC107" s="74">
        <v>0</v>
      </c>
      <c r="AD107" s="74">
        <v>1</v>
      </c>
      <c r="AE107" s="74">
        <v>90461215</v>
      </c>
      <c r="AF107" s="76">
        <v>3.666938285073909</v>
      </c>
      <c r="AG107" s="74">
        <v>15963744</v>
      </c>
      <c r="AH107" s="74">
        <v>0</v>
      </c>
      <c r="AI107" s="74">
        <v>0</v>
      </c>
      <c r="AJ107" s="74">
        <v>0</v>
      </c>
      <c r="AK107" s="74">
        <v>1</v>
      </c>
      <c r="AL107" s="74">
        <v>90461215</v>
      </c>
      <c r="AM107" s="77">
        <v>3.666938285073909</v>
      </c>
      <c r="AN107" s="74">
        <v>15963744</v>
      </c>
      <c r="AO107" s="74">
        <v>0</v>
      </c>
      <c r="AP107" s="74">
        <v>0</v>
      </c>
      <c r="AQ107" s="74">
        <v>0</v>
      </c>
      <c r="AR107" s="74">
        <v>1</v>
      </c>
      <c r="AS107" s="74">
        <v>0</v>
      </c>
      <c r="AT107" s="77">
        <v>0</v>
      </c>
      <c r="AU107" s="74">
        <v>0</v>
      </c>
      <c r="AV107" s="74">
        <v>0</v>
      </c>
      <c r="AW107" s="74">
        <v>0</v>
      </c>
      <c r="AX107" s="74">
        <v>0</v>
      </c>
      <c r="AY107" s="74">
        <v>0</v>
      </c>
      <c r="AZ107" s="74">
        <v>14509587.859999999</v>
      </c>
      <c r="BA107" s="77">
        <v>0.58816105028522569</v>
      </c>
      <c r="BB107" s="74">
        <v>14819914.49</v>
      </c>
      <c r="BC107" s="74">
        <v>0</v>
      </c>
      <c r="BD107" s="74">
        <v>0</v>
      </c>
      <c r="BE107" s="74">
        <v>0</v>
      </c>
    </row>
    <row r="108" spans="1:57" ht="33.950000000000003" customHeight="1" x14ac:dyDescent="0.3">
      <c r="A108" s="34">
        <v>3</v>
      </c>
      <c r="B108" s="34" t="s">
        <v>390</v>
      </c>
      <c r="C108" s="34" t="s">
        <v>926</v>
      </c>
      <c r="D108" s="34" t="s">
        <v>612</v>
      </c>
      <c r="E108" s="34" t="s">
        <v>613</v>
      </c>
      <c r="F108" s="34" t="s">
        <v>614</v>
      </c>
      <c r="G108" s="34" t="s">
        <v>615</v>
      </c>
      <c r="H108" s="73" t="s">
        <v>616</v>
      </c>
      <c r="I108" s="39" t="s">
        <v>194</v>
      </c>
      <c r="J108" s="39" t="s">
        <v>939</v>
      </c>
      <c r="K108" s="39" t="s">
        <v>429</v>
      </c>
      <c r="L108" s="36" t="s">
        <v>615</v>
      </c>
      <c r="M108" s="37" t="s">
        <v>440</v>
      </c>
      <c r="N108" s="38"/>
      <c r="O108" s="37" t="s">
        <v>40</v>
      </c>
      <c r="P108" s="37" t="s">
        <v>412</v>
      </c>
      <c r="Q108" s="74">
        <v>224550286</v>
      </c>
      <c r="R108" s="74" t="s">
        <v>429</v>
      </c>
      <c r="S108" s="74">
        <v>264176808</v>
      </c>
      <c r="T108" s="74"/>
      <c r="U108" s="75"/>
      <c r="V108" s="74"/>
      <c r="W108" s="80"/>
      <c r="X108" s="74">
        <v>224550286</v>
      </c>
      <c r="Y108" s="76">
        <v>1</v>
      </c>
      <c r="Z108" s="74">
        <v>39626522</v>
      </c>
      <c r="AA108" s="74">
        <v>0</v>
      </c>
      <c r="AB108" s="74">
        <v>0</v>
      </c>
      <c r="AC108" s="74">
        <v>0</v>
      </c>
      <c r="AD108" s="74">
        <v>1</v>
      </c>
      <c r="AE108" s="74">
        <v>0</v>
      </c>
      <c r="AF108" s="76">
        <v>0</v>
      </c>
      <c r="AG108" s="74">
        <v>0</v>
      </c>
      <c r="AH108" s="74">
        <v>0</v>
      </c>
      <c r="AI108" s="74">
        <v>0</v>
      </c>
      <c r="AJ108" s="74">
        <v>0</v>
      </c>
      <c r="AK108" s="74">
        <v>0</v>
      </c>
      <c r="AL108" s="74">
        <v>0</v>
      </c>
      <c r="AM108" s="77">
        <v>0</v>
      </c>
      <c r="AN108" s="74">
        <v>0</v>
      </c>
      <c r="AO108" s="74">
        <v>0</v>
      </c>
      <c r="AP108" s="74">
        <v>0</v>
      </c>
      <c r="AQ108" s="74">
        <v>0</v>
      </c>
      <c r="AR108" s="74">
        <v>0</v>
      </c>
      <c r="AS108" s="74">
        <v>0</v>
      </c>
      <c r="AT108" s="77">
        <v>0</v>
      </c>
      <c r="AU108" s="74">
        <v>0</v>
      </c>
      <c r="AV108" s="74">
        <v>0</v>
      </c>
      <c r="AW108" s="74">
        <v>0</v>
      </c>
      <c r="AX108" s="74">
        <v>0</v>
      </c>
      <c r="AY108" s="74">
        <v>0</v>
      </c>
      <c r="AZ108" s="74">
        <v>0</v>
      </c>
      <c r="BA108" s="77">
        <v>0</v>
      </c>
      <c r="BB108" s="74">
        <v>0</v>
      </c>
      <c r="BC108" s="74">
        <v>0</v>
      </c>
      <c r="BD108" s="74">
        <v>0</v>
      </c>
      <c r="BE108" s="74">
        <v>0</v>
      </c>
    </row>
    <row r="109" spans="1:57" ht="33.950000000000003" customHeight="1" x14ac:dyDescent="0.3">
      <c r="A109" s="34">
        <v>3</v>
      </c>
      <c r="B109" s="34" t="s">
        <v>390</v>
      </c>
      <c r="C109" s="34" t="s">
        <v>926</v>
      </c>
      <c r="D109" s="34" t="s">
        <v>612</v>
      </c>
      <c r="E109" s="34" t="s">
        <v>613</v>
      </c>
      <c r="F109" s="34" t="s">
        <v>614</v>
      </c>
      <c r="G109" s="34" t="s">
        <v>615</v>
      </c>
      <c r="H109" s="73" t="s">
        <v>617</v>
      </c>
      <c r="I109" s="39" t="s">
        <v>195</v>
      </c>
      <c r="J109" s="39" t="s">
        <v>940</v>
      </c>
      <c r="K109" s="39" t="s">
        <v>429</v>
      </c>
      <c r="L109" s="36" t="s">
        <v>615</v>
      </c>
      <c r="M109" s="37" t="s">
        <v>440</v>
      </c>
      <c r="N109" s="38"/>
      <c r="O109" s="37" t="s">
        <v>40</v>
      </c>
      <c r="P109" s="37" t="s">
        <v>412</v>
      </c>
      <c r="Q109" s="74">
        <v>21325092</v>
      </c>
      <c r="R109" s="74" t="s">
        <v>429</v>
      </c>
      <c r="S109" s="74">
        <v>25088344</v>
      </c>
      <c r="T109" s="74"/>
      <c r="U109" s="75"/>
      <c r="V109" s="74"/>
      <c r="W109" s="80"/>
      <c r="X109" s="74">
        <v>21325092</v>
      </c>
      <c r="Y109" s="76">
        <v>1</v>
      </c>
      <c r="Z109" s="74">
        <v>0</v>
      </c>
      <c r="AA109" s="74">
        <v>0</v>
      </c>
      <c r="AB109" s="74">
        <v>0</v>
      </c>
      <c r="AC109" s="74">
        <v>9219080</v>
      </c>
      <c r="AD109" s="74">
        <v>2</v>
      </c>
      <c r="AE109" s="74">
        <v>0</v>
      </c>
      <c r="AF109" s="76">
        <v>0</v>
      </c>
      <c r="AG109" s="74">
        <v>0</v>
      </c>
      <c r="AH109" s="74">
        <v>0</v>
      </c>
      <c r="AI109" s="74">
        <v>0</v>
      </c>
      <c r="AJ109" s="74">
        <v>0</v>
      </c>
      <c r="AK109" s="74">
        <v>0</v>
      </c>
      <c r="AL109" s="74">
        <v>0</v>
      </c>
      <c r="AM109" s="77">
        <v>0</v>
      </c>
      <c r="AN109" s="74">
        <v>0</v>
      </c>
      <c r="AO109" s="74">
        <v>0</v>
      </c>
      <c r="AP109" s="74">
        <v>0</v>
      </c>
      <c r="AQ109" s="74">
        <v>0</v>
      </c>
      <c r="AR109" s="74">
        <v>0</v>
      </c>
      <c r="AS109" s="74">
        <v>0</v>
      </c>
      <c r="AT109" s="77">
        <v>0</v>
      </c>
      <c r="AU109" s="74">
        <v>0</v>
      </c>
      <c r="AV109" s="74">
        <v>0</v>
      </c>
      <c r="AW109" s="74">
        <v>0</v>
      </c>
      <c r="AX109" s="74">
        <v>0</v>
      </c>
      <c r="AY109" s="74">
        <v>0</v>
      </c>
      <c r="AZ109" s="74">
        <v>0</v>
      </c>
      <c r="BA109" s="77">
        <v>0</v>
      </c>
      <c r="BB109" s="74">
        <v>0</v>
      </c>
      <c r="BC109" s="74">
        <v>0</v>
      </c>
      <c r="BD109" s="74">
        <v>0</v>
      </c>
      <c r="BE109" s="74">
        <v>0</v>
      </c>
    </row>
    <row r="110" spans="1:57" ht="33.950000000000003" customHeight="1" x14ac:dyDescent="0.3">
      <c r="A110" s="34">
        <v>4</v>
      </c>
      <c r="B110" s="34" t="s">
        <v>392</v>
      </c>
      <c r="C110" s="34" t="s">
        <v>941</v>
      </c>
      <c r="D110" s="34" t="s">
        <v>618</v>
      </c>
      <c r="E110" s="34" t="s">
        <v>619</v>
      </c>
      <c r="F110" s="34" t="s">
        <v>620</v>
      </c>
      <c r="G110" s="34" t="s">
        <v>621</v>
      </c>
      <c r="H110" s="73" t="s">
        <v>622</v>
      </c>
      <c r="I110" s="39" t="s">
        <v>196</v>
      </c>
      <c r="J110" s="39" t="s">
        <v>942</v>
      </c>
      <c r="K110" s="39" t="s">
        <v>429</v>
      </c>
      <c r="L110" s="36" t="s">
        <v>623</v>
      </c>
      <c r="M110" s="37">
        <v>1</v>
      </c>
      <c r="N110" s="38"/>
      <c r="O110" s="37" t="s">
        <v>39</v>
      </c>
      <c r="P110" s="37" t="s">
        <v>416</v>
      </c>
      <c r="Q110" s="74">
        <v>150476289</v>
      </c>
      <c r="R110" s="74" t="s">
        <v>429</v>
      </c>
      <c r="S110" s="74">
        <v>170881198</v>
      </c>
      <c r="T110" s="74"/>
      <c r="U110" s="75"/>
      <c r="V110" s="74"/>
      <c r="W110" s="80"/>
      <c r="X110" s="74">
        <v>145249017</v>
      </c>
      <c r="Y110" s="76">
        <v>0.96526182274471162</v>
      </c>
      <c r="Z110" s="74">
        <v>24125323.580000002</v>
      </c>
      <c r="AA110" s="74">
        <v>0</v>
      </c>
      <c r="AB110" s="74">
        <v>0</v>
      </c>
      <c r="AC110" s="74">
        <v>1506856.71</v>
      </c>
      <c r="AD110" s="74">
        <v>13</v>
      </c>
      <c r="AE110" s="74">
        <v>145249017</v>
      </c>
      <c r="AF110" s="76">
        <v>0.96526182274471162</v>
      </c>
      <c r="AG110" s="74">
        <v>24125323.580000002</v>
      </c>
      <c r="AH110" s="74">
        <v>0</v>
      </c>
      <c r="AI110" s="74">
        <v>0</v>
      </c>
      <c r="AJ110" s="74">
        <v>1506856.71</v>
      </c>
      <c r="AK110" s="74">
        <v>13</v>
      </c>
      <c r="AL110" s="74">
        <v>145249017</v>
      </c>
      <c r="AM110" s="77">
        <v>0.96526182274471162</v>
      </c>
      <c r="AN110" s="74">
        <v>24125323.580000002</v>
      </c>
      <c r="AO110" s="74">
        <v>0</v>
      </c>
      <c r="AP110" s="74">
        <v>0</v>
      </c>
      <c r="AQ110" s="74">
        <v>1506856.71</v>
      </c>
      <c r="AR110" s="74">
        <v>13</v>
      </c>
      <c r="AS110" s="74">
        <v>1637686.5</v>
      </c>
      <c r="AT110" s="77">
        <v>1.0883352526058109E-2</v>
      </c>
      <c r="AU110" s="74">
        <v>173402.1</v>
      </c>
      <c r="AV110" s="74">
        <v>0</v>
      </c>
      <c r="AW110" s="74">
        <v>0</v>
      </c>
      <c r="AX110" s="74">
        <v>115601.4</v>
      </c>
      <c r="AY110" s="74">
        <v>1</v>
      </c>
      <c r="AZ110" s="74">
        <v>43925826.040000007</v>
      </c>
      <c r="BA110" s="77">
        <v>0.2919119439475279</v>
      </c>
      <c r="BB110" s="74">
        <v>3446415.9700000007</v>
      </c>
      <c r="BC110" s="74">
        <v>0</v>
      </c>
      <c r="BD110" s="74">
        <v>0</v>
      </c>
      <c r="BE110" s="74">
        <v>480616.64999999991</v>
      </c>
    </row>
    <row r="111" spans="1:57" ht="33.950000000000003" customHeight="1" x14ac:dyDescent="0.3">
      <c r="A111" s="34">
        <v>4</v>
      </c>
      <c r="B111" s="34" t="s">
        <v>392</v>
      </c>
      <c r="C111" s="34" t="s">
        <v>941</v>
      </c>
      <c r="D111" s="34" t="s">
        <v>618</v>
      </c>
      <c r="E111" s="34" t="s">
        <v>619</v>
      </c>
      <c r="F111" s="34" t="s">
        <v>620</v>
      </c>
      <c r="G111" s="34" t="s">
        <v>621</v>
      </c>
      <c r="H111" s="73" t="s">
        <v>622</v>
      </c>
      <c r="I111" s="39" t="s">
        <v>197</v>
      </c>
      <c r="J111" s="39" t="s">
        <v>943</v>
      </c>
      <c r="K111" s="39" t="s">
        <v>429</v>
      </c>
      <c r="L111" s="36" t="s">
        <v>623</v>
      </c>
      <c r="M111" s="37">
        <v>2</v>
      </c>
      <c r="N111" s="79"/>
      <c r="O111" s="37" t="s">
        <v>39</v>
      </c>
      <c r="P111" s="37" t="s">
        <v>416</v>
      </c>
      <c r="Q111" s="74">
        <v>12826335</v>
      </c>
      <c r="R111" s="74" t="s">
        <v>429</v>
      </c>
      <c r="S111" s="74">
        <v>15089807</v>
      </c>
      <c r="T111" s="74"/>
      <c r="U111" s="75"/>
      <c r="V111" s="74"/>
      <c r="W111" s="80"/>
      <c r="X111" s="74">
        <v>12764059.610000001</v>
      </c>
      <c r="Y111" s="76">
        <v>0.99514472450626013</v>
      </c>
      <c r="Z111" s="74">
        <v>1083190.8400000001</v>
      </c>
      <c r="AA111" s="74">
        <v>0</v>
      </c>
      <c r="AB111" s="74">
        <v>0</v>
      </c>
      <c r="AC111" s="74">
        <v>1173507.1199999999</v>
      </c>
      <c r="AD111" s="74">
        <v>20</v>
      </c>
      <c r="AE111" s="74">
        <v>12764059.610000001</v>
      </c>
      <c r="AF111" s="76">
        <v>0.99514472450626013</v>
      </c>
      <c r="AG111" s="74">
        <v>1083190.8400000001</v>
      </c>
      <c r="AH111" s="74">
        <v>0</v>
      </c>
      <c r="AI111" s="74">
        <v>0</v>
      </c>
      <c r="AJ111" s="74">
        <v>1173507.1199999999</v>
      </c>
      <c r="AK111" s="74">
        <v>20</v>
      </c>
      <c r="AL111" s="74">
        <v>12764059.610000001</v>
      </c>
      <c r="AM111" s="77">
        <v>0.99514472450626013</v>
      </c>
      <c r="AN111" s="74">
        <v>1083190.8400000001</v>
      </c>
      <c r="AO111" s="74">
        <v>0</v>
      </c>
      <c r="AP111" s="74">
        <v>0</v>
      </c>
      <c r="AQ111" s="74">
        <v>1173507.1199999999</v>
      </c>
      <c r="AR111" s="74">
        <v>20</v>
      </c>
      <c r="AS111" s="74">
        <v>2564993.63</v>
      </c>
      <c r="AT111" s="77">
        <v>0.19997868681895489</v>
      </c>
      <c r="AU111" s="74">
        <v>374159.64</v>
      </c>
      <c r="AV111" s="74">
        <v>0</v>
      </c>
      <c r="AW111" s="74">
        <v>0</v>
      </c>
      <c r="AX111" s="74">
        <v>78486.3</v>
      </c>
      <c r="AY111" s="74">
        <v>5</v>
      </c>
      <c r="AZ111" s="74">
        <v>6865595.3199999984</v>
      </c>
      <c r="BA111" s="77">
        <v>0.53527335127298625</v>
      </c>
      <c r="BB111" s="74">
        <v>632951.34</v>
      </c>
      <c r="BC111" s="74">
        <v>0</v>
      </c>
      <c r="BD111" s="74">
        <v>0</v>
      </c>
      <c r="BE111" s="74">
        <v>354451.67000000004</v>
      </c>
    </row>
    <row r="112" spans="1:57" ht="33.950000000000003" customHeight="1" x14ac:dyDescent="0.3">
      <c r="A112" s="34">
        <v>4</v>
      </c>
      <c r="B112" s="34" t="s">
        <v>392</v>
      </c>
      <c r="C112" s="34" t="s">
        <v>941</v>
      </c>
      <c r="D112" s="34" t="s">
        <v>618</v>
      </c>
      <c r="E112" s="34" t="s">
        <v>619</v>
      </c>
      <c r="F112" s="34" t="s">
        <v>620</v>
      </c>
      <c r="G112" s="34" t="s">
        <v>621</v>
      </c>
      <c r="H112" s="73" t="s">
        <v>622</v>
      </c>
      <c r="I112" s="39" t="s">
        <v>198</v>
      </c>
      <c r="J112" s="39" t="s">
        <v>944</v>
      </c>
      <c r="K112" s="39" t="s">
        <v>429</v>
      </c>
      <c r="L112" s="36" t="s">
        <v>623</v>
      </c>
      <c r="M112" s="37">
        <v>3</v>
      </c>
      <c r="N112" s="38"/>
      <c r="O112" s="37" t="s">
        <v>39</v>
      </c>
      <c r="P112" s="37" t="s">
        <v>416</v>
      </c>
      <c r="Q112" s="74">
        <v>6764203</v>
      </c>
      <c r="R112" s="74" t="s">
        <v>429</v>
      </c>
      <c r="S112" s="74">
        <v>7957886</v>
      </c>
      <c r="T112" s="74"/>
      <c r="U112" s="75"/>
      <c r="V112" s="74"/>
      <c r="W112" s="80"/>
      <c r="X112" s="74">
        <v>6764203</v>
      </c>
      <c r="Y112" s="76">
        <v>1</v>
      </c>
      <c r="Z112" s="74">
        <v>1191228.21</v>
      </c>
      <c r="AA112" s="74">
        <v>0</v>
      </c>
      <c r="AB112" s="74">
        <v>0</v>
      </c>
      <c r="AC112" s="74">
        <v>2454.79</v>
      </c>
      <c r="AD112" s="74">
        <v>1</v>
      </c>
      <c r="AE112" s="74">
        <v>6764203</v>
      </c>
      <c r="AF112" s="76">
        <v>1</v>
      </c>
      <c r="AG112" s="74">
        <v>1191228.21</v>
      </c>
      <c r="AH112" s="74">
        <v>0</v>
      </c>
      <c r="AI112" s="74">
        <v>0</v>
      </c>
      <c r="AJ112" s="74">
        <v>2454.79</v>
      </c>
      <c r="AK112" s="74">
        <v>1</v>
      </c>
      <c r="AL112" s="74">
        <v>6764203</v>
      </c>
      <c r="AM112" s="77">
        <v>1</v>
      </c>
      <c r="AN112" s="74">
        <v>1191228.21</v>
      </c>
      <c r="AO112" s="74">
        <v>0</v>
      </c>
      <c r="AP112" s="74">
        <v>0</v>
      </c>
      <c r="AQ112" s="74">
        <v>2454.79</v>
      </c>
      <c r="AR112" s="74">
        <v>1</v>
      </c>
      <c r="AS112" s="74">
        <v>0</v>
      </c>
      <c r="AT112" s="77">
        <v>0</v>
      </c>
      <c r="AU112" s="74">
        <v>0</v>
      </c>
      <c r="AV112" s="74">
        <v>0</v>
      </c>
      <c r="AW112" s="74">
        <v>0</v>
      </c>
      <c r="AX112" s="74">
        <v>0</v>
      </c>
      <c r="AY112" s="74">
        <v>0</v>
      </c>
      <c r="AZ112" s="74">
        <v>1603422.2600000002</v>
      </c>
      <c r="BA112" s="77">
        <v>0.23704526017329761</v>
      </c>
      <c r="BB112" s="74">
        <v>282390.96999999997</v>
      </c>
      <c r="BC112" s="74">
        <v>0</v>
      </c>
      <c r="BD112" s="74">
        <v>0</v>
      </c>
      <c r="BE112" s="74">
        <v>271.82</v>
      </c>
    </row>
    <row r="113" spans="1:57" ht="33.950000000000003" customHeight="1" x14ac:dyDescent="0.3">
      <c r="A113" s="34">
        <v>4</v>
      </c>
      <c r="B113" s="34" t="s">
        <v>392</v>
      </c>
      <c r="C113" s="34" t="s">
        <v>941</v>
      </c>
      <c r="D113" s="34" t="s">
        <v>618</v>
      </c>
      <c r="E113" s="34" t="s">
        <v>619</v>
      </c>
      <c r="F113" s="34" t="s">
        <v>620</v>
      </c>
      <c r="G113" s="34" t="s">
        <v>621</v>
      </c>
      <c r="H113" s="73" t="s">
        <v>622</v>
      </c>
      <c r="I113" s="39" t="s">
        <v>199</v>
      </c>
      <c r="J113" s="39" t="s">
        <v>945</v>
      </c>
      <c r="K113" s="39" t="s">
        <v>429</v>
      </c>
      <c r="L113" s="36" t="s">
        <v>623</v>
      </c>
      <c r="M113" s="37">
        <v>4</v>
      </c>
      <c r="N113" s="78"/>
      <c r="O113" s="37" t="s">
        <v>39</v>
      </c>
      <c r="P113" s="37" t="s">
        <v>416</v>
      </c>
      <c r="Q113" s="74">
        <v>3346264</v>
      </c>
      <c r="R113" s="74" t="s">
        <v>429</v>
      </c>
      <c r="S113" s="74">
        <v>3936782</v>
      </c>
      <c r="T113" s="74"/>
      <c r="U113" s="75"/>
      <c r="V113" s="74"/>
      <c r="W113" s="80"/>
      <c r="X113" s="74">
        <v>3320068.3699999996</v>
      </c>
      <c r="Y113" s="76">
        <v>0.99217167862428057</v>
      </c>
      <c r="Z113" s="74">
        <v>106313.18000000002</v>
      </c>
      <c r="AA113" s="74">
        <v>0</v>
      </c>
      <c r="AB113" s="74">
        <v>0</v>
      </c>
      <c r="AC113" s="74">
        <v>843690.57000000018</v>
      </c>
      <c r="AD113" s="74">
        <v>28</v>
      </c>
      <c r="AE113" s="74">
        <v>3260179.9699999997</v>
      </c>
      <c r="AF113" s="76">
        <v>0.9742745850297525</v>
      </c>
      <c r="AG113" s="74">
        <v>106313.18000000002</v>
      </c>
      <c r="AH113" s="74">
        <v>0</v>
      </c>
      <c r="AI113" s="74">
        <v>0</v>
      </c>
      <c r="AJ113" s="74">
        <v>832078.97000000009</v>
      </c>
      <c r="AK113" s="74">
        <v>27</v>
      </c>
      <c r="AL113" s="74">
        <v>3320068.3699999996</v>
      </c>
      <c r="AM113" s="77">
        <v>0.99217167862428057</v>
      </c>
      <c r="AN113" s="74">
        <v>106313.18000000002</v>
      </c>
      <c r="AO113" s="74">
        <v>0</v>
      </c>
      <c r="AP113" s="74">
        <v>0</v>
      </c>
      <c r="AQ113" s="74">
        <v>843690.57000000018</v>
      </c>
      <c r="AR113" s="74">
        <v>28</v>
      </c>
      <c r="AS113" s="74">
        <v>1315721.99</v>
      </c>
      <c r="AT113" s="77">
        <v>0.3931913291957837</v>
      </c>
      <c r="AU113" s="74">
        <v>95507.110000000015</v>
      </c>
      <c r="AV113" s="74">
        <v>0</v>
      </c>
      <c r="AW113" s="74">
        <v>0</v>
      </c>
      <c r="AX113" s="74">
        <v>210656.02000000002</v>
      </c>
      <c r="AY113" s="74">
        <v>21</v>
      </c>
      <c r="AZ113" s="74">
        <v>1867548.44</v>
      </c>
      <c r="BA113" s="77">
        <v>0.55809955221703966</v>
      </c>
      <c r="BB113" s="74">
        <v>97655.540000000008</v>
      </c>
      <c r="BC113" s="74">
        <v>0</v>
      </c>
      <c r="BD113" s="74">
        <v>0</v>
      </c>
      <c r="BE113" s="74">
        <v>256024.64000000007</v>
      </c>
    </row>
    <row r="114" spans="1:57" ht="33.950000000000003" customHeight="1" x14ac:dyDescent="0.3">
      <c r="A114" s="34">
        <v>4</v>
      </c>
      <c r="B114" s="34" t="s">
        <v>392</v>
      </c>
      <c r="C114" s="34" t="s">
        <v>941</v>
      </c>
      <c r="D114" s="34" t="s">
        <v>618</v>
      </c>
      <c r="E114" s="34" t="s">
        <v>619</v>
      </c>
      <c r="F114" s="34" t="s">
        <v>620</v>
      </c>
      <c r="G114" s="34" t="s">
        <v>621</v>
      </c>
      <c r="H114" s="73" t="s">
        <v>622</v>
      </c>
      <c r="I114" s="39" t="s">
        <v>200</v>
      </c>
      <c r="J114" s="39" t="s">
        <v>946</v>
      </c>
      <c r="K114" s="39" t="s">
        <v>429</v>
      </c>
      <c r="L114" s="36" t="s">
        <v>623</v>
      </c>
      <c r="M114" s="37">
        <v>5</v>
      </c>
      <c r="N114" s="38"/>
      <c r="O114" s="37" t="s">
        <v>39</v>
      </c>
      <c r="P114" s="37" t="s">
        <v>416</v>
      </c>
      <c r="Q114" s="74">
        <v>113511729</v>
      </c>
      <c r="R114" s="74" t="s">
        <v>429</v>
      </c>
      <c r="S114" s="74">
        <v>144051253</v>
      </c>
      <c r="T114" s="74"/>
      <c r="U114" s="75"/>
      <c r="V114" s="74"/>
      <c r="W114" s="80"/>
      <c r="X114" s="74">
        <v>122443545.84</v>
      </c>
      <c r="Y114" s="76">
        <v>1.0786862901189709</v>
      </c>
      <c r="Z114" s="74">
        <v>18052053.73</v>
      </c>
      <c r="AA114" s="74">
        <v>0</v>
      </c>
      <c r="AB114" s="74">
        <v>0</v>
      </c>
      <c r="AC114" s="74">
        <v>11087988.48</v>
      </c>
      <c r="AD114" s="74">
        <v>2</v>
      </c>
      <c r="AE114" s="74">
        <v>122443545.84</v>
      </c>
      <c r="AF114" s="76">
        <v>1.0786862901189709</v>
      </c>
      <c r="AG114" s="74">
        <v>18052053.73</v>
      </c>
      <c r="AH114" s="74">
        <v>0</v>
      </c>
      <c r="AI114" s="74">
        <v>0</v>
      </c>
      <c r="AJ114" s="74">
        <v>11087988.48</v>
      </c>
      <c r="AK114" s="74">
        <v>2</v>
      </c>
      <c r="AL114" s="74">
        <v>122443545.84</v>
      </c>
      <c r="AM114" s="77">
        <v>1.0786862901189709</v>
      </c>
      <c r="AN114" s="74">
        <v>18052053.73</v>
      </c>
      <c r="AO114" s="74">
        <v>0</v>
      </c>
      <c r="AP114" s="74">
        <v>0</v>
      </c>
      <c r="AQ114" s="74">
        <v>11087988.48</v>
      </c>
      <c r="AR114" s="74">
        <v>2</v>
      </c>
      <c r="AS114" s="74">
        <v>11603739.189999999</v>
      </c>
      <c r="AT114" s="77">
        <v>0.10222502372420034</v>
      </c>
      <c r="AU114" s="74">
        <v>1980744.08</v>
      </c>
      <c r="AV114" s="74">
        <v>0</v>
      </c>
      <c r="AW114" s="74">
        <v>0</v>
      </c>
      <c r="AX114" s="74">
        <v>66974.600000000006</v>
      </c>
      <c r="AY114" s="74">
        <v>1</v>
      </c>
      <c r="AZ114" s="74">
        <v>21104590.530000001</v>
      </c>
      <c r="BA114" s="77">
        <v>0.18592431562733047</v>
      </c>
      <c r="BB114" s="74">
        <v>2786772.18</v>
      </c>
      <c r="BC114" s="74">
        <v>0</v>
      </c>
      <c r="BD114" s="74">
        <v>0</v>
      </c>
      <c r="BE114" s="74">
        <v>242311.88</v>
      </c>
    </row>
    <row r="115" spans="1:57" ht="33.950000000000003" customHeight="1" x14ac:dyDescent="0.3">
      <c r="A115" s="34">
        <v>4</v>
      </c>
      <c r="B115" s="34" t="s">
        <v>392</v>
      </c>
      <c r="C115" s="34" t="s">
        <v>941</v>
      </c>
      <c r="D115" s="34" t="s">
        <v>618</v>
      </c>
      <c r="E115" s="34" t="s">
        <v>619</v>
      </c>
      <c r="F115" s="34" t="s">
        <v>620</v>
      </c>
      <c r="G115" s="34" t="s">
        <v>621</v>
      </c>
      <c r="H115" s="73" t="s">
        <v>624</v>
      </c>
      <c r="I115" s="39" t="s">
        <v>201</v>
      </c>
      <c r="J115" s="39" t="s">
        <v>947</v>
      </c>
      <c r="K115" s="39" t="s">
        <v>429</v>
      </c>
      <c r="L115" s="36" t="s">
        <v>625</v>
      </c>
      <c r="M115" s="37">
        <v>1</v>
      </c>
      <c r="N115" s="38"/>
      <c r="O115" s="37" t="s">
        <v>39</v>
      </c>
      <c r="P115" s="37" t="s">
        <v>416</v>
      </c>
      <c r="Q115" s="74">
        <v>1020000</v>
      </c>
      <c r="R115" s="74" t="s">
        <v>429</v>
      </c>
      <c r="S115" s="74">
        <v>1200000</v>
      </c>
      <c r="T115" s="74"/>
      <c r="U115" s="75"/>
      <c r="V115" s="74"/>
      <c r="W115" s="80"/>
      <c r="X115" s="74">
        <v>1020000</v>
      </c>
      <c r="Y115" s="76">
        <v>1</v>
      </c>
      <c r="Z115" s="74">
        <v>146106.44</v>
      </c>
      <c r="AA115" s="74">
        <v>0</v>
      </c>
      <c r="AB115" s="74">
        <v>0</v>
      </c>
      <c r="AC115" s="74">
        <v>33893.56</v>
      </c>
      <c r="AD115" s="74">
        <v>1</v>
      </c>
      <c r="AE115" s="74">
        <v>1020000</v>
      </c>
      <c r="AF115" s="76">
        <v>1</v>
      </c>
      <c r="AG115" s="74">
        <v>146106.44</v>
      </c>
      <c r="AH115" s="74">
        <v>0</v>
      </c>
      <c r="AI115" s="74">
        <v>0</v>
      </c>
      <c r="AJ115" s="74">
        <v>33893.56</v>
      </c>
      <c r="AK115" s="74">
        <v>1</v>
      </c>
      <c r="AL115" s="74">
        <v>1020000</v>
      </c>
      <c r="AM115" s="77">
        <v>1</v>
      </c>
      <c r="AN115" s="74">
        <v>146106.44</v>
      </c>
      <c r="AO115" s="74">
        <v>0</v>
      </c>
      <c r="AP115" s="74">
        <v>0</v>
      </c>
      <c r="AQ115" s="74">
        <v>33893.56</v>
      </c>
      <c r="AR115" s="74">
        <v>1</v>
      </c>
      <c r="AS115" s="74">
        <v>0</v>
      </c>
      <c r="AT115" s="77">
        <v>0</v>
      </c>
      <c r="AU115" s="74">
        <v>0</v>
      </c>
      <c r="AV115" s="74">
        <v>0</v>
      </c>
      <c r="AW115" s="74">
        <v>0</v>
      </c>
      <c r="AX115" s="74">
        <v>0</v>
      </c>
      <c r="AY115" s="74">
        <v>0</v>
      </c>
      <c r="AZ115" s="74">
        <v>56582.46</v>
      </c>
      <c r="BA115" s="77">
        <v>5.5473000000000001E-2</v>
      </c>
      <c r="BB115" s="74">
        <v>8107.94</v>
      </c>
      <c r="BC115" s="74">
        <v>0</v>
      </c>
      <c r="BD115" s="74">
        <v>0</v>
      </c>
      <c r="BE115" s="74">
        <v>1877.1999999999998</v>
      </c>
    </row>
    <row r="116" spans="1:57" ht="33.950000000000003" customHeight="1" x14ac:dyDescent="0.3">
      <c r="A116" s="34">
        <v>4</v>
      </c>
      <c r="B116" s="34" t="s">
        <v>392</v>
      </c>
      <c r="C116" s="34" t="s">
        <v>941</v>
      </c>
      <c r="D116" s="34" t="s">
        <v>618</v>
      </c>
      <c r="E116" s="34" t="s">
        <v>619</v>
      </c>
      <c r="F116" s="34" t="s">
        <v>620</v>
      </c>
      <c r="G116" s="34" t="s">
        <v>621</v>
      </c>
      <c r="H116" s="73" t="s">
        <v>624</v>
      </c>
      <c r="I116" s="39" t="s">
        <v>202</v>
      </c>
      <c r="J116" s="39" t="s">
        <v>948</v>
      </c>
      <c r="K116" s="39" t="s">
        <v>429</v>
      </c>
      <c r="L116" s="36" t="s">
        <v>625</v>
      </c>
      <c r="M116" s="37">
        <v>2</v>
      </c>
      <c r="N116" s="80"/>
      <c r="O116" s="37" t="s">
        <v>39</v>
      </c>
      <c r="P116" s="37" t="s">
        <v>416</v>
      </c>
      <c r="Q116" s="74">
        <v>4930000</v>
      </c>
      <c r="R116" s="74" t="s">
        <v>429</v>
      </c>
      <c r="S116" s="74">
        <v>5800000</v>
      </c>
      <c r="T116" s="74"/>
      <c r="U116" s="75"/>
      <c r="V116" s="74"/>
      <c r="W116" s="80"/>
      <c r="X116" s="74">
        <v>4717579.99</v>
      </c>
      <c r="Y116" s="76">
        <v>0.95691277687626775</v>
      </c>
      <c r="Z116" s="74">
        <v>714171.71999999986</v>
      </c>
      <c r="AA116" s="74">
        <v>0</v>
      </c>
      <c r="AB116" s="74">
        <v>0</v>
      </c>
      <c r="AC116" s="74">
        <v>122855.89999999997</v>
      </c>
      <c r="AD116" s="74">
        <v>112</v>
      </c>
      <c r="AE116" s="74">
        <v>3289304.3399999989</v>
      </c>
      <c r="AF116" s="76">
        <v>0.6672016916835698</v>
      </c>
      <c r="AG116" s="74">
        <v>495148.38</v>
      </c>
      <c r="AH116" s="74">
        <v>0</v>
      </c>
      <c r="AI116" s="74">
        <v>0</v>
      </c>
      <c r="AJ116" s="74">
        <v>85317.089999999967</v>
      </c>
      <c r="AK116" s="74">
        <v>78</v>
      </c>
      <c r="AL116" s="74">
        <v>3229777.0999999992</v>
      </c>
      <c r="AM116" s="77">
        <v>0.65512720081135889</v>
      </c>
      <c r="AN116" s="74">
        <v>484373.22000000003</v>
      </c>
      <c r="AO116" s="74">
        <v>0</v>
      </c>
      <c r="AP116" s="74">
        <v>0</v>
      </c>
      <c r="AQ116" s="74">
        <v>85587.439999999973</v>
      </c>
      <c r="AR116" s="74">
        <v>75</v>
      </c>
      <c r="AS116" s="74">
        <v>210206.55000000002</v>
      </c>
      <c r="AT116" s="77">
        <v>4.2638245436105483E-2</v>
      </c>
      <c r="AU116" s="74">
        <v>29683.829999999998</v>
      </c>
      <c r="AV116" s="74">
        <v>0</v>
      </c>
      <c r="AW116" s="74">
        <v>0</v>
      </c>
      <c r="AX116" s="74">
        <v>7411.4599999999991</v>
      </c>
      <c r="AY116" s="74">
        <v>10</v>
      </c>
      <c r="AZ116" s="74">
        <v>950672.67000000027</v>
      </c>
      <c r="BA116" s="77">
        <v>0.19283421298174447</v>
      </c>
      <c r="BB116" s="74">
        <v>136133.06999999998</v>
      </c>
      <c r="BC116" s="74">
        <v>0</v>
      </c>
      <c r="BD116" s="74">
        <v>0</v>
      </c>
      <c r="BE116" s="74">
        <v>24311.539999999997</v>
      </c>
    </row>
    <row r="117" spans="1:57" ht="33.950000000000003" customHeight="1" x14ac:dyDescent="0.3">
      <c r="A117" s="34">
        <v>4</v>
      </c>
      <c r="B117" s="34" t="s">
        <v>392</v>
      </c>
      <c r="C117" s="34" t="s">
        <v>941</v>
      </c>
      <c r="D117" s="34" t="s">
        <v>618</v>
      </c>
      <c r="E117" s="34" t="s">
        <v>619</v>
      </c>
      <c r="F117" s="34" t="s">
        <v>620</v>
      </c>
      <c r="G117" s="34" t="s">
        <v>621</v>
      </c>
      <c r="H117" s="73" t="s">
        <v>626</v>
      </c>
      <c r="I117" s="39" t="s">
        <v>203</v>
      </c>
      <c r="J117" s="39" t="s">
        <v>949</v>
      </c>
      <c r="K117" s="39" t="s">
        <v>429</v>
      </c>
      <c r="L117" s="36" t="s">
        <v>627</v>
      </c>
      <c r="M117" s="37">
        <v>1</v>
      </c>
      <c r="N117" s="38"/>
      <c r="O117" s="37" t="s">
        <v>39</v>
      </c>
      <c r="P117" s="37" t="s">
        <v>416</v>
      </c>
      <c r="Q117" s="74">
        <v>18208636</v>
      </c>
      <c r="R117" s="74" t="s">
        <v>429</v>
      </c>
      <c r="S117" s="74">
        <v>17063615</v>
      </c>
      <c r="T117" s="74"/>
      <c r="U117" s="75"/>
      <c r="V117" s="74"/>
      <c r="W117" s="80"/>
      <c r="X117" s="74">
        <v>9149071.9000000004</v>
      </c>
      <c r="Y117" s="76">
        <v>0.50245783923628329</v>
      </c>
      <c r="Z117" s="74">
        <v>1614542.1</v>
      </c>
      <c r="AA117" s="74">
        <v>0</v>
      </c>
      <c r="AB117" s="74">
        <v>0</v>
      </c>
      <c r="AC117" s="74">
        <v>0</v>
      </c>
      <c r="AD117" s="74">
        <v>3</v>
      </c>
      <c r="AE117" s="74">
        <v>2550000</v>
      </c>
      <c r="AF117" s="76">
        <v>0.14004343872874389</v>
      </c>
      <c r="AG117" s="74">
        <v>450000</v>
      </c>
      <c r="AH117" s="74">
        <v>0</v>
      </c>
      <c r="AI117" s="74">
        <v>0</v>
      </c>
      <c r="AJ117" s="74">
        <v>0</v>
      </c>
      <c r="AK117" s="74">
        <v>1</v>
      </c>
      <c r="AL117" s="74">
        <v>2550000</v>
      </c>
      <c r="AM117" s="77">
        <v>0.14004343872874389</v>
      </c>
      <c r="AN117" s="74">
        <v>450000</v>
      </c>
      <c r="AO117" s="74">
        <v>0</v>
      </c>
      <c r="AP117" s="74">
        <v>0</v>
      </c>
      <c r="AQ117" s="74">
        <v>0</v>
      </c>
      <c r="AR117" s="74">
        <v>1</v>
      </c>
      <c r="AS117" s="74">
        <v>0</v>
      </c>
      <c r="AT117" s="77">
        <v>0</v>
      </c>
      <c r="AU117" s="74">
        <v>0</v>
      </c>
      <c r="AV117" s="74">
        <v>0</v>
      </c>
      <c r="AW117" s="74">
        <v>0</v>
      </c>
      <c r="AX117" s="74">
        <v>0</v>
      </c>
      <c r="AY117" s="74">
        <v>0</v>
      </c>
      <c r="AZ117" s="74">
        <v>37.950000000000003</v>
      </c>
      <c r="BA117" s="77">
        <v>2.0841758822571883E-6</v>
      </c>
      <c r="BB117" s="74">
        <v>6.7</v>
      </c>
      <c r="BC117" s="74">
        <v>0</v>
      </c>
      <c r="BD117" s="74">
        <v>0</v>
      </c>
      <c r="BE117" s="74">
        <v>0</v>
      </c>
    </row>
    <row r="118" spans="1:57" ht="33.950000000000003" customHeight="1" x14ac:dyDescent="0.3">
      <c r="A118" s="34">
        <v>4</v>
      </c>
      <c r="B118" s="34" t="s">
        <v>392</v>
      </c>
      <c r="C118" s="34" t="s">
        <v>941</v>
      </c>
      <c r="D118" s="34" t="s">
        <v>618</v>
      </c>
      <c r="E118" s="34" t="s">
        <v>619</v>
      </c>
      <c r="F118" s="34" t="s">
        <v>620</v>
      </c>
      <c r="G118" s="34" t="s">
        <v>621</v>
      </c>
      <c r="H118" s="73" t="s">
        <v>626</v>
      </c>
      <c r="I118" s="39" t="s">
        <v>204</v>
      </c>
      <c r="J118" s="39" t="s">
        <v>950</v>
      </c>
      <c r="K118" s="39" t="s">
        <v>429</v>
      </c>
      <c r="L118" s="36" t="s">
        <v>621</v>
      </c>
      <c r="M118" s="37">
        <v>2</v>
      </c>
      <c r="N118" s="38"/>
      <c r="O118" s="37" t="s">
        <v>39</v>
      </c>
      <c r="P118" s="37" t="s">
        <v>416</v>
      </c>
      <c r="Q118" s="74">
        <v>3060000</v>
      </c>
      <c r="R118" s="74" t="s">
        <v>429</v>
      </c>
      <c r="S118" s="74">
        <v>3600000</v>
      </c>
      <c r="T118" s="74"/>
      <c r="U118" s="75"/>
      <c r="V118" s="74"/>
      <c r="W118" s="80"/>
      <c r="X118" s="74">
        <v>3060000</v>
      </c>
      <c r="Y118" s="76">
        <v>1</v>
      </c>
      <c r="Z118" s="74">
        <v>540000</v>
      </c>
      <c r="AA118" s="74">
        <v>0</v>
      </c>
      <c r="AB118" s="74">
        <v>0</v>
      </c>
      <c r="AC118" s="74">
        <v>0</v>
      </c>
      <c r="AD118" s="74">
        <v>1</v>
      </c>
      <c r="AE118" s="74">
        <v>3060000</v>
      </c>
      <c r="AF118" s="76">
        <v>1</v>
      </c>
      <c r="AG118" s="74">
        <v>540000</v>
      </c>
      <c r="AH118" s="74">
        <v>0</v>
      </c>
      <c r="AI118" s="74">
        <v>0</v>
      </c>
      <c r="AJ118" s="74">
        <v>0</v>
      </c>
      <c r="AK118" s="74">
        <v>1</v>
      </c>
      <c r="AL118" s="74">
        <v>3060000</v>
      </c>
      <c r="AM118" s="77">
        <v>1</v>
      </c>
      <c r="AN118" s="74">
        <v>540000</v>
      </c>
      <c r="AO118" s="74">
        <v>0</v>
      </c>
      <c r="AP118" s="74">
        <v>0</v>
      </c>
      <c r="AQ118" s="74">
        <v>0</v>
      </c>
      <c r="AR118" s="74">
        <v>1</v>
      </c>
      <c r="AS118" s="74">
        <v>0</v>
      </c>
      <c r="AT118" s="77">
        <v>0</v>
      </c>
      <c r="AU118" s="74">
        <v>0</v>
      </c>
      <c r="AV118" s="74">
        <v>0</v>
      </c>
      <c r="AW118" s="74">
        <v>0</v>
      </c>
      <c r="AX118" s="74">
        <v>0</v>
      </c>
      <c r="AY118" s="74">
        <v>0</v>
      </c>
      <c r="AZ118" s="74">
        <v>236426.19</v>
      </c>
      <c r="BA118" s="77">
        <v>7.7263460784313731E-2</v>
      </c>
      <c r="BB118" s="74">
        <v>41722.269999999997</v>
      </c>
      <c r="BC118" s="74">
        <v>0</v>
      </c>
      <c r="BD118" s="74">
        <v>0</v>
      </c>
      <c r="BE118" s="74">
        <v>0</v>
      </c>
    </row>
    <row r="119" spans="1:57" ht="33.950000000000003" customHeight="1" x14ac:dyDescent="0.3">
      <c r="A119" s="34">
        <v>4</v>
      </c>
      <c r="B119" s="34" t="s">
        <v>392</v>
      </c>
      <c r="C119" s="34" t="s">
        <v>941</v>
      </c>
      <c r="D119" s="34" t="s">
        <v>618</v>
      </c>
      <c r="E119" s="34" t="s">
        <v>619</v>
      </c>
      <c r="F119" s="34" t="s">
        <v>620</v>
      </c>
      <c r="G119" s="34" t="s">
        <v>621</v>
      </c>
      <c r="H119" s="73" t="s">
        <v>628</v>
      </c>
      <c r="I119" s="39" t="s">
        <v>205</v>
      </c>
      <c r="J119" s="39" t="s">
        <v>951</v>
      </c>
      <c r="K119" s="39" t="s">
        <v>429</v>
      </c>
      <c r="L119" s="36" t="s">
        <v>629</v>
      </c>
      <c r="M119" s="37" t="s">
        <v>440</v>
      </c>
      <c r="N119" s="38"/>
      <c r="O119" s="37" t="s">
        <v>39</v>
      </c>
      <c r="P119" s="37" t="s">
        <v>416</v>
      </c>
      <c r="Q119" s="74">
        <v>10461001</v>
      </c>
      <c r="R119" s="74" t="s">
        <v>429</v>
      </c>
      <c r="S119" s="74">
        <v>12307060</v>
      </c>
      <c r="T119" s="74"/>
      <c r="U119" s="75"/>
      <c r="V119" s="74"/>
      <c r="W119" s="80"/>
      <c r="X119" s="74">
        <v>10461001</v>
      </c>
      <c r="Y119" s="76">
        <v>1</v>
      </c>
      <c r="Z119" s="74">
        <v>1846059</v>
      </c>
      <c r="AA119" s="74">
        <v>0</v>
      </c>
      <c r="AB119" s="74">
        <v>0</v>
      </c>
      <c r="AC119" s="74">
        <v>0</v>
      </c>
      <c r="AD119" s="74">
        <v>1</v>
      </c>
      <c r="AE119" s="74">
        <v>10461001</v>
      </c>
      <c r="AF119" s="76">
        <v>1</v>
      </c>
      <c r="AG119" s="74">
        <v>1846059</v>
      </c>
      <c r="AH119" s="74">
        <v>0</v>
      </c>
      <c r="AI119" s="74">
        <v>0</v>
      </c>
      <c r="AJ119" s="74">
        <v>0</v>
      </c>
      <c r="AK119" s="74">
        <v>1</v>
      </c>
      <c r="AL119" s="74">
        <v>10461001</v>
      </c>
      <c r="AM119" s="77">
        <v>1</v>
      </c>
      <c r="AN119" s="74">
        <v>1846059</v>
      </c>
      <c r="AO119" s="74">
        <v>0</v>
      </c>
      <c r="AP119" s="74">
        <v>0</v>
      </c>
      <c r="AQ119" s="74">
        <v>0</v>
      </c>
      <c r="AR119" s="74">
        <v>1</v>
      </c>
      <c r="AS119" s="74">
        <v>0</v>
      </c>
      <c r="AT119" s="77">
        <v>0</v>
      </c>
      <c r="AU119" s="74">
        <v>0</v>
      </c>
      <c r="AV119" s="74">
        <v>0</v>
      </c>
      <c r="AW119" s="74">
        <v>0</v>
      </c>
      <c r="AX119" s="74">
        <v>0</v>
      </c>
      <c r="AY119" s="74">
        <v>0</v>
      </c>
      <c r="AZ119" s="74">
        <v>236286.24</v>
      </c>
      <c r="BA119" s="77">
        <v>2.2587345130738443E-2</v>
      </c>
      <c r="BB119" s="74">
        <v>41697.57</v>
      </c>
      <c r="BC119" s="74">
        <v>0</v>
      </c>
      <c r="BD119" s="74">
        <v>0</v>
      </c>
      <c r="BE119" s="74">
        <v>0</v>
      </c>
    </row>
    <row r="120" spans="1:57" ht="33.950000000000003" customHeight="1" x14ac:dyDescent="0.3">
      <c r="A120" s="34">
        <v>4</v>
      </c>
      <c r="B120" s="34" t="s">
        <v>392</v>
      </c>
      <c r="C120" s="34" t="s">
        <v>941</v>
      </c>
      <c r="D120" s="34" t="s">
        <v>618</v>
      </c>
      <c r="E120" s="34" t="s">
        <v>619</v>
      </c>
      <c r="F120" s="34" t="s">
        <v>630</v>
      </c>
      <c r="G120" s="34" t="s">
        <v>631</v>
      </c>
      <c r="H120" s="73" t="s">
        <v>632</v>
      </c>
      <c r="I120" s="39" t="s">
        <v>206</v>
      </c>
      <c r="J120" s="39" t="s">
        <v>952</v>
      </c>
      <c r="K120" s="39" t="s">
        <v>429</v>
      </c>
      <c r="L120" s="36" t="s">
        <v>633</v>
      </c>
      <c r="M120" s="37" t="s">
        <v>440</v>
      </c>
      <c r="N120" s="38"/>
      <c r="O120" s="37" t="s">
        <v>38</v>
      </c>
      <c r="P120" s="37" t="s">
        <v>416</v>
      </c>
      <c r="Q120" s="74">
        <v>7199882</v>
      </c>
      <c r="R120" s="74" t="s">
        <v>429</v>
      </c>
      <c r="S120" s="74">
        <v>8470450</v>
      </c>
      <c r="T120" s="74"/>
      <c r="U120" s="75"/>
      <c r="V120" s="74"/>
      <c r="W120" s="80"/>
      <c r="X120" s="74">
        <v>7199882</v>
      </c>
      <c r="Y120" s="76">
        <v>1</v>
      </c>
      <c r="Z120" s="74">
        <v>1270568</v>
      </c>
      <c r="AA120" s="74">
        <v>0</v>
      </c>
      <c r="AB120" s="74">
        <v>0</v>
      </c>
      <c r="AC120" s="74">
        <v>0</v>
      </c>
      <c r="AD120" s="74">
        <v>2</v>
      </c>
      <c r="AE120" s="74">
        <v>7199882</v>
      </c>
      <c r="AF120" s="76">
        <v>1</v>
      </c>
      <c r="AG120" s="74">
        <v>1270568</v>
      </c>
      <c r="AH120" s="74">
        <v>0</v>
      </c>
      <c r="AI120" s="74">
        <v>0</v>
      </c>
      <c r="AJ120" s="74">
        <v>0</v>
      </c>
      <c r="AK120" s="74">
        <v>2</v>
      </c>
      <c r="AL120" s="74">
        <v>7199882</v>
      </c>
      <c r="AM120" s="77">
        <v>1</v>
      </c>
      <c r="AN120" s="74">
        <v>1270568</v>
      </c>
      <c r="AO120" s="74">
        <v>0</v>
      </c>
      <c r="AP120" s="74">
        <v>0</v>
      </c>
      <c r="AQ120" s="74">
        <v>0</v>
      </c>
      <c r="AR120" s="74">
        <v>2</v>
      </c>
      <c r="AS120" s="74">
        <v>0</v>
      </c>
      <c r="AT120" s="77">
        <v>0</v>
      </c>
      <c r="AU120" s="74">
        <v>0</v>
      </c>
      <c r="AV120" s="74">
        <v>0</v>
      </c>
      <c r="AW120" s="74">
        <v>0</v>
      </c>
      <c r="AX120" s="74">
        <v>0</v>
      </c>
      <c r="AY120" s="74">
        <v>0</v>
      </c>
      <c r="AZ120" s="74">
        <v>853187.24</v>
      </c>
      <c r="BA120" s="77">
        <v>0.11850016986389499</v>
      </c>
      <c r="BB120" s="74">
        <v>150562.45000000004</v>
      </c>
      <c r="BC120" s="74">
        <v>0</v>
      </c>
      <c r="BD120" s="74">
        <v>0</v>
      </c>
      <c r="BE120" s="74">
        <v>0</v>
      </c>
    </row>
    <row r="121" spans="1:57" ht="33.950000000000003" customHeight="1" x14ac:dyDescent="0.3">
      <c r="A121" s="34">
        <v>4</v>
      </c>
      <c r="B121" s="34" t="s">
        <v>392</v>
      </c>
      <c r="C121" s="34" t="s">
        <v>941</v>
      </c>
      <c r="D121" s="34" t="s">
        <v>618</v>
      </c>
      <c r="E121" s="34" t="s">
        <v>619</v>
      </c>
      <c r="F121" s="34" t="s">
        <v>630</v>
      </c>
      <c r="G121" s="34" t="s">
        <v>631</v>
      </c>
      <c r="H121" s="73" t="s">
        <v>634</v>
      </c>
      <c r="I121" s="39" t="s">
        <v>207</v>
      </c>
      <c r="J121" s="39" t="s">
        <v>953</v>
      </c>
      <c r="K121" s="39" t="s">
        <v>429</v>
      </c>
      <c r="L121" s="36" t="s">
        <v>635</v>
      </c>
      <c r="M121" s="37" t="s">
        <v>440</v>
      </c>
      <c r="N121" s="38"/>
      <c r="O121" s="37" t="s">
        <v>38</v>
      </c>
      <c r="P121" s="37" t="s">
        <v>416</v>
      </c>
      <c r="Q121" s="74">
        <v>12575937</v>
      </c>
      <c r="R121" s="74" t="s">
        <v>429</v>
      </c>
      <c r="S121" s="74">
        <v>14795220</v>
      </c>
      <c r="T121" s="74"/>
      <c r="U121" s="75"/>
      <c r="V121" s="74"/>
      <c r="W121" s="80"/>
      <c r="X121" s="74">
        <v>12573123.66</v>
      </c>
      <c r="Y121" s="76">
        <v>0.99977629181825578</v>
      </c>
      <c r="Z121" s="74">
        <v>2218786.5400000005</v>
      </c>
      <c r="AA121" s="74">
        <v>0</v>
      </c>
      <c r="AB121" s="74">
        <v>336392.38</v>
      </c>
      <c r="AC121" s="74">
        <v>0</v>
      </c>
      <c r="AD121" s="74">
        <v>38</v>
      </c>
      <c r="AE121" s="74">
        <v>12573123.66</v>
      </c>
      <c r="AF121" s="76">
        <v>0.99977629181825578</v>
      </c>
      <c r="AG121" s="74">
        <v>2218786.5400000005</v>
      </c>
      <c r="AH121" s="74">
        <v>0</v>
      </c>
      <c r="AI121" s="74">
        <v>336392.38</v>
      </c>
      <c r="AJ121" s="74">
        <v>0</v>
      </c>
      <c r="AK121" s="74">
        <v>38</v>
      </c>
      <c r="AL121" s="74">
        <v>12573123.66</v>
      </c>
      <c r="AM121" s="77">
        <v>0.99977629181825578</v>
      </c>
      <c r="AN121" s="74">
        <v>2218786.5400000005</v>
      </c>
      <c r="AO121" s="74">
        <v>0</v>
      </c>
      <c r="AP121" s="74">
        <v>336392.38</v>
      </c>
      <c r="AQ121" s="74">
        <v>0</v>
      </c>
      <c r="AR121" s="74">
        <v>38</v>
      </c>
      <c r="AS121" s="74">
        <v>0</v>
      </c>
      <c r="AT121" s="77">
        <v>0</v>
      </c>
      <c r="AU121" s="74">
        <v>0</v>
      </c>
      <c r="AV121" s="74">
        <v>0</v>
      </c>
      <c r="AW121" s="74">
        <v>0</v>
      </c>
      <c r="AX121" s="74">
        <v>0</v>
      </c>
      <c r="AY121" s="74">
        <v>0</v>
      </c>
      <c r="AZ121" s="74">
        <v>4173199.9299999983</v>
      </c>
      <c r="BA121" s="77">
        <v>0.33184007919250852</v>
      </c>
      <c r="BB121" s="74">
        <v>736449.99000000011</v>
      </c>
      <c r="BC121" s="74">
        <v>0</v>
      </c>
      <c r="BD121" s="74">
        <v>64783.16</v>
      </c>
      <c r="BE121" s="74">
        <v>0</v>
      </c>
    </row>
    <row r="122" spans="1:57" ht="33.950000000000003" customHeight="1" x14ac:dyDescent="0.3">
      <c r="A122" s="34">
        <v>4</v>
      </c>
      <c r="B122" s="34" t="s">
        <v>392</v>
      </c>
      <c r="C122" s="34" t="s">
        <v>941</v>
      </c>
      <c r="D122" s="34" t="s">
        <v>618</v>
      </c>
      <c r="E122" s="34" t="s">
        <v>619</v>
      </c>
      <c r="F122" s="34" t="s">
        <v>630</v>
      </c>
      <c r="G122" s="34" t="s">
        <v>631</v>
      </c>
      <c r="H122" s="73" t="s">
        <v>636</v>
      </c>
      <c r="I122" s="39" t="s">
        <v>208</v>
      </c>
      <c r="J122" s="39" t="s">
        <v>954</v>
      </c>
      <c r="K122" s="39" t="s">
        <v>429</v>
      </c>
      <c r="L122" s="36" t="s">
        <v>637</v>
      </c>
      <c r="M122" s="37" t="s">
        <v>440</v>
      </c>
      <c r="N122" s="78"/>
      <c r="O122" s="37" t="s">
        <v>38</v>
      </c>
      <c r="P122" s="37" t="s">
        <v>416</v>
      </c>
      <c r="Q122" s="74">
        <v>961350</v>
      </c>
      <c r="R122" s="74" t="s">
        <v>429</v>
      </c>
      <c r="S122" s="74">
        <v>1131000</v>
      </c>
      <c r="T122" s="74"/>
      <c r="U122" s="75"/>
      <c r="V122" s="74"/>
      <c r="W122" s="80"/>
      <c r="X122" s="74">
        <v>961350</v>
      </c>
      <c r="Y122" s="76">
        <v>1</v>
      </c>
      <c r="Z122" s="74">
        <v>169650</v>
      </c>
      <c r="AA122" s="74">
        <v>0</v>
      </c>
      <c r="AB122" s="74">
        <v>0</v>
      </c>
      <c r="AC122" s="74">
        <v>0</v>
      </c>
      <c r="AD122" s="74">
        <v>1</v>
      </c>
      <c r="AE122" s="74">
        <v>961350</v>
      </c>
      <c r="AF122" s="76">
        <v>1</v>
      </c>
      <c r="AG122" s="74">
        <v>169650</v>
      </c>
      <c r="AH122" s="74">
        <v>0</v>
      </c>
      <c r="AI122" s="74">
        <v>0</v>
      </c>
      <c r="AJ122" s="74">
        <v>0</v>
      </c>
      <c r="AK122" s="74">
        <v>1</v>
      </c>
      <c r="AL122" s="74">
        <v>961350</v>
      </c>
      <c r="AM122" s="77">
        <v>1</v>
      </c>
      <c r="AN122" s="74">
        <v>169650</v>
      </c>
      <c r="AO122" s="74">
        <v>0</v>
      </c>
      <c r="AP122" s="74">
        <v>0</v>
      </c>
      <c r="AQ122" s="74">
        <v>0</v>
      </c>
      <c r="AR122" s="74">
        <v>1</v>
      </c>
      <c r="AS122" s="74">
        <v>0</v>
      </c>
      <c r="AT122" s="77">
        <v>0</v>
      </c>
      <c r="AU122" s="74">
        <v>0</v>
      </c>
      <c r="AV122" s="74">
        <v>0</v>
      </c>
      <c r="AW122" s="74">
        <v>0</v>
      </c>
      <c r="AX122" s="74">
        <v>0</v>
      </c>
      <c r="AY122" s="74">
        <v>0</v>
      </c>
      <c r="AZ122" s="74">
        <v>46068.79</v>
      </c>
      <c r="BA122" s="77">
        <v>4.7920934103084206E-2</v>
      </c>
      <c r="BB122" s="74">
        <v>8129.7899999999991</v>
      </c>
      <c r="BC122" s="74">
        <v>0</v>
      </c>
      <c r="BD122" s="74">
        <v>0</v>
      </c>
      <c r="BE122" s="74">
        <v>0</v>
      </c>
    </row>
    <row r="123" spans="1:57" ht="33.950000000000003" customHeight="1" x14ac:dyDescent="0.3">
      <c r="A123" s="34">
        <v>4</v>
      </c>
      <c r="B123" s="34" t="s">
        <v>392</v>
      </c>
      <c r="C123" s="34" t="s">
        <v>941</v>
      </c>
      <c r="D123" s="34" t="s">
        <v>618</v>
      </c>
      <c r="E123" s="34" t="s">
        <v>619</v>
      </c>
      <c r="F123" s="34" t="s">
        <v>630</v>
      </c>
      <c r="G123" s="34" t="s">
        <v>631</v>
      </c>
      <c r="H123" s="73" t="s">
        <v>638</v>
      </c>
      <c r="I123" s="39" t="s">
        <v>209</v>
      </c>
      <c r="J123" s="39" t="s">
        <v>955</v>
      </c>
      <c r="K123" s="39" t="s">
        <v>429</v>
      </c>
      <c r="L123" s="36" t="s">
        <v>639</v>
      </c>
      <c r="M123" s="37" t="s">
        <v>440</v>
      </c>
      <c r="N123" s="38"/>
      <c r="O123" s="37" t="s">
        <v>38</v>
      </c>
      <c r="P123" s="37" t="s">
        <v>416</v>
      </c>
      <c r="Q123" s="74">
        <v>443700</v>
      </c>
      <c r="R123" s="74" t="s">
        <v>429</v>
      </c>
      <c r="S123" s="74">
        <v>522000</v>
      </c>
      <c r="T123" s="74"/>
      <c r="U123" s="75"/>
      <c r="V123" s="74"/>
      <c r="W123" s="80"/>
      <c r="X123" s="74">
        <v>443700</v>
      </c>
      <c r="Y123" s="76">
        <v>1</v>
      </c>
      <c r="Z123" s="74">
        <v>78300</v>
      </c>
      <c r="AA123" s="74">
        <v>0</v>
      </c>
      <c r="AB123" s="74">
        <v>0</v>
      </c>
      <c r="AC123" s="74">
        <v>0</v>
      </c>
      <c r="AD123" s="74">
        <v>1</v>
      </c>
      <c r="AE123" s="74">
        <v>443700</v>
      </c>
      <c r="AF123" s="76">
        <v>1</v>
      </c>
      <c r="AG123" s="74">
        <v>78300</v>
      </c>
      <c r="AH123" s="74">
        <v>0</v>
      </c>
      <c r="AI123" s="74">
        <v>0</v>
      </c>
      <c r="AJ123" s="74">
        <v>0</v>
      </c>
      <c r="AK123" s="74">
        <v>1</v>
      </c>
      <c r="AL123" s="74">
        <v>443700</v>
      </c>
      <c r="AM123" s="77">
        <v>1</v>
      </c>
      <c r="AN123" s="74">
        <v>78300</v>
      </c>
      <c r="AO123" s="74">
        <v>0</v>
      </c>
      <c r="AP123" s="74">
        <v>0</v>
      </c>
      <c r="AQ123" s="74">
        <v>0</v>
      </c>
      <c r="AR123" s="74">
        <v>1</v>
      </c>
      <c r="AS123" s="74">
        <v>0</v>
      </c>
      <c r="AT123" s="77">
        <v>0</v>
      </c>
      <c r="AU123" s="74">
        <v>0</v>
      </c>
      <c r="AV123" s="74">
        <v>0</v>
      </c>
      <c r="AW123" s="74">
        <v>0</v>
      </c>
      <c r="AX123" s="74">
        <v>0</v>
      </c>
      <c r="AY123" s="74">
        <v>0</v>
      </c>
      <c r="AZ123" s="74">
        <v>72318.45</v>
      </c>
      <c r="BA123" s="77">
        <v>0.16298951994590938</v>
      </c>
      <c r="BB123" s="74">
        <v>12762.07</v>
      </c>
      <c r="BC123" s="74">
        <v>0</v>
      </c>
      <c r="BD123" s="74">
        <v>0</v>
      </c>
      <c r="BE123" s="74">
        <v>0</v>
      </c>
    </row>
    <row r="124" spans="1:57" ht="33.950000000000003" customHeight="1" x14ac:dyDescent="0.3">
      <c r="A124" s="34">
        <v>4</v>
      </c>
      <c r="B124" s="34" t="s">
        <v>392</v>
      </c>
      <c r="C124" s="34" t="s">
        <v>941</v>
      </c>
      <c r="D124" s="34" t="s">
        <v>618</v>
      </c>
      <c r="E124" s="34" t="s">
        <v>619</v>
      </c>
      <c r="F124" s="34" t="s">
        <v>630</v>
      </c>
      <c r="G124" s="34" t="s">
        <v>631</v>
      </c>
      <c r="H124" s="73" t="s">
        <v>640</v>
      </c>
      <c r="I124" s="39" t="s">
        <v>210</v>
      </c>
      <c r="J124" s="39" t="s">
        <v>956</v>
      </c>
      <c r="K124" s="39" t="s">
        <v>429</v>
      </c>
      <c r="L124" s="36" t="s">
        <v>641</v>
      </c>
      <c r="M124" s="37" t="s">
        <v>440</v>
      </c>
      <c r="N124" s="37"/>
      <c r="O124" s="37" t="s">
        <v>38</v>
      </c>
      <c r="P124" s="37" t="s">
        <v>416</v>
      </c>
      <c r="Q124" s="74">
        <v>13027354</v>
      </c>
      <c r="R124" s="74" t="s">
        <v>429</v>
      </c>
      <c r="S124" s="74">
        <v>15326299</v>
      </c>
      <c r="T124" s="74"/>
      <c r="U124" s="75"/>
      <c r="V124" s="74"/>
      <c r="W124" s="80"/>
      <c r="X124" s="74">
        <v>13027354</v>
      </c>
      <c r="Y124" s="76">
        <v>1</v>
      </c>
      <c r="Z124" s="74">
        <v>2298945</v>
      </c>
      <c r="AA124" s="74">
        <v>0</v>
      </c>
      <c r="AB124" s="74">
        <v>0</v>
      </c>
      <c r="AC124" s="74">
        <v>0</v>
      </c>
      <c r="AD124" s="74">
        <v>1</v>
      </c>
      <c r="AE124" s="74">
        <v>13027354</v>
      </c>
      <c r="AF124" s="76">
        <v>1</v>
      </c>
      <c r="AG124" s="74">
        <v>2298945</v>
      </c>
      <c r="AH124" s="74">
        <v>0</v>
      </c>
      <c r="AI124" s="74">
        <v>0</v>
      </c>
      <c r="AJ124" s="74">
        <v>0</v>
      </c>
      <c r="AK124" s="74">
        <v>1</v>
      </c>
      <c r="AL124" s="74">
        <v>13027354</v>
      </c>
      <c r="AM124" s="77">
        <v>1</v>
      </c>
      <c r="AN124" s="74">
        <v>2298945</v>
      </c>
      <c r="AO124" s="74">
        <v>0</v>
      </c>
      <c r="AP124" s="74">
        <v>0</v>
      </c>
      <c r="AQ124" s="74">
        <v>0</v>
      </c>
      <c r="AR124" s="74">
        <v>1</v>
      </c>
      <c r="AS124" s="74">
        <v>0</v>
      </c>
      <c r="AT124" s="77">
        <v>0</v>
      </c>
      <c r="AU124" s="74">
        <v>0</v>
      </c>
      <c r="AV124" s="74">
        <v>0</v>
      </c>
      <c r="AW124" s="74">
        <v>0</v>
      </c>
      <c r="AX124" s="74">
        <v>0</v>
      </c>
      <c r="AY124" s="74">
        <v>0</v>
      </c>
      <c r="AZ124" s="74">
        <v>5026737.62</v>
      </c>
      <c r="BA124" s="77">
        <v>0.38586021535915888</v>
      </c>
      <c r="BB124" s="74">
        <v>887071.3600000001</v>
      </c>
      <c r="BC124" s="74">
        <v>0</v>
      </c>
      <c r="BD124" s="74">
        <v>0</v>
      </c>
      <c r="BE124" s="74">
        <v>0</v>
      </c>
    </row>
    <row r="125" spans="1:57" ht="33.950000000000003" customHeight="1" x14ac:dyDescent="0.3">
      <c r="A125" s="34">
        <v>4</v>
      </c>
      <c r="B125" s="34" t="s">
        <v>392</v>
      </c>
      <c r="C125" s="34" t="s">
        <v>941</v>
      </c>
      <c r="D125" s="34" t="s">
        <v>618</v>
      </c>
      <c r="E125" s="34" t="s">
        <v>619</v>
      </c>
      <c r="F125" s="34" t="s">
        <v>630</v>
      </c>
      <c r="G125" s="34" t="s">
        <v>631</v>
      </c>
      <c r="H125" s="73" t="s">
        <v>642</v>
      </c>
      <c r="I125" s="39" t="s">
        <v>211</v>
      </c>
      <c r="J125" s="39" t="s">
        <v>957</v>
      </c>
      <c r="K125" s="39" t="s">
        <v>429</v>
      </c>
      <c r="L125" s="36" t="s">
        <v>643</v>
      </c>
      <c r="M125" s="37" t="s">
        <v>440</v>
      </c>
      <c r="N125" s="37"/>
      <c r="O125" s="37" t="s">
        <v>38</v>
      </c>
      <c r="P125" s="37" t="s">
        <v>416</v>
      </c>
      <c r="Q125" s="74">
        <v>10444748</v>
      </c>
      <c r="R125" s="74" t="s">
        <v>429</v>
      </c>
      <c r="S125" s="74">
        <v>12287939</v>
      </c>
      <c r="T125" s="74"/>
      <c r="U125" s="75"/>
      <c r="V125" s="74"/>
      <c r="W125" s="80"/>
      <c r="X125" s="74">
        <v>10444748</v>
      </c>
      <c r="Y125" s="76">
        <v>1</v>
      </c>
      <c r="Z125" s="74">
        <v>1843191</v>
      </c>
      <c r="AA125" s="74">
        <v>0</v>
      </c>
      <c r="AB125" s="74">
        <v>0</v>
      </c>
      <c r="AC125" s="74">
        <v>0</v>
      </c>
      <c r="AD125" s="74">
        <v>1</v>
      </c>
      <c r="AE125" s="74">
        <v>10444748</v>
      </c>
      <c r="AF125" s="76">
        <v>1</v>
      </c>
      <c r="AG125" s="74">
        <v>1843191</v>
      </c>
      <c r="AH125" s="74">
        <v>0</v>
      </c>
      <c r="AI125" s="74">
        <v>0</v>
      </c>
      <c r="AJ125" s="74">
        <v>0</v>
      </c>
      <c r="AK125" s="74">
        <v>1</v>
      </c>
      <c r="AL125" s="74">
        <v>10444748</v>
      </c>
      <c r="AM125" s="77">
        <v>1</v>
      </c>
      <c r="AN125" s="74">
        <v>1843191</v>
      </c>
      <c r="AO125" s="74">
        <v>0</v>
      </c>
      <c r="AP125" s="74">
        <v>0</v>
      </c>
      <c r="AQ125" s="74">
        <v>0</v>
      </c>
      <c r="AR125" s="74">
        <v>1</v>
      </c>
      <c r="AS125" s="74">
        <v>0</v>
      </c>
      <c r="AT125" s="77">
        <v>0</v>
      </c>
      <c r="AU125" s="74">
        <v>0</v>
      </c>
      <c r="AV125" s="74">
        <v>0</v>
      </c>
      <c r="AW125" s="74">
        <v>0</v>
      </c>
      <c r="AX125" s="74">
        <v>0</v>
      </c>
      <c r="AY125" s="74">
        <v>0</v>
      </c>
      <c r="AZ125" s="74">
        <v>1994273.75</v>
      </c>
      <c r="BA125" s="77">
        <v>0.19093555440495069</v>
      </c>
      <c r="BB125" s="74">
        <v>351930.67</v>
      </c>
      <c r="BC125" s="74">
        <v>0</v>
      </c>
      <c r="BD125" s="74">
        <v>0</v>
      </c>
      <c r="BE125" s="74">
        <v>0</v>
      </c>
    </row>
    <row r="126" spans="1:57" ht="33.950000000000003" customHeight="1" x14ac:dyDescent="0.3">
      <c r="A126" s="34">
        <v>4</v>
      </c>
      <c r="B126" s="34" t="s">
        <v>392</v>
      </c>
      <c r="C126" s="34" t="s">
        <v>941</v>
      </c>
      <c r="D126" s="34" t="s">
        <v>618</v>
      </c>
      <c r="E126" s="34" t="s">
        <v>619</v>
      </c>
      <c r="F126" s="34" t="s">
        <v>630</v>
      </c>
      <c r="G126" s="34" t="s">
        <v>631</v>
      </c>
      <c r="H126" s="73" t="s">
        <v>644</v>
      </c>
      <c r="I126" s="39" t="s">
        <v>212</v>
      </c>
      <c r="J126" s="39" t="s">
        <v>958</v>
      </c>
      <c r="K126" s="39" t="s">
        <v>429</v>
      </c>
      <c r="L126" s="36" t="s">
        <v>645</v>
      </c>
      <c r="M126" s="37" t="s">
        <v>440</v>
      </c>
      <c r="N126" s="38"/>
      <c r="O126" s="37" t="s">
        <v>38</v>
      </c>
      <c r="P126" s="37" t="s">
        <v>416</v>
      </c>
      <c r="Q126" s="74">
        <v>2588250</v>
      </c>
      <c r="R126" s="74" t="s">
        <v>429</v>
      </c>
      <c r="S126" s="74">
        <v>3045000</v>
      </c>
      <c r="T126" s="74"/>
      <c r="U126" s="75"/>
      <c r="V126" s="74"/>
      <c r="W126" s="80"/>
      <c r="X126" s="74">
        <v>2588250</v>
      </c>
      <c r="Y126" s="76">
        <v>1</v>
      </c>
      <c r="Z126" s="74">
        <v>456750</v>
      </c>
      <c r="AA126" s="74">
        <v>0</v>
      </c>
      <c r="AB126" s="74">
        <v>0</v>
      </c>
      <c r="AC126" s="74">
        <v>0</v>
      </c>
      <c r="AD126" s="74">
        <v>1</v>
      </c>
      <c r="AE126" s="74">
        <v>2588250</v>
      </c>
      <c r="AF126" s="76">
        <v>1</v>
      </c>
      <c r="AG126" s="74">
        <v>456750</v>
      </c>
      <c r="AH126" s="74">
        <v>0</v>
      </c>
      <c r="AI126" s="74">
        <v>0</v>
      </c>
      <c r="AJ126" s="74">
        <v>0</v>
      </c>
      <c r="AK126" s="74">
        <v>1</v>
      </c>
      <c r="AL126" s="74">
        <v>2588250</v>
      </c>
      <c r="AM126" s="77">
        <v>1</v>
      </c>
      <c r="AN126" s="74">
        <v>456750</v>
      </c>
      <c r="AO126" s="74">
        <v>0</v>
      </c>
      <c r="AP126" s="74">
        <v>0</v>
      </c>
      <c r="AQ126" s="74">
        <v>0</v>
      </c>
      <c r="AR126" s="74">
        <v>1</v>
      </c>
      <c r="AS126" s="74">
        <v>0</v>
      </c>
      <c r="AT126" s="77">
        <v>0</v>
      </c>
      <c r="AU126" s="74">
        <v>0</v>
      </c>
      <c r="AV126" s="74">
        <v>0</v>
      </c>
      <c r="AW126" s="74">
        <v>0</v>
      </c>
      <c r="AX126" s="74">
        <v>0</v>
      </c>
      <c r="AY126" s="74">
        <v>0</v>
      </c>
      <c r="AZ126" s="74">
        <v>298031.24</v>
      </c>
      <c r="BA126" s="77">
        <v>0.11514777938761711</v>
      </c>
      <c r="BB126" s="74">
        <v>52593.75</v>
      </c>
      <c r="BC126" s="74">
        <v>0</v>
      </c>
      <c r="BD126" s="74">
        <v>0</v>
      </c>
      <c r="BE126" s="74">
        <v>0</v>
      </c>
    </row>
    <row r="127" spans="1:57" ht="33.950000000000003" customHeight="1" x14ac:dyDescent="0.3">
      <c r="A127" s="34">
        <v>4</v>
      </c>
      <c r="B127" s="34" t="s">
        <v>392</v>
      </c>
      <c r="C127" s="34" t="s">
        <v>941</v>
      </c>
      <c r="D127" s="34" t="s">
        <v>618</v>
      </c>
      <c r="E127" s="34" t="s">
        <v>619</v>
      </c>
      <c r="F127" s="34" t="s">
        <v>630</v>
      </c>
      <c r="G127" s="34" t="s">
        <v>631</v>
      </c>
      <c r="H127" s="73" t="s">
        <v>646</v>
      </c>
      <c r="I127" s="39" t="s">
        <v>213</v>
      </c>
      <c r="J127" s="39" t="s">
        <v>959</v>
      </c>
      <c r="K127" s="39" t="s">
        <v>429</v>
      </c>
      <c r="L127" s="36" t="s">
        <v>647</v>
      </c>
      <c r="M127" s="37" t="s">
        <v>440</v>
      </c>
      <c r="N127" s="38"/>
      <c r="O127" s="37" t="s">
        <v>38</v>
      </c>
      <c r="P127" s="37" t="s">
        <v>416</v>
      </c>
      <c r="Q127" s="74">
        <v>2550000</v>
      </c>
      <c r="R127" s="74" t="s">
        <v>429</v>
      </c>
      <c r="S127" s="74">
        <v>3000000</v>
      </c>
      <c r="T127" s="74"/>
      <c r="U127" s="75"/>
      <c r="V127" s="74"/>
      <c r="W127" s="80"/>
      <c r="X127" s="74">
        <v>2550000</v>
      </c>
      <c r="Y127" s="76">
        <v>1</v>
      </c>
      <c r="Z127" s="74">
        <v>450000</v>
      </c>
      <c r="AA127" s="74">
        <v>0</v>
      </c>
      <c r="AB127" s="74">
        <v>0</v>
      </c>
      <c r="AC127" s="74">
        <v>0</v>
      </c>
      <c r="AD127" s="74">
        <v>2</v>
      </c>
      <c r="AE127" s="74">
        <v>2550000</v>
      </c>
      <c r="AF127" s="76">
        <v>1</v>
      </c>
      <c r="AG127" s="74">
        <v>450000</v>
      </c>
      <c r="AH127" s="74">
        <v>0</v>
      </c>
      <c r="AI127" s="74">
        <v>0</v>
      </c>
      <c r="AJ127" s="74">
        <v>0</v>
      </c>
      <c r="AK127" s="74">
        <v>2</v>
      </c>
      <c r="AL127" s="74">
        <v>2550000</v>
      </c>
      <c r="AM127" s="77">
        <v>1</v>
      </c>
      <c r="AN127" s="74">
        <v>450000</v>
      </c>
      <c r="AO127" s="74">
        <v>0</v>
      </c>
      <c r="AP127" s="74">
        <v>0</v>
      </c>
      <c r="AQ127" s="74">
        <v>0</v>
      </c>
      <c r="AR127" s="74">
        <v>2</v>
      </c>
      <c r="AS127" s="74">
        <v>0</v>
      </c>
      <c r="AT127" s="77">
        <v>0</v>
      </c>
      <c r="AU127" s="74">
        <v>0</v>
      </c>
      <c r="AV127" s="74">
        <v>0</v>
      </c>
      <c r="AW127" s="74">
        <v>0</v>
      </c>
      <c r="AX127" s="74">
        <v>0</v>
      </c>
      <c r="AY127" s="74">
        <v>0</v>
      </c>
      <c r="AZ127" s="74">
        <v>276877.78999999998</v>
      </c>
      <c r="BA127" s="77">
        <v>0.10857952549019607</v>
      </c>
      <c r="BB127" s="74">
        <v>48860.79</v>
      </c>
      <c r="BC127" s="74">
        <v>0</v>
      </c>
      <c r="BD127" s="74">
        <v>0</v>
      </c>
      <c r="BE127" s="74">
        <v>0</v>
      </c>
    </row>
    <row r="128" spans="1:57" ht="33.950000000000003" customHeight="1" x14ac:dyDescent="0.3">
      <c r="A128" s="34">
        <v>4</v>
      </c>
      <c r="B128" s="34" t="s">
        <v>392</v>
      </c>
      <c r="C128" s="34" t="s">
        <v>941</v>
      </c>
      <c r="D128" s="34" t="s">
        <v>381</v>
      </c>
      <c r="E128" s="34" t="s">
        <v>648</v>
      </c>
      <c r="F128" s="34" t="s">
        <v>649</v>
      </c>
      <c r="G128" s="34" t="s">
        <v>650</v>
      </c>
      <c r="H128" s="73" t="s">
        <v>651</v>
      </c>
      <c r="I128" s="39" t="s">
        <v>214</v>
      </c>
      <c r="J128" s="39" t="s">
        <v>960</v>
      </c>
      <c r="K128" s="39" t="s">
        <v>429</v>
      </c>
      <c r="L128" s="36" t="s">
        <v>652</v>
      </c>
      <c r="M128" s="37" t="s">
        <v>440</v>
      </c>
      <c r="N128" s="37"/>
      <c r="O128" s="37" t="s">
        <v>39</v>
      </c>
      <c r="P128" s="37" t="s">
        <v>415</v>
      </c>
      <c r="Q128" s="74">
        <v>3697500</v>
      </c>
      <c r="R128" s="74" t="s">
        <v>429</v>
      </c>
      <c r="S128" s="74">
        <v>4350000</v>
      </c>
      <c r="T128" s="74"/>
      <c r="U128" s="75"/>
      <c r="V128" s="74"/>
      <c r="W128" s="80"/>
      <c r="X128" s="74">
        <v>3697500</v>
      </c>
      <c r="Y128" s="76">
        <v>1</v>
      </c>
      <c r="Z128" s="74">
        <v>652500</v>
      </c>
      <c r="AA128" s="74">
        <v>0</v>
      </c>
      <c r="AB128" s="74">
        <v>0</v>
      </c>
      <c r="AC128" s="74">
        <v>0</v>
      </c>
      <c r="AD128" s="74">
        <v>1</v>
      </c>
      <c r="AE128" s="74">
        <v>0</v>
      </c>
      <c r="AF128" s="76">
        <v>0</v>
      </c>
      <c r="AG128" s="74">
        <v>0</v>
      </c>
      <c r="AH128" s="74">
        <v>0</v>
      </c>
      <c r="AI128" s="74">
        <v>0</v>
      </c>
      <c r="AJ128" s="74">
        <v>0</v>
      </c>
      <c r="AK128" s="74">
        <v>0</v>
      </c>
      <c r="AL128" s="74">
        <v>0</v>
      </c>
      <c r="AM128" s="77">
        <v>0</v>
      </c>
      <c r="AN128" s="74">
        <v>0</v>
      </c>
      <c r="AO128" s="74">
        <v>0</v>
      </c>
      <c r="AP128" s="74">
        <v>0</v>
      </c>
      <c r="AQ128" s="74">
        <v>0</v>
      </c>
      <c r="AR128" s="74">
        <v>0</v>
      </c>
      <c r="AS128" s="74">
        <v>0</v>
      </c>
      <c r="AT128" s="77">
        <v>0</v>
      </c>
      <c r="AU128" s="74">
        <v>0</v>
      </c>
      <c r="AV128" s="74">
        <v>0</v>
      </c>
      <c r="AW128" s="74">
        <v>0</v>
      </c>
      <c r="AX128" s="74">
        <v>0</v>
      </c>
      <c r="AY128" s="74">
        <v>0</v>
      </c>
      <c r="AZ128" s="74">
        <v>0</v>
      </c>
      <c r="BA128" s="77">
        <v>0</v>
      </c>
      <c r="BB128" s="74">
        <v>0</v>
      </c>
      <c r="BC128" s="74">
        <v>0</v>
      </c>
      <c r="BD128" s="74">
        <v>0</v>
      </c>
      <c r="BE128" s="74">
        <v>0</v>
      </c>
    </row>
    <row r="129" spans="1:57" ht="33.950000000000003" customHeight="1" x14ac:dyDescent="0.3">
      <c r="A129" s="34">
        <v>4</v>
      </c>
      <c r="B129" s="34" t="s">
        <v>392</v>
      </c>
      <c r="C129" s="34" t="s">
        <v>941</v>
      </c>
      <c r="D129" s="34" t="s">
        <v>381</v>
      </c>
      <c r="E129" s="34" t="s">
        <v>648</v>
      </c>
      <c r="F129" s="34" t="s">
        <v>649</v>
      </c>
      <c r="G129" s="34" t="s">
        <v>650</v>
      </c>
      <c r="H129" s="73" t="s">
        <v>653</v>
      </c>
      <c r="I129" s="39" t="s">
        <v>215</v>
      </c>
      <c r="J129" s="39" t="s">
        <v>961</v>
      </c>
      <c r="K129" s="39" t="s">
        <v>429</v>
      </c>
      <c r="L129" s="36" t="s">
        <v>654</v>
      </c>
      <c r="M129" s="37" t="s">
        <v>440</v>
      </c>
      <c r="N129" s="38"/>
      <c r="O129" s="37" t="s">
        <v>39</v>
      </c>
      <c r="P129" s="37" t="s">
        <v>408</v>
      </c>
      <c r="Q129" s="74">
        <v>1479000</v>
      </c>
      <c r="R129" s="74" t="s">
        <v>429</v>
      </c>
      <c r="S129" s="74">
        <v>1740000</v>
      </c>
      <c r="T129" s="74"/>
      <c r="U129" s="75"/>
      <c r="V129" s="74"/>
      <c r="W129" s="80"/>
      <c r="X129" s="74">
        <v>1479000</v>
      </c>
      <c r="Y129" s="76">
        <v>1</v>
      </c>
      <c r="Z129" s="74">
        <v>261000</v>
      </c>
      <c r="AA129" s="74">
        <v>0</v>
      </c>
      <c r="AB129" s="74">
        <v>0</v>
      </c>
      <c r="AC129" s="74">
        <v>0</v>
      </c>
      <c r="AD129" s="74">
        <v>1</v>
      </c>
      <c r="AE129" s="74">
        <v>1479000</v>
      </c>
      <c r="AF129" s="76">
        <v>1</v>
      </c>
      <c r="AG129" s="74">
        <v>261000</v>
      </c>
      <c r="AH129" s="74">
        <v>0</v>
      </c>
      <c r="AI129" s="74">
        <v>0</v>
      </c>
      <c r="AJ129" s="74">
        <v>0</v>
      </c>
      <c r="AK129" s="74">
        <v>1</v>
      </c>
      <c r="AL129" s="74">
        <v>1479000</v>
      </c>
      <c r="AM129" s="77">
        <v>1</v>
      </c>
      <c r="AN129" s="74">
        <v>261000</v>
      </c>
      <c r="AO129" s="74">
        <v>0</v>
      </c>
      <c r="AP129" s="74">
        <v>0</v>
      </c>
      <c r="AQ129" s="74">
        <v>0</v>
      </c>
      <c r="AR129" s="74">
        <v>1</v>
      </c>
      <c r="AS129" s="74">
        <v>0</v>
      </c>
      <c r="AT129" s="77">
        <v>0</v>
      </c>
      <c r="AU129" s="74">
        <v>0</v>
      </c>
      <c r="AV129" s="74">
        <v>0</v>
      </c>
      <c r="AW129" s="74">
        <v>0</v>
      </c>
      <c r="AX129" s="74">
        <v>0</v>
      </c>
      <c r="AY129" s="74">
        <v>0</v>
      </c>
      <c r="AZ129" s="74">
        <v>91269.82</v>
      </c>
      <c r="BA129" s="77">
        <v>6.1710493576741049E-2</v>
      </c>
      <c r="BB129" s="74">
        <v>16106.45</v>
      </c>
      <c r="BC129" s="74">
        <v>0</v>
      </c>
      <c r="BD129" s="74">
        <v>0</v>
      </c>
      <c r="BE129" s="74">
        <v>0</v>
      </c>
    </row>
    <row r="130" spans="1:57" ht="33.950000000000003" customHeight="1" x14ac:dyDescent="0.3">
      <c r="A130" s="34">
        <v>4</v>
      </c>
      <c r="B130" s="34" t="s">
        <v>392</v>
      </c>
      <c r="C130" s="34" t="s">
        <v>941</v>
      </c>
      <c r="D130" s="34" t="s">
        <v>381</v>
      </c>
      <c r="E130" s="34" t="s">
        <v>648</v>
      </c>
      <c r="F130" s="34" t="s">
        <v>649</v>
      </c>
      <c r="G130" s="34" t="s">
        <v>650</v>
      </c>
      <c r="H130" s="73" t="s">
        <v>655</v>
      </c>
      <c r="I130" s="39" t="s">
        <v>216</v>
      </c>
      <c r="J130" s="39" t="s">
        <v>962</v>
      </c>
      <c r="K130" s="39" t="s">
        <v>429</v>
      </c>
      <c r="L130" s="36" t="s">
        <v>656</v>
      </c>
      <c r="M130" s="37" t="s">
        <v>440</v>
      </c>
      <c r="N130" s="37"/>
      <c r="O130" s="37" t="s">
        <v>39</v>
      </c>
      <c r="P130" s="37" t="s">
        <v>408</v>
      </c>
      <c r="Q130" s="74">
        <v>13656301</v>
      </c>
      <c r="R130" s="74" t="s">
        <v>429</v>
      </c>
      <c r="S130" s="74">
        <v>16066237</v>
      </c>
      <c r="T130" s="74"/>
      <c r="U130" s="75"/>
      <c r="V130" s="74"/>
      <c r="W130" s="80"/>
      <c r="X130" s="74">
        <v>13468429.98</v>
      </c>
      <c r="Y130" s="76">
        <v>0.98624290574731766</v>
      </c>
      <c r="Z130" s="74">
        <v>0</v>
      </c>
      <c r="AA130" s="74">
        <v>0</v>
      </c>
      <c r="AB130" s="74">
        <v>7311112.0200000005</v>
      </c>
      <c r="AC130" s="74">
        <v>0</v>
      </c>
      <c r="AD130" s="74">
        <v>24</v>
      </c>
      <c r="AE130" s="74">
        <v>13468429.98</v>
      </c>
      <c r="AF130" s="76">
        <v>0.98624290574731766</v>
      </c>
      <c r="AG130" s="74">
        <v>0</v>
      </c>
      <c r="AH130" s="74">
        <v>0</v>
      </c>
      <c r="AI130" s="74">
        <v>7311112.0200000005</v>
      </c>
      <c r="AJ130" s="74">
        <v>0</v>
      </c>
      <c r="AK130" s="74">
        <v>24</v>
      </c>
      <c r="AL130" s="74">
        <v>13468429.98</v>
      </c>
      <c r="AM130" s="77">
        <v>0.98624290574731766</v>
      </c>
      <c r="AN130" s="74">
        <v>0</v>
      </c>
      <c r="AO130" s="74">
        <v>0</v>
      </c>
      <c r="AP130" s="74">
        <v>7311112.0200000005</v>
      </c>
      <c r="AQ130" s="74">
        <v>0</v>
      </c>
      <c r="AR130" s="74">
        <v>24</v>
      </c>
      <c r="AS130" s="74">
        <v>182730.51</v>
      </c>
      <c r="AT130" s="77">
        <v>1.3380673873547458E-2</v>
      </c>
      <c r="AU130" s="74">
        <v>0</v>
      </c>
      <c r="AV130" s="74">
        <v>0</v>
      </c>
      <c r="AW130" s="74">
        <v>214892.61</v>
      </c>
      <c r="AX130" s="74">
        <v>0</v>
      </c>
      <c r="AY130" s="74">
        <v>1</v>
      </c>
      <c r="AZ130" s="74">
        <v>4231108.93</v>
      </c>
      <c r="BA130" s="77">
        <v>0.30982832979442965</v>
      </c>
      <c r="BB130" s="74">
        <v>0</v>
      </c>
      <c r="BC130" s="74">
        <v>0</v>
      </c>
      <c r="BD130" s="74">
        <v>936113.45999999973</v>
      </c>
      <c r="BE130" s="74">
        <v>0</v>
      </c>
    </row>
    <row r="131" spans="1:57" ht="33.950000000000003" customHeight="1" x14ac:dyDescent="0.3">
      <c r="A131" s="34">
        <v>4</v>
      </c>
      <c r="B131" s="34" t="s">
        <v>392</v>
      </c>
      <c r="C131" s="34" t="s">
        <v>941</v>
      </c>
      <c r="D131" s="34" t="s">
        <v>381</v>
      </c>
      <c r="E131" s="34" t="s">
        <v>648</v>
      </c>
      <c r="F131" s="34" t="s">
        <v>649</v>
      </c>
      <c r="G131" s="34" t="s">
        <v>650</v>
      </c>
      <c r="H131" s="73" t="s">
        <v>657</v>
      </c>
      <c r="I131" s="39" t="s">
        <v>217</v>
      </c>
      <c r="J131" s="39" t="s">
        <v>963</v>
      </c>
      <c r="K131" s="39" t="s">
        <v>429</v>
      </c>
      <c r="L131" s="36" t="s">
        <v>658</v>
      </c>
      <c r="M131" s="37">
        <v>1</v>
      </c>
      <c r="N131" s="38"/>
      <c r="O131" s="37" t="s">
        <v>39</v>
      </c>
      <c r="P131" s="37" t="s">
        <v>408</v>
      </c>
      <c r="Q131" s="74">
        <v>21250000</v>
      </c>
      <c r="R131" s="74" t="s">
        <v>429</v>
      </c>
      <c r="S131" s="74">
        <v>25000000</v>
      </c>
      <c r="T131" s="74"/>
      <c r="U131" s="75"/>
      <c r="V131" s="74"/>
      <c r="W131" s="80"/>
      <c r="X131" s="74">
        <v>21250000</v>
      </c>
      <c r="Y131" s="76">
        <v>1</v>
      </c>
      <c r="Z131" s="74">
        <v>3750000</v>
      </c>
      <c r="AA131" s="74">
        <v>0</v>
      </c>
      <c r="AB131" s="74">
        <v>0</v>
      </c>
      <c r="AC131" s="74">
        <v>0</v>
      </c>
      <c r="AD131" s="74">
        <v>1</v>
      </c>
      <c r="AE131" s="74">
        <v>21250000</v>
      </c>
      <c r="AF131" s="76">
        <v>1</v>
      </c>
      <c r="AG131" s="74">
        <v>3750000</v>
      </c>
      <c r="AH131" s="74">
        <v>0</v>
      </c>
      <c r="AI131" s="74">
        <v>0</v>
      </c>
      <c r="AJ131" s="74">
        <v>0</v>
      </c>
      <c r="AK131" s="74">
        <v>1</v>
      </c>
      <c r="AL131" s="74">
        <v>21250000</v>
      </c>
      <c r="AM131" s="77">
        <v>1</v>
      </c>
      <c r="AN131" s="74">
        <v>3750000</v>
      </c>
      <c r="AO131" s="74">
        <v>0</v>
      </c>
      <c r="AP131" s="74">
        <v>0</v>
      </c>
      <c r="AQ131" s="74">
        <v>0</v>
      </c>
      <c r="AR131" s="74">
        <v>1</v>
      </c>
      <c r="AS131" s="74">
        <v>21250000</v>
      </c>
      <c r="AT131" s="77">
        <v>1</v>
      </c>
      <c r="AU131" s="74">
        <v>3750000</v>
      </c>
      <c r="AV131" s="74">
        <v>0</v>
      </c>
      <c r="AW131" s="74">
        <v>0</v>
      </c>
      <c r="AX131" s="74">
        <v>0</v>
      </c>
      <c r="AY131" s="74">
        <v>1</v>
      </c>
      <c r="AZ131" s="74">
        <v>21193607.440000001</v>
      </c>
      <c r="BA131" s="77">
        <v>0.99734623247058829</v>
      </c>
      <c r="BB131" s="74">
        <v>3740048.38</v>
      </c>
      <c r="BC131" s="74">
        <v>0</v>
      </c>
      <c r="BD131" s="74">
        <v>0</v>
      </c>
      <c r="BE131" s="74">
        <v>0</v>
      </c>
    </row>
    <row r="132" spans="1:57" ht="33.950000000000003" customHeight="1" x14ac:dyDescent="0.3">
      <c r="A132" s="34">
        <v>4</v>
      </c>
      <c r="B132" s="34" t="s">
        <v>392</v>
      </c>
      <c r="C132" s="34" t="s">
        <v>941</v>
      </c>
      <c r="D132" s="34" t="s">
        <v>381</v>
      </c>
      <c r="E132" s="34" t="s">
        <v>648</v>
      </c>
      <c r="F132" s="34" t="s">
        <v>649</v>
      </c>
      <c r="G132" s="34" t="s">
        <v>650</v>
      </c>
      <c r="H132" s="73" t="s">
        <v>657</v>
      </c>
      <c r="I132" s="39" t="s">
        <v>218</v>
      </c>
      <c r="J132" s="39" t="s">
        <v>964</v>
      </c>
      <c r="K132" s="39" t="s">
        <v>429</v>
      </c>
      <c r="L132" s="36" t="s">
        <v>658</v>
      </c>
      <c r="M132" s="37">
        <v>2</v>
      </c>
      <c r="N132" s="37"/>
      <c r="O132" s="37" t="s">
        <v>39</v>
      </c>
      <c r="P132" s="37" t="s">
        <v>408</v>
      </c>
      <c r="Q132" s="74">
        <v>43781634</v>
      </c>
      <c r="R132" s="74" t="s">
        <v>429</v>
      </c>
      <c r="S132" s="74">
        <v>51507806</v>
      </c>
      <c r="T132" s="74"/>
      <c r="U132" s="75"/>
      <c r="V132" s="74"/>
      <c r="W132" s="80"/>
      <c r="X132" s="74">
        <v>43781379.120000005</v>
      </c>
      <c r="Y132" s="76">
        <v>0.99999417838082527</v>
      </c>
      <c r="Z132" s="74">
        <v>0</v>
      </c>
      <c r="AA132" s="74">
        <v>0</v>
      </c>
      <c r="AB132" s="74">
        <v>45352512.480000012</v>
      </c>
      <c r="AC132" s="74">
        <v>0</v>
      </c>
      <c r="AD132" s="74">
        <v>28</v>
      </c>
      <c r="AE132" s="74">
        <v>36991157.120000005</v>
      </c>
      <c r="AF132" s="76">
        <v>0.84490124603389638</v>
      </c>
      <c r="AG132" s="74">
        <v>0</v>
      </c>
      <c r="AH132" s="74">
        <v>0</v>
      </c>
      <c r="AI132" s="74">
        <v>44154199.370000012</v>
      </c>
      <c r="AJ132" s="74">
        <v>0</v>
      </c>
      <c r="AK132" s="74">
        <v>20</v>
      </c>
      <c r="AL132" s="74">
        <v>36991157.120000005</v>
      </c>
      <c r="AM132" s="77">
        <v>0.84490124603389638</v>
      </c>
      <c r="AN132" s="74">
        <v>0</v>
      </c>
      <c r="AO132" s="74">
        <v>0</v>
      </c>
      <c r="AP132" s="74">
        <v>44154199.370000012</v>
      </c>
      <c r="AQ132" s="74">
        <v>0</v>
      </c>
      <c r="AR132" s="74">
        <v>20</v>
      </c>
      <c r="AS132" s="74">
        <v>0</v>
      </c>
      <c r="AT132" s="77">
        <v>0</v>
      </c>
      <c r="AU132" s="74">
        <v>0</v>
      </c>
      <c r="AV132" s="74">
        <v>0</v>
      </c>
      <c r="AW132" s="74">
        <v>0</v>
      </c>
      <c r="AX132" s="74">
        <v>0</v>
      </c>
      <c r="AY132" s="74">
        <v>0</v>
      </c>
      <c r="AZ132" s="74">
        <v>6314986.4799999986</v>
      </c>
      <c r="BA132" s="77">
        <v>0.14423825478966817</v>
      </c>
      <c r="BB132" s="74">
        <v>0</v>
      </c>
      <c r="BC132" s="74">
        <v>0</v>
      </c>
      <c r="BD132" s="74">
        <v>1020239.92</v>
      </c>
      <c r="BE132" s="74">
        <v>0</v>
      </c>
    </row>
    <row r="133" spans="1:57" ht="33.950000000000003" customHeight="1" x14ac:dyDescent="0.3">
      <c r="A133" s="34">
        <v>4</v>
      </c>
      <c r="B133" s="34" t="s">
        <v>392</v>
      </c>
      <c r="C133" s="34" t="s">
        <v>941</v>
      </c>
      <c r="D133" s="34" t="s">
        <v>381</v>
      </c>
      <c r="E133" s="34" t="s">
        <v>648</v>
      </c>
      <c r="F133" s="34" t="s">
        <v>649</v>
      </c>
      <c r="G133" s="34" t="s">
        <v>650</v>
      </c>
      <c r="H133" s="73" t="s">
        <v>657</v>
      </c>
      <c r="I133" s="39" t="s">
        <v>219</v>
      </c>
      <c r="J133" s="39" t="s">
        <v>965</v>
      </c>
      <c r="K133" s="39" t="s">
        <v>429</v>
      </c>
      <c r="L133" s="36" t="s">
        <v>658</v>
      </c>
      <c r="M133" s="37">
        <v>3</v>
      </c>
      <c r="N133" s="81"/>
      <c r="O133" s="37" t="s">
        <v>39</v>
      </c>
      <c r="P133" s="37" t="s">
        <v>408</v>
      </c>
      <c r="Q133" s="74">
        <v>4517240</v>
      </c>
      <c r="R133" s="74" t="s">
        <v>429</v>
      </c>
      <c r="S133" s="74">
        <v>5314400</v>
      </c>
      <c r="T133" s="74"/>
      <c r="U133" s="75"/>
      <c r="V133" s="74"/>
      <c r="W133" s="80"/>
      <c r="X133" s="74">
        <v>4517240</v>
      </c>
      <c r="Y133" s="76">
        <v>1</v>
      </c>
      <c r="Z133" s="74">
        <v>0</v>
      </c>
      <c r="AA133" s="74">
        <v>0</v>
      </c>
      <c r="AB133" s="74">
        <v>797278.37</v>
      </c>
      <c r="AC133" s="74">
        <v>0</v>
      </c>
      <c r="AD133" s="74">
        <v>7</v>
      </c>
      <c r="AE133" s="74">
        <v>655000</v>
      </c>
      <c r="AF133" s="76">
        <v>0.14500004427482269</v>
      </c>
      <c r="AG133" s="74">
        <v>0</v>
      </c>
      <c r="AH133" s="74">
        <v>0</v>
      </c>
      <c r="AI133" s="74">
        <v>115588.24</v>
      </c>
      <c r="AJ133" s="74">
        <v>0</v>
      </c>
      <c r="AK133" s="74">
        <v>1</v>
      </c>
      <c r="AL133" s="74">
        <v>655000</v>
      </c>
      <c r="AM133" s="77">
        <v>0.14500004427482269</v>
      </c>
      <c r="AN133" s="74">
        <v>0</v>
      </c>
      <c r="AO133" s="74">
        <v>0</v>
      </c>
      <c r="AP133" s="74">
        <v>115588.24</v>
      </c>
      <c r="AQ133" s="74">
        <v>0</v>
      </c>
      <c r="AR133" s="74">
        <v>1</v>
      </c>
      <c r="AS133" s="74">
        <v>0</v>
      </c>
      <c r="AT133" s="77">
        <v>0</v>
      </c>
      <c r="AU133" s="74">
        <v>0</v>
      </c>
      <c r="AV133" s="74">
        <v>0</v>
      </c>
      <c r="AW133" s="74">
        <v>0</v>
      </c>
      <c r="AX133" s="74">
        <v>0</v>
      </c>
      <c r="AY133" s="74">
        <v>0</v>
      </c>
      <c r="AZ133" s="74">
        <v>0</v>
      </c>
      <c r="BA133" s="77">
        <v>0</v>
      </c>
      <c r="BB133" s="74">
        <v>0</v>
      </c>
      <c r="BC133" s="74">
        <v>0</v>
      </c>
      <c r="BD133" s="74">
        <v>0</v>
      </c>
      <c r="BE133" s="74">
        <v>0</v>
      </c>
    </row>
    <row r="134" spans="1:57" ht="33.950000000000003" customHeight="1" x14ac:dyDescent="0.3">
      <c r="A134" s="34">
        <v>4</v>
      </c>
      <c r="B134" s="34" t="s">
        <v>392</v>
      </c>
      <c r="C134" s="34" t="s">
        <v>941</v>
      </c>
      <c r="D134" s="34" t="s">
        <v>381</v>
      </c>
      <c r="E134" s="34" t="s">
        <v>648</v>
      </c>
      <c r="F134" s="34" t="s">
        <v>649</v>
      </c>
      <c r="G134" s="34" t="s">
        <v>650</v>
      </c>
      <c r="H134" s="73" t="s">
        <v>659</v>
      </c>
      <c r="I134" s="39" t="s">
        <v>220</v>
      </c>
      <c r="J134" s="39" t="s">
        <v>966</v>
      </c>
      <c r="K134" s="39" t="s">
        <v>429</v>
      </c>
      <c r="L134" s="36" t="s">
        <v>660</v>
      </c>
      <c r="M134" s="37">
        <v>1</v>
      </c>
      <c r="N134" s="81"/>
      <c r="O134" s="37" t="s">
        <v>39</v>
      </c>
      <c r="P134" s="37" t="s">
        <v>408</v>
      </c>
      <c r="Q134" s="74">
        <v>21644414</v>
      </c>
      <c r="R134" s="74" t="s">
        <v>429</v>
      </c>
      <c r="S134" s="74">
        <v>25464017</v>
      </c>
      <c r="T134" s="74"/>
      <c r="U134" s="75"/>
      <c r="V134" s="74"/>
      <c r="W134" s="80"/>
      <c r="X134" s="74">
        <v>21644414</v>
      </c>
      <c r="Y134" s="76">
        <v>1</v>
      </c>
      <c r="Z134" s="74">
        <v>4502116</v>
      </c>
      <c r="AA134" s="74">
        <v>0</v>
      </c>
      <c r="AB134" s="74">
        <v>0</v>
      </c>
      <c r="AC134" s="74">
        <v>0</v>
      </c>
      <c r="AD134" s="74">
        <v>1</v>
      </c>
      <c r="AE134" s="74">
        <v>21644414</v>
      </c>
      <c r="AF134" s="76">
        <v>1</v>
      </c>
      <c r="AG134" s="74">
        <v>4502116</v>
      </c>
      <c r="AH134" s="74">
        <v>0</v>
      </c>
      <c r="AI134" s="74">
        <v>0</v>
      </c>
      <c r="AJ134" s="74">
        <v>0</v>
      </c>
      <c r="AK134" s="74">
        <v>1</v>
      </c>
      <c r="AL134" s="74">
        <v>21644414</v>
      </c>
      <c r="AM134" s="77">
        <v>1</v>
      </c>
      <c r="AN134" s="74">
        <v>4502116</v>
      </c>
      <c r="AO134" s="74">
        <v>0</v>
      </c>
      <c r="AP134" s="74">
        <v>0</v>
      </c>
      <c r="AQ134" s="74">
        <v>0</v>
      </c>
      <c r="AR134" s="74">
        <v>1</v>
      </c>
      <c r="AS134" s="74">
        <v>0</v>
      </c>
      <c r="AT134" s="77">
        <v>0</v>
      </c>
      <c r="AU134" s="74">
        <v>0</v>
      </c>
      <c r="AV134" s="74">
        <v>0</v>
      </c>
      <c r="AW134" s="74">
        <v>0</v>
      </c>
      <c r="AX134" s="74">
        <v>0</v>
      </c>
      <c r="AY134" s="74">
        <v>0</v>
      </c>
      <c r="AZ134" s="74">
        <v>3877161.83</v>
      </c>
      <c r="BA134" s="77">
        <v>0.17912990529565734</v>
      </c>
      <c r="BB134" s="74">
        <v>1366718.02</v>
      </c>
      <c r="BC134" s="74">
        <v>0</v>
      </c>
      <c r="BD134" s="74">
        <v>0</v>
      </c>
      <c r="BE134" s="74">
        <v>0</v>
      </c>
    </row>
    <row r="135" spans="1:57" ht="33.950000000000003" customHeight="1" x14ac:dyDescent="0.3">
      <c r="A135" s="34">
        <v>4</v>
      </c>
      <c r="B135" s="34" t="s">
        <v>392</v>
      </c>
      <c r="C135" s="34" t="s">
        <v>941</v>
      </c>
      <c r="D135" s="34" t="s">
        <v>381</v>
      </c>
      <c r="E135" s="34" t="s">
        <v>648</v>
      </c>
      <c r="F135" s="34" t="s">
        <v>649</v>
      </c>
      <c r="G135" s="34" t="s">
        <v>650</v>
      </c>
      <c r="H135" s="73" t="s">
        <v>659</v>
      </c>
      <c r="I135" s="39" t="s">
        <v>221</v>
      </c>
      <c r="J135" s="39" t="s">
        <v>967</v>
      </c>
      <c r="K135" s="39" t="s">
        <v>429</v>
      </c>
      <c r="L135" s="36" t="s">
        <v>660</v>
      </c>
      <c r="M135" s="37">
        <v>2</v>
      </c>
      <c r="N135" s="81"/>
      <c r="O135" s="37" t="s">
        <v>39</v>
      </c>
      <c r="P135" s="37" t="s">
        <v>408</v>
      </c>
      <c r="Q135" s="74">
        <v>6228621</v>
      </c>
      <c r="R135" s="74" t="s">
        <v>429</v>
      </c>
      <c r="S135" s="74">
        <v>7327790</v>
      </c>
      <c r="T135" s="74"/>
      <c r="U135" s="75"/>
      <c r="V135" s="74"/>
      <c r="W135" s="80"/>
      <c r="X135" s="74">
        <v>6228621</v>
      </c>
      <c r="Y135" s="76">
        <v>1</v>
      </c>
      <c r="Z135" s="74">
        <v>2199169</v>
      </c>
      <c r="AA135" s="74">
        <v>0</v>
      </c>
      <c r="AB135" s="74">
        <v>0</v>
      </c>
      <c r="AC135" s="74">
        <v>0</v>
      </c>
      <c r="AD135" s="74">
        <v>2</v>
      </c>
      <c r="AE135" s="74">
        <v>6228621</v>
      </c>
      <c r="AF135" s="76">
        <v>1</v>
      </c>
      <c r="AG135" s="74">
        <v>2199169</v>
      </c>
      <c r="AH135" s="74">
        <v>0</v>
      </c>
      <c r="AI135" s="74">
        <v>0</v>
      </c>
      <c r="AJ135" s="74">
        <v>0</v>
      </c>
      <c r="AK135" s="74">
        <v>2</v>
      </c>
      <c r="AL135" s="74">
        <v>6228621</v>
      </c>
      <c r="AM135" s="77">
        <v>1</v>
      </c>
      <c r="AN135" s="74">
        <v>2199169</v>
      </c>
      <c r="AO135" s="74">
        <v>0</v>
      </c>
      <c r="AP135" s="74">
        <v>0</v>
      </c>
      <c r="AQ135" s="74">
        <v>0</v>
      </c>
      <c r="AR135" s="74">
        <v>2</v>
      </c>
      <c r="AS135" s="74">
        <v>0</v>
      </c>
      <c r="AT135" s="77">
        <v>0</v>
      </c>
      <c r="AU135" s="74">
        <v>0</v>
      </c>
      <c r="AV135" s="74">
        <v>0</v>
      </c>
      <c r="AW135" s="74">
        <v>0</v>
      </c>
      <c r="AX135" s="74">
        <v>0</v>
      </c>
      <c r="AY135" s="74">
        <v>0</v>
      </c>
      <c r="AZ135" s="74">
        <v>943097.26</v>
      </c>
      <c r="BA135" s="77">
        <v>0.15141349264949658</v>
      </c>
      <c r="BB135" s="74">
        <v>406665.76999999996</v>
      </c>
      <c r="BC135" s="74">
        <v>0</v>
      </c>
      <c r="BD135" s="74">
        <v>0</v>
      </c>
      <c r="BE135" s="74">
        <v>0</v>
      </c>
    </row>
    <row r="136" spans="1:57" ht="33.950000000000003" customHeight="1" x14ac:dyDescent="0.3">
      <c r="A136" s="34">
        <v>4</v>
      </c>
      <c r="B136" s="34" t="s">
        <v>392</v>
      </c>
      <c r="C136" s="34" t="s">
        <v>941</v>
      </c>
      <c r="D136" s="34" t="s">
        <v>381</v>
      </c>
      <c r="E136" s="34" t="s">
        <v>648</v>
      </c>
      <c r="F136" s="34" t="s">
        <v>649</v>
      </c>
      <c r="G136" s="34" t="s">
        <v>650</v>
      </c>
      <c r="H136" s="73" t="s">
        <v>659</v>
      </c>
      <c r="I136" s="39" t="s">
        <v>222</v>
      </c>
      <c r="J136" s="39" t="s">
        <v>968</v>
      </c>
      <c r="K136" s="39" t="s">
        <v>429</v>
      </c>
      <c r="L136" s="36" t="s">
        <v>660</v>
      </c>
      <c r="M136" s="37">
        <v>3</v>
      </c>
      <c r="N136" s="81"/>
      <c r="O136" s="37" t="s">
        <v>39</v>
      </c>
      <c r="P136" s="37" t="s">
        <v>408</v>
      </c>
      <c r="Q136" s="74">
        <v>7646510</v>
      </c>
      <c r="R136" s="74" t="s">
        <v>429</v>
      </c>
      <c r="S136" s="74">
        <v>8995895</v>
      </c>
      <c r="T136" s="74"/>
      <c r="U136" s="75"/>
      <c r="V136" s="74"/>
      <c r="W136" s="80"/>
      <c r="X136" s="74">
        <v>7646510</v>
      </c>
      <c r="Y136" s="76">
        <v>1</v>
      </c>
      <c r="Z136" s="74">
        <v>1349385</v>
      </c>
      <c r="AA136" s="74">
        <v>0</v>
      </c>
      <c r="AB136" s="74">
        <v>0</v>
      </c>
      <c r="AC136" s="74">
        <v>0</v>
      </c>
      <c r="AD136" s="74">
        <v>1</v>
      </c>
      <c r="AE136" s="74">
        <v>7646510</v>
      </c>
      <c r="AF136" s="76">
        <v>1</v>
      </c>
      <c r="AG136" s="74">
        <v>1349385</v>
      </c>
      <c r="AH136" s="74">
        <v>0</v>
      </c>
      <c r="AI136" s="74">
        <v>0</v>
      </c>
      <c r="AJ136" s="74">
        <v>0</v>
      </c>
      <c r="AK136" s="74">
        <v>1</v>
      </c>
      <c r="AL136" s="74">
        <v>7646510</v>
      </c>
      <c r="AM136" s="77">
        <v>1</v>
      </c>
      <c r="AN136" s="74">
        <v>1349385</v>
      </c>
      <c r="AO136" s="74">
        <v>0</v>
      </c>
      <c r="AP136" s="74">
        <v>0</v>
      </c>
      <c r="AQ136" s="74">
        <v>0</v>
      </c>
      <c r="AR136" s="74">
        <v>1</v>
      </c>
      <c r="AS136" s="74">
        <v>0</v>
      </c>
      <c r="AT136" s="77">
        <v>0</v>
      </c>
      <c r="AU136" s="74">
        <v>0</v>
      </c>
      <c r="AV136" s="74">
        <v>0</v>
      </c>
      <c r="AW136" s="74">
        <v>0</v>
      </c>
      <c r="AX136" s="74">
        <v>0</v>
      </c>
      <c r="AY136" s="74">
        <v>0</v>
      </c>
      <c r="AZ136" s="74">
        <v>177130.37</v>
      </c>
      <c r="BA136" s="77">
        <v>2.3164864755293592E-2</v>
      </c>
      <c r="BB136" s="74">
        <v>31258.3</v>
      </c>
      <c r="BC136" s="74">
        <v>0</v>
      </c>
      <c r="BD136" s="74">
        <v>0</v>
      </c>
      <c r="BE136" s="74">
        <v>0</v>
      </c>
    </row>
    <row r="137" spans="1:57" ht="33.950000000000003" customHeight="1" x14ac:dyDescent="0.3">
      <c r="A137" s="34">
        <v>4</v>
      </c>
      <c r="B137" s="34" t="s">
        <v>392</v>
      </c>
      <c r="C137" s="34" t="s">
        <v>941</v>
      </c>
      <c r="D137" s="34" t="s">
        <v>381</v>
      </c>
      <c r="E137" s="34" t="s">
        <v>648</v>
      </c>
      <c r="F137" s="34" t="s">
        <v>649</v>
      </c>
      <c r="G137" s="34" t="s">
        <v>650</v>
      </c>
      <c r="H137" s="73" t="s">
        <v>659</v>
      </c>
      <c r="I137" s="39" t="s">
        <v>223</v>
      </c>
      <c r="J137" s="39" t="s">
        <v>969</v>
      </c>
      <c r="K137" s="39" t="s">
        <v>429</v>
      </c>
      <c r="L137" s="36" t="s">
        <v>660</v>
      </c>
      <c r="M137" s="37">
        <v>4</v>
      </c>
      <c r="N137" s="37"/>
      <c r="O137" s="37" t="s">
        <v>39</v>
      </c>
      <c r="P137" s="37" t="s">
        <v>408</v>
      </c>
      <c r="Q137" s="74">
        <v>3885739</v>
      </c>
      <c r="R137" s="74" t="s">
        <v>429</v>
      </c>
      <c r="S137" s="74">
        <v>4571458</v>
      </c>
      <c r="T137" s="74"/>
      <c r="U137" s="75"/>
      <c r="V137" s="74"/>
      <c r="W137" s="80"/>
      <c r="X137" s="74">
        <v>3725798.9</v>
      </c>
      <c r="Y137" s="76">
        <v>0.95883920664769295</v>
      </c>
      <c r="Z137" s="74">
        <v>5765763.0199999996</v>
      </c>
      <c r="AA137" s="74">
        <v>0</v>
      </c>
      <c r="AB137" s="74">
        <v>0</v>
      </c>
      <c r="AC137" s="74">
        <v>0</v>
      </c>
      <c r="AD137" s="74">
        <v>3</v>
      </c>
      <c r="AE137" s="74">
        <v>3725798.9</v>
      </c>
      <c r="AF137" s="76">
        <v>0.95883920664769295</v>
      </c>
      <c r="AG137" s="74">
        <v>5765763.0199999996</v>
      </c>
      <c r="AH137" s="74">
        <v>0</v>
      </c>
      <c r="AI137" s="74">
        <v>0</v>
      </c>
      <c r="AJ137" s="74">
        <v>0</v>
      </c>
      <c r="AK137" s="74">
        <v>3</v>
      </c>
      <c r="AL137" s="74">
        <v>3725798.9</v>
      </c>
      <c r="AM137" s="77">
        <v>0.95883920664769295</v>
      </c>
      <c r="AN137" s="74">
        <v>5765763.0199999996</v>
      </c>
      <c r="AO137" s="74">
        <v>0</v>
      </c>
      <c r="AP137" s="74">
        <v>0</v>
      </c>
      <c r="AQ137" s="74">
        <v>0</v>
      </c>
      <c r="AR137" s="74">
        <v>3</v>
      </c>
      <c r="AS137" s="74">
        <v>3206530.9</v>
      </c>
      <c r="AT137" s="77">
        <v>0.8252049095423033</v>
      </c>
      <c r="AU137" s="74">
        <v>5017098.0200000005</v>
      </c>
      <c r="AV137" s="74">
        <v>0</v>
      </c>
      <c r="AW137" s="74">
        <v>0</v>
      </c>
      <c r="AX137" s="74">
        <v>0</v>
      </c>
      <c r="AY137" s="74">
        <v>2</v>
      </c>
      <c r="AZ137" s="74">
        <v>3435758.12</v>
      </c>
      <c r="BA137" s="77">
        <v>0.88419683360102164</v>
      </c>
      <c r="BB137" s="74">
        <v>5057549.8800000008</v>
      </c>
      <c r="BC137" s="74">
        <v>0</v>
      </c>
      <c r="BD137" s="74">
        <v>0</v>
      </c>
      <c r="BE137" s="74">
        <v>0</v>
      </c>
    </row>
    <row r="138" spans="1:57" ht="33.950000000000003" customHeight="1" x14ac:dyDescent="0.3">
      <c r="A138" s="34">
        <v>4</v>
      </c>
      <c r="B138" s="34" t="s">
        <v>392</v>
      </c>
      <c r="C138" s="34" t="s">
        <v>941</v>
      </c>
      <c r="D138" s="34" t="s">
        <v>381</v>
      </c>
      <c r="E138" s="34" t="s">
        <v>648</v>
      </c>
      <c r="F138" s="34" t="s">
        <v>649</v>
      </c>
      <c r="G138" s="34" t="s">
        <v>650</v>
      </c>
      <c r="H138" s="73" t="s">
        <v>661</v>
      </c>
      <c r="I138" s="39" t="s">
        <v>224</v>
      </c>
      <c r="J138" s="39" t="s">
        <v>970</v>
      </c>
      <c r="K138" s="39" t="s">
        <v>429</v>
      </c>
      <c r="L138" s="36" t="s">
        <v>662</v>
      </c>
      <c r="M138" s="37" t="s">
        <v>440</v>
      </c>
      <c r="N138" s="81"/>
      <c r="O138" s="37" t="s">
        <v>39</v>
      </c>
      <c r="P138" s="37" t="s">
        <v>414</v>
      </c>
      <c r="Q138" s="74">
        <v>38795105</v>
      </c>
      <c r="R138" s="74" t="s">
        <v>429</v>
      </c>
      <c r="S138" s="74">
        <v>43672735</v>
      </c>
      <c r="T138" s="74"/>
      <c r="U138" s="75"/>
      <c r="V138" s="74"/>
      <c r="W138" s="80"/>
      <c r="X138" s="74">
        <v>37118463.769999996</v>
      </c>
      <c r="Y138" s="76">
        <v>0.95678214480924839</v>
      </c>
      <c r="Z138" s="74">
        <v>0</v>
      </c>
      <c r="AA138" s="74">
        <v>0</v>
      </c>
      <c r="AB138" s="74">
        <v>33413169.939999998</v>
      </c>
      <c r="AC138" s="74">
        <v>0</v>
      </c>
      <c r="AD138" s="74">
        <v>10</v>
      </c>
      <c r="AE138" s="74">
        <v>37118463.769999996</v>
      </c>
      <c r="AF138" s="76">
        <v>0.95678214480924839</v>
      </c>
      <c r="AG138" s="74">
        <v>0</v>
      </c>
      <c r="AH138" s="74">
        <v>0</v>
      </c>
      <c r="AI138" s="74">
        <v>33413169.939999998</v>
      </c>
      <c r="AJ138" s="74">
        <v>0</v>
      </c>
      <c r="AK138" s="74">
        <v>10</v>
      </c>
      <c r="AL138" s="74">
        <v>37118463.769999996</v>
      </c>
      <c r="AM138" s="77">
        <v>0.95678214480924839</v>
      </c>
      <c r="AN138" s="74">
        <v>0</v>
      </c>
      <c r="AO138" s="74">
        <v>0</v>
      </c>
      <c r="AP138" s="74">
        <v>33413169.939999998</v>
      </c>
      <c r="AQ138" s="74">
        <v>0</v>
      </c>
      <c r="AR138" s="74">
        <v>10</v>
      </c>
      <c r="AS138" s="74">
        <v>4800015.7699999996</v>
      </c>
      <c r="AT138" s="77">
        <v>0.12372735606721517</v>
      </c>
      <c r="AU138" s="74">
        <v>0</v>
      </c>
      <c r="AV138" s="74">
        <v>0</v>
      </c>
      <c r="AW138" s="74">
        <v>2971509.46</v>
      </c>
      <c r="AX138" s="74">
        <v>0</v>
      </c>
      <c r="AY138" s="74">
        <v>3</v>
      </c>
      <c r="AZ138" s="74">
        <v>13798962.589999996</v>
      </c>
      <c r="BA138" s="77">
        <v>0.35568823927657872</v>
      </c>
      <c r="BB138" s="74">
        <v>0</v>
      </c>
      <c r="BC138" s="74">
        <v>0</v>
      </c>
      <c r="BD138" s="74">
        <v>5109795.83</v>
      </c>
      <c r="BE138" s="74">
        <v>0</v>
      </c>
    </row>
    <row r="139" spans="1:57" ht="33.950000000000003" customHeight="1" x14ac:dyDescent="0.3">
      <c r="A139" s="34">
        <v>4</v>
      </c>
      <c r="B139" s="34" t="s">
        <v>392</v>
      </c>
      <c r="C139" s="34" t="s">
        <v>941</v>
      </c>
      <c r="D139" s="34" t="s">
        <v>381</v>
      </c>
      <c r="E139" s="34" t="s">
        <v>648</v>
      </c>
      <c r="F139" s="34" t="s">
        <v>649</v>
      </c>
      <c r="G139" s="34" t="s">
        <v>650</v>
      </c>
      <c r="H139" s="73" t="s">
        <v>663</v>
      </c>
      <c r="I139" s="39" t="s">
        <v>225</v>
      </c>
      <c r="J139" s="39" t="s">
        <v>971</v>
      </c>
      <c r="K139" s="39" t="s">
        <v>429</v>
      </c>
      <c r="L139" s="36" t="s">
        <v>664</v>
      </c>
      <c r="M139" s="37">
        <v>1</v>
      </c>
      <c r="N139" s="81"/>
      <c r="O139" s="37" t="s">
        <v>39</v>
      </c>
      <c r="P139" s="37" t="s">
        <v>408</v>
      </c>
      <c r="Q139" s="74">
        <v>1469563</v>
      </c>
      <c r="R139" s="74" t="s">
        <v>429</v>
      </c>
      <c r="S139" s="74">
        <v>1728898</v>
      </c>
      <c r="T139" s="74"/>
      <c r="U139" s="75"/>
      <c r="V139" s="74"/>
      <c r="W139" s="80"/>
      <c r="X139" s="74">
        <v>1460625.27</v>
      </c>
      <c r="Y139" s="76">
        <v>0.99391810354506749</v>
      </c>
      <c r="Z139" s="74">
        <v>257757.4</v>
      </c>
      <c r="AA139" s="74">
        <v>0</v>
      </c>
      <c r="AB139" s="74">
        <v>0</v>
      </c>
      <c r="AC139" s="74">
        <v>0</v>
      </c>
      <c r="AD139" s="74">
        <v>1</v>
      </c>
      <c r="AE139" s="74">
        <v>1460625.27</v>
      </c>
      <c r="AF139" s="76">
        <v>0.99391810354506749</v>
      </c>
      <c r="AG139" s="74">
        <v>257757.4</v>
      </c>
      <c r="AH139" s="74">
        <v>0</v>
      </c>
      <c r="AI139" s="74">
        <v>0</v>
      </c>
      <c r="AJ139" s="74">
        <v>0</v>
      </c>
      <c r="AK139" s="74">
        <v>1</v>
      </c>
      <c r="AL139" s="74">
        <v>1460625.27</v>
      </c>
      <c r="AM139" s="77">
        <v>0.99391810354506749</v>
      </c>
      <c r="AN139" s="74">
        <v>257757.4</v>
      </c>
      <c r="AO139" s="74">
        <v>0</v>
      </c>
      <c r="AP139" s="74">
        <v>0</v>
      </c>
      <c r="AQ139" s="74">
        <v>0</v>
      </c>
      <c r="AR139" s="74">
        <v>1</v>
      </c>
      <c r="AS139" s="74">
        <v>1460625.27</v>
      </c>
      <c r="AT139" s="77">
        <v>0.99391810354506749</v>
      </c>
      <c r="AU139" s="74">
        <v>257757.4</v>
      </c>
      <c r="AV139" s="74">
        <v>0</v>
      </c>
      <c r="AW139" s="74">
        <v>0</v>
      </c>
      <c r="AX139" s="74">
        <v>0</v>
      </c>
      <c r="AY139" s="74">
        <v>1</v>
      </c>
      <c r="AZ139" s="74">
        <v>1460625.27</v>
      </c>
      <c r="BA139" s="77">
        <v>0.99391810354506749</v>
      </c>
      <c r="BB139" s="74">
        <v>257757.4</v>
      </c>
      <c r="BC139" s="74">
        <v>0</v>
      </c>
      <c r="BD139" s="74">
        <v>0</v>
      </c>
      <c r="BE139" s="74">
        <v>0</v>
      </c>
    </row>
    <row r="140" spans="1:57" ht="33.950000000000003" customHeight="1" x14ac:dyDescent="0.3">
      <c r="A140" s="34">
        <v>4</v>
      </c>
      <c r="B140" s="34" t="s">
        <v>392</v>
      </c>
      <c r="C140" s="34" t="s">
        <v>941</v>
      </c>
      <c r="D140" s="34" t="s">
        <v>381</v>
      </c>
      <c r="E140" s="34" t="s">
        <v>648</v>
      </c>
      <c r="F140" s="34" t="s">
        <v>649</v>
      </c>
      <c r="G140" s="34" t="s">
        <v>650</v>
      </c>
      <c r="H140" s="73" t="s">
        <v>663</v>
      </c>
      <c r="I140" s="39" t="s">
        <v>226</v>
      </c>
      <c r="J140" s="39" t="s">
        <v>972</v>
      </c>
      <c r="K140" s="39" t="s">
        <v>429</v>
      </c>
      <c r="L140" s="36" t="s">
        <v>664</v>
      </c>
      <c r="M140" s="37">
        <v>2</v>
      </c>
      <c r="N140" s="37"/>
      <c r="O140" s="37" t="s">
        <v>39</v>
      </c>
      <c r="P140" s="37" t="s">
        <v>408</v>
      </c>
      <c r="Q140" s="74">
        <v>26656937</v>
      </c>
      <c r="R140" s="74" t="s">
        <v>429</v>
      </c>
      <c r="S140" s="74">
        <v>31361103</v>
      </c>
      <c r="T140" s="74"/>
      <c r="U140" s="75"/>
      <c r="V140" s="74"/>
      <c r="W140" s="80"/>
      <c r="X140" s="74">
        <v>23962712.150000002</v>
      </c>
      <c r="Y140" s="76">
        <v>0.89892969135951373</v>
      </c>
      <c r="Z140" s="74">
        <v>4228714.8499999996</v>
      </c>
      <c r="AA140" s="74">
        <v>0</v>
      </c>
      <c r="AB140" s="74">
        <v>0</v>
      </c>
      <c r="AC140" s="74">
        <v>0</v>
      </c>
      <c r="AD140" s="74">
        <v>11</v>
      </c>
      <c r="AE140" s="74">
        <v>23962712.150000002</v>
      </c>
      <c r="AF140" s="76">
        <v>0.89892969135951373</v>
      </c>
      <c r="AG140" s="74">
        <v>4228714.8499999996</v>
      </c>
      <c r="AH140" s="74">
        <v>0</v>
      </c>
      <c r="AI140" s="74">
        <v>0</v>
      </c>
      <c r="AJ140" s="74">
        <v>0</v>
      </c>
      <c r="AK140" s="74">
        <v>11</v>
      </c>
      <c r="AL140" s="74">
        <v>23962712.150000002</v>
      </c>
      <c r="AM140" s="77">
        <v>0.89892969135951373</v>
      </c>
      <c r="AN140" s="74">
        <v>4228714.8499999996</v>
      </c>
      <c r="AO140" s="74">
        <v>0</v>
      </c>
      <c r="AP140" s="74">
        <v>0</v>
      </c>
      <c r="AQ140" s="74">
        <v>0</v>
      </c>
      <c r="AR140" s="74">
        <v>11</v>
      </c>
      <c r="AS140" s="74">
        <v>0</v>
      </c>
      <c r="AT140" s="77">
        <v>0</v>
      </c>
      <c r="AU140" s="74">
        <v>0</v>
      </c>
      <c r="AV140" s="74">
        <v>0</v>
      </c>
      <c r="AW140" s="74">
        <v>0</v>
      </c>
      <c r="AX140" s="74">
        <v>0</v>
      </c>
      <c r="AY140" s="74">
        <v>0</v>
      </c>
      <c r="AZ140" s="74">
        <v>4156862.3300000005</v>
      </c>
      <c r="BA140" s="77">
        <v>0.15593923375367547</v>
      </c>
      <c r="BB140" s="74">
        <v>733563.90999999992</v>
      </c>
      <c r="BC140" s="74">
        <v>0</v>
      </c>
      <c r="BD140" s="74">
        <v>0</v>
      </c>
      <c r="BE140" s="74">
        <v>0</v>
      </c>
    </row>
    <row r="141" spans="1:57" ht="33.950000000000003" customHeight="1" x14ac:dyDescent="0.3">
      <c r="A141" s="34">
        <v>4</v>
      </c>
      <c r="B141" s="34" t="s">
        <v>392</v>
      </c>
      <c r="C141" s="34" t="s">
        <v>941</v>
      </c>
      <c r="D141" s="34" t="s">
        <v>381</v>
      </c>
      <c r="E141" s="34" t="s">
        <v>648</v>
      </c>
      <c r="F141" s="34" t="s">
        <v>649</v>
      </c>
      <c r="G141" s="34" t="s">
        <v>650</v>
      </c>
      <c r="H141" s="73" t="s">
        <v>663</v>
      </c>
      <c r="I141" s="39" t="s">
        <v>227</v>
      </c>
      <c r="J141" s="39" t="s">
        <v>973</v>
      </c>
      <c r="K141" s="39" t="s">
        <v>429</v>
      </c>
      <c r="L141" s="36" t="s">
        <v>664</v>
      </c>
      <c r="M141" s="37">
        <v>3</v>
      </c>
      <c r="N141" s="82"/>
      <c r="O141" s="37" t="s">
        <v>39</v>
      </c>
      <c r="P141" s="37" t="s">
        <v>408</v>
      </c>
      <c r="Q141" s="74">
        <v>1780892</v>
      </c>
      <c r="R141" s="74" t="s">
        <v>429</v>
      </c>
      <c r="S141" s="74">
        <v>2095168</v>
      </c>
      <c r="T141" s="74"/>
      <c r="U141" s="75"/>
      <c r="V141" s="74"/>
      <c r="W141" s="80"/>
      <c r="X141" s="74">
        <v>1780892</v>
      </c>
      <c r="Y141" s="76">
        <v>1</v>
      </c>
      <c r="Z141" s="74">
        <v>314276</v>
      </c>
      <c r="AA141" s="74">
        <v>0</v>
      </c>
      <c r="AB141" s="74">
        <v>0</v>
      </c>
      <c r="AC141" s="74">
        <v>0</v>
      </c>
      <c r="AD141" s="74">
        <v>1</v>
      </c>
      <c r="AE141" s="74">
        <v>1780892</v>
      </c>
      <c r="AF141" s="76">
        <v>1</v>
      </c>
      <c r="AG141" s="74">
        <v>314276</v>
      </c>
      <c r="AH141" s="74">
        <v>0</v>
      </c>
      <c r="AI141" s="74">
        <v>0</v>
      </c>
      <c r="AJ141" s="74">
        <v>0</v>
      </c>
      <c r="AK141" s="74">
        <v>1</v>
      </c>
      <c r="AL141" s="74">
        <v>1780892</v>
      </c>
      <c r="AM141" s="77">
        <v>1</v>
      </c>
      <c r="AN141" s="74">
        <v>314276</v>
      </c>
      <c r="AO141" s="74">
        <v>0</v>
      </c>
      <c r="AP141" s="74">
        <v>0</v>
      </c>
      <c r="AQ141" s="74">
        <v>0</v>
      </c>
      <c r="AR141" s="74">
        <v>1</v>
      </c>
      <c r="AS141" s="74">
        <v>0</v>
      </c>
      <c r="AT141" s="77">
        <v>0</v>
      </c>
      <c r="AU141" s="74">
        <v>0</v>
      </c>
      <c r="AV141" s="74">
        <v>0</v>
      </c>
      <c r="AW141" s="74">
        <v>0</v>
      </c>
      <c r="AX141" s="74">
        <v>0</v>
      </c>
      <c r="AY141" s="74">
        <v>0</v>
      </c>
      <c r="AZ141" s="74">
        <v>79472.759999999995</v>
      </c>
      <c r="BA141" s="77">
        <v>4.4625255209187302E-2</v>
      </c>
      <c r="BB141" s="74">
        <v>14024.599999999999</v>
      </c>
      <c r="BC141" s="74">
        <v>0</v>
      </c>
      <c r="BD141" s="74">
        <v>0</v>
      </c>
      <c r="BE141" s="74">
        <v>0</v>
      </c>
    </row>
    <row r="142" spans="1:57" ht="33.950000000000003" customHeight="1" x14ac:dyDescent="0.3">
      <c r="A142" s="34">
        <v>4</v>
      </c>
      <c r="B142" s="34" t="s">
        <v>392</v>
      </c>
      <c r="C142" s="34" t="s">
        <v>941</v>
      </c>
      <c r="D142" s="34" t="s">
        <v>381</v>
      </c>
      <c r="E142" s="34" t="s">
        <v>648</v>
      </c>
      <c r="F142" s="34" t="s">
        <v>665</v>
      </c>
      <c r="G142" s="34" t="s">
        <v>666</v>
      </c>
      <c r="H142" s="73" t="s">
        <v>667</v>
      </c>
      <c r="I142" s="39" t="s">
        <v>228</v>
      </c>
      <c r="J142" s="39" t="s">
        <v>974</v>
      </c>
      <c r="K142" s="39" t="s">
        <v>429</v>
      </c>
      <c r="L142" s="36" t="s">
        <v>668</v>
      </c>
      <c r="M142" s="37" t="s">
        <v>440</v>
      </c>
      <c r="N142" s="81"/>
      <c r="O142" s="37" t="s">
        <v>38</v>
      </c>
      <c r="P142" s="37" t="s">
        <v>408</v>
      </c>
      <c r="Q142" s="74">
        <v>28908160</v>
      </c>
      <c r="R142" s="74" t="s">
        <v>429</v>
      </c>
      <c r="S142" s="74">
        <v>34009600</v>
      </c>
      <c r="T142" s="74"/>
      <c r="U142" s="75"/>
      <c r="V142" s="74"/>
      <c r="W142" s="80"/>
      <c r="X142" s="74">
        <v>28908160</v>
      </c>
      <c r="Y142" s="76">
        <v>1</v>
      </c>
      <c r="Z142" s="74">
        <v>5101440</v>
      </c>
      <c r="AA142" s="74">
        <v>0</v>
      </c>
      <c r="AB142" s="74">
        <v>0</v>
      </c>
      <c r="AC142" s="74">
        <v>0</v>
      </c>
      <c r="AD142" s="74">
        <v>1</v>
      </c>
      <c r="AE142" s="74">
        <v>28908160</v>
      </c>
      <c r="AF142" s="76">
        <v>1</v>
      </c>
      <c r="AG142" s="74">
        <v>5101440</v>
      </c>
      <c r="AH142" s="74">
        <v>0</v>
      </c>
      <c r="AI142" s="74">
        <v>0</v>
      </c>
      <c r="AJ142" s="74">
        <v>0</v>
      </c>
      <c r="AK142" s="74">
        <v>1</v>
      </c>
      <c r="AL142" s="74">
        <v>28908160</v>
      </c>
      <c r="AM142" s="77">
        <v>1</v>
      </c>
      <c r="AN142" s="74">
        <v>5101440</v>
      </c>
      <c r="AO142" s="74">
        <v>0</v>
      </c>
      <c r="AP142" s="74">
        <v>0</v>
      </c>
      <c r="AQ142" s="74">
        <v>0</v>
      </c>
      <c r="AR142" s="74">
        <v>1</v>
      </c>
      <c r="AS142" s="74">
        <v>0</v>
      </c>
      <c r="AT142" s="77">
        <v>0</v>
      </c>
      <c r="AU142" s="74">
        <v>0</v>
      </c>
      <c r="AV142" s="74">
        <v>0</v>
      </c>
      <c r="AW142" s="74">
        <v>0</v>
      </c>
      <c r="AX142" s="74">
        <v>0</v>
      </c>
      <c r="AY142" s="74">
        <v>0</v>
      </c>
      <c r="AZ142" s="74">
        <v>2554644.34</v>
      </c>
      <c r="BA142" s="77">
        <v>8.8371046099094505E-2</v>
      </c>
      <c r="BB142" s="74">
        <v>450819.57999999996</v>
      </c>
      <c r="BC142" s="74">
        <v>0</v>
      </c>
      <c r="BD142" s="74">
        <v>0</v>
      </c>
      <c r="BE142" s="74">
        <v>0</v>
      </c>
    </row>
    <row r="143" spans="1:57" ht="33.950000000000003" customHeight="1" x14ac:dyDescent="0.3">
      <c r="A143" s="34">
        <v>4</v>
      </c>
      <c r="B143" s="34" t="s">
        <v>392</v>
      </c>
      <c r="C143" s="34" t="s">
        <v>941</v>
      </c>
      <c r="D143" s="34" t="s">
        <v>381</v>
      </c>
      <c r="E143" s="34" t="s">
        <v>648</v>
      </c>
      <c r="F143" s="34" t="s">
        <v>665</v>
      </c>
      <c r="G143" s="34" t="s">
        <v>666</v>
      </c>
      <c r="H143" s="73" t="s">
        <v>669</v>
      </c>
      <c r="I143" s="39" t="s">
        <v>229</v>
      </c>
      <c r="J143" s="39" t="s">
        <v>975</v>
      </c>
      <c r="K143" s="39" t="s">
        <v>429</v>
      </c>
      <c r="L143" s="36" t="s">
        <v>670</v>
      </c>
      <c r="M143" s="37" t="s">
        <v>440</v>
      </c>
      <c r="N143" s="81"/>
      <c r="O143" s="37" t="s">
        <v>38</v>
      </c>
      <c r="P143" s="37" t="s">
        <v>408</v>
      </c>
      <c r="Q143" s="74">
        <v>65298766</v>
      </c>
      <c r="R143" s="74" t="s">
        <v>429</v>
      </c>
      <c r="S143" s="74">
        <v>76822078</v>
      </c>
      <c r="T143" s="74"/>
      <c r="U143" s="75"/>
      <c r="V143" s="74"/>
      <c r="W143" s="80"/>
      <c r="X143" s="74">
        <v>65298766</v>
      </c>
      <c r="Y143" s="76">
        <v>1</v>
      </c>
      <c r="Z143" s="74">
        <v>11523312</v>
      </c>
      <c r="AA143" s="74">
        <v>0</v>
      </c>
      <c r="AB143" s="74">
        <v>0</v>
      </c>
      <c r="AC143" s="74">
        <v>0</v>
      </c>
      <c r="AD143" s="74">
        <v>1</v>
      </c>
      <c r="AE143" s="74">
        <v>65298766</v>
      </c>
      <c r="AF143" s="76">
        <v>1</v>
      </c>
      <c r="AG143" s="74">
        <v>11523312</v>
      </c>
      <c r="AH143" s="74">
        <v>0</v>
      </c>
      <c r="AI143" s="74">
        <v>0</v>
      </c>
      <c r="AJ143" s="74">
        <v>0</v>
      </c>
      <c r="AK143" s="74">
        <v>1</v>
      </c>
      <c r="AL143" s="74">
        <v>65298766</v>
      </c>
      <c r="AM143" s="77">
        <v>1</v>
      </c>
      <c r="AN143" s="74">
        <v>11523312</v>
      </c>
      <c r="AO143" s="74">
        <v>0</v>
      </c>
      <c r="AP143" s="74">
        <v>0</v>
      </c>
      <c r="AQ143" s="74">
        <v>0</v>
      </c>
      <c r="AR143" s="74">
        <v>1</v>
      </c>
      <c r="AS143" s="74">
        <v>0</v>
      </c>
      <c r="AT143" s="77">
        <v>0</v>
      </c>
      <c r="AU143" s="74">
        <v>0</v>
      </c>
      <c r="AV143" s="74">
        <v>0</v>
      </c>
      <c r="AW143" s="74">
        <v>0</v>
      </c>
      <c r="AX143" s="74">
        <v>0</v>
      </c>
      <c r="AY143" s="74">
        <v>0</v>
      </c>
      <c r="AZ143" s="74">
        <v>8168775.9900000002</v>
      </c>
      <c r="BA143" s="77">
        <v>0.12509847414268135</v>
      </c>
      <c r="BB143" s="74">
        <v>1441548.7</v>
      </c>
      <c r="BC143" s="74">
        <v>0</v>
      </c>
      <c r="BD143" s="74">
        <v>0</v>
      </c>
      <c r="BE143" s="74">
        <v>0</v>
      </c>
    </row>
    <row r="144" spans="1:57" ht="33.950000000000003" customHeight="1" x14ac:dyDescent="0.3">
      <c r="A144" s="34">
        <v>4</v>
      </c>
      <c r="B144" s="34" t="s">
        <v>392</v>
      </c>
      <c r="C144" s="34" t="s">
        <v>941</v>
      </c>
      <c r="D144" s="34" t="s">
        <v>381</v>
      </c>
      <c r="E144" s="34" t="s">
        <v>648</v>
      </c>
      <c r="F144" s="34" t="s">
        <v>665</v>
      </c>
      <c r="G144" s="34" t="s">
        <v>666</v>
      </c>
      <c r="H144" s="73" t="s">
        <v>671</v>
      </c>
      <c r="I144" s="39" t="s">
        <v>230</v>
      </c>
      <c r="J144" s="39" t="s">
        <v>976</v>
      </c>
      <c r="K144" s="39" t="s">
        <v>429</v>
      </c>
      <c r="L144" s="36" t="s">
        <v>672</v>
      </c>
      <c r="M144" s="37" t="s">
        <v>440</v>
      </c>
      <c r="N144" s="81"/>
      <c r="O144" s="37" t="s">
        <v>38</v>
      </c>
      <c r="P144" s="37" t="s">
        <v>408</v>
      </c>
      <c r="Q144" s="74">
        <v>14015404</v>
      </c>
      <c r="R144" s="74" t="s">
        <v>429</v>
      </c>
      <c r="S144" s="74">
        <v>16488711</v>
      </c>
      <c r="T144" s="74"/>
      <c r="U144" s="75"/>
      <c r="V144" s="74"/>
      <c r="W144" s="80"/>
      <c r="X144" s="74">
        <v>14015404</v>
      </c>
      <c r="Y144" s="76">
        <v>1</v>
      </c>
      <c r="Z144" s="74">
        <v>2473307</v>
      </c>
      <c r="AA144" s="74">
        <v>0</v>
      </c>
      <c r="AB144" s="74">
        <v>0</v>
      </c>
      <c r="AC144" s="74">
        <v>0</v>
      </c>
      <c r="AD144" s="74">
        <v>1</v>
      </c>
      <c r="AE144" s="74">
        <v>14015404</v>
      </c>
      <c r="AF144" s="76">
        <v>1</v>
      </c>
      <c r="AG144" s="74">
        <v>2473307</v>
      </c>
      <c r="AH144" s="74">
        <v>0</v>
      </c>
      <c r="AI144" s="74">
        <v>0</v>
      </c>
      <c r="AJ144" s="74">
        <v>0</v>
      </c>
      <c r="AK144" s="74">
        <v>1</v>
      </c>
      <c r="AL144" s="74">
        <v>14015404</v>
      </c>
      <c r="AM144" s="77">
        <v>1</v>
      </c>
      <c r="AN144" s="74">
        <v>2473307</v>
      </c>
      <c r="AO144" s="74">
        <v>0</v>
      </c>
      <c r="AP144" s="74">
        <v>0</v>
      </c>
      <c r="AQ144" s="74">
        <v>0</v>
      </c>
      <c r="AR144" s="74">
        <v>1</v>
      </c>
      <c r="AS144" s="74">
        <v>0</v>
      </c>
      <c r="AT144" s="77">
        <v>0</v>
      </c>
      <c r="AU144" s="74">
        <v>0</v>
      </c>
      <c r="AV144" s="74">
        <v>0</v>
      </c>
      <c r="AW144" s="74">
        <v>0</v>
      </c>
      <c r="AX144" s="74">
        <v>0</v>
      </c>
      <c r="AY144" s="74">
        <v>0</v>
      </c>
      <c r="AZ144" s="74">
        <v>519388.6</v>
      </c>
      <c r="BA144" s="77">
        <v>3.7058410874206693E-2</v>
      </c>
      <c r="BB144" s="74">
        <v>91656.81</v>
      </c>
      <c r="BC144" s="74">
        <v>0</v>
      </c>
      <c r="BD144" s="74">
        <v>0</v>
      </c>
      <c r="BE144" s="74">
        <v>0</v>
      </c>
    </row>
    <row r="145" spans="1:57" s="14" customFormat="1" ht="33.950000000000003" customHeight="1" x14ac:dyDescent="0.3">
      <c r="A145" s="34">
        <v>4</v>
      </c>
      <c r="B145" s="34" t="s">
        <v>392</v>
      </c>
      <c r="C145" s="34" t="s">
        <v>941</v>
      </c>
      <c r="D145" s="34" t="s">
        <v>381</v>
      </c>
      <c r="E145" s="34" t="s">
        <v>648</v>
      </c>
      <c r="F145" s="34" t="s">
        <v>665</v>
      </c>
      <c r="G145" s="34" t="s">
        <v>666</v>
      </c>
      <c r="H145" s="73" t="s">
        <v>673</v>
      </c>
      <c r="I145" s="39" t="s">
        <v>231</v>
      </c>
      <c r="J145" s="39" t="s">
        <v>977</v>
      </c>
      <c r="K145" s="39" t="s">
        <v>429</v>
      </c>
      <c r="L145" s="36" t="s">
        <v>674</v>
      </c>
      <c r="M145" s="37" t="s">
        <v>440</v>
      </c>
      <c r="N145" s="81"/>
      <c r="O145" s="37" t="s">
        <v>38</v>
      </c>
      <c r="P145" s="37" t="s">
        <v>408</v>
      </c>
      <c r="Q145" s="74">
        <v>5306614</v>
      </c>
      <c r="R145" s="74" t="s">
        <v>429</v>
      </c>
      <c r="S145" s="74">
        <v>6243076</v>
      </c>
      <c r="T145" s="74"/>
      <c r="U145" s="75"/>
      <c r="V145" s="74"/>
      <c r="W145" s="80"/>
      <c r="X145" s="74">
        <v>5306512.8499999996</v>
      </c>
      <c r="Y145" s="76">
        <v>0.99998093888117723</v>
      </c>
      <c r="Z145" s="74">
        <v>936444.15</v>
      </c>
      <c r="AA145" s="74">
        <v>0</v>
      </c>
      <c r="AB145" s="74">
        <v>0</v>
      </c>
      <c r="AC145" s="74">
        <v>0</v>
      </c>
      <c r="AD145" s="74">
        <v>1</v>
      </c>
      <c r="AE145" s="74">
        <v>5306512.8499999996</v>
      </c>
      <c r="AF145" s="76">
        <v>0.99998093888117723</v>
      </c>
      <c r="AG145" s="74">
        <v>936444.15</v>
      </c>
      <c r="AH145" s="74">
        <v>0</v>
      </c>
      <c r="AI145" s="74">
        <v>0</v>
      </c>
      <c r="AJ145" s="74">
        <v>0</v>
      </c>
      <c r="AK145" s="74">
        <v>1</v>
      </c>
      <c r="AL145" s="74">
        <v>5306512.8499999996</v>
      </c>
      <c r="AM145" s="77">
        <v>0.99998093888117723</v>
      </c>
      <c r="AN145" s="74">
        <v>936444.15</v>
      </c>
      <c r="AO145" s="74">
        <v>0</v>
      </c>
      <c r="AP145" s="74">
        <v>0</v>
      </c>
      <c r="AQ145" s="74">
        <v>0</v>
      </c>
      <c r="AR145" s="74">
        <v>1</v>
      </c>
      <c r="AS145" s="74">
        <v>0</v>
      </c>
      <c r="AT145" s="77">
        <v>0</v>
      </c>
      <c r="AU145" s="74">
        <v>0</v>
      </c>
      <c r="AV145" s="74">
        <v>0</v>
      </c>
      <c r="AW145" s="74">
        <v>0</v>
      </c>
      <c r="AX145" s="74">
        <v>0</v>
      </c>
      <c r="AY145" s="74">
        <v>0</v>
      </c>
      <c r="AZ145" s="74">
        <v>2699174.04</v>
      </c>
      <c r="BA145" s="77">
        <v>0.5086433722143725</v>
      </c>
      <c r="BB145" s="74">
        <v>476324.85</v>
      </c>
      <c r="BC145" s="74">
        <v>0</v>
      </c>
      <c r="BD145" s="74">
        <v>0</v>
      </c>
      <c r="BE145" s="74">
        <v>0</v>
      </c>
    </row>
    <row r="146" spans="1:57" ht="33.950000000000003" customHeight="1" x14ac:dyDescent="0.3">
      <c r="A146" s="34">
        <v>4</v>
      </c>
      <c r="B146" s="34" t="s">
        <v>392</v>
      </c>
      <c r="C146" s="34" t="s">
        <v>941</v>
      </c>
      <c r="D146" s="34" t="s">
        <v>381</v>
      </c>
      <c r="E146" s="34" t="s">
        <v>648</v>
      </c>
      <c r="F146" s="34" t="s">
        <v>665</v>
      </c>
      <c r="G146" s="34" t="s">
        <v>666</v>
      </c>
      <c r="H146" s="73" t="s">
        <v>675</v>
      </c>
      <c r="I146" s="39" t="s">
        <v>232</v>
      </c>
      <c r="J146" s="39" t="s">
        <v>978</v>
      </c>
      <c r="K146" s="39" t="s">
        <v>429</v>
      </c>
      <c r="L146" s="36" t="s">
        <v>676</v>
      </c>
      <c r="M146" s="37" t="s">
        <v>440</v>
      </c>
      <c r="N146" s="81"/>
      <c r="O146" s="37" t="s">
        <v>38</v>
      </c>
      <c r="P146" s="37" t="s">
        <v>408</v>
      </c>
      <c r="Q146" s="74">
        <v>1005550</v>
      </c>
      <c r="R146" s="74" t="s">
        <v>429</v>
      </c>
      <c r="S146" s="74">
        <v>1183000</v>
      </c>
      <c r="T146" s="74"/>
      <c r="U146" s="75"/>
      <c r="V146" s="74"/>
      <c r="W146" s="80"/>
      <c r="X146" s="74">
        <v>1005550</v>
      </c>
      <c r="Y146" s="76">
        <v>1</v>
      </c>
      <c r="Z146" s="74">
        <v>177450</v>
      </c>
      <c r="AA146" s="74">
        <v>0</v>
      </c>
      <c r="AB146" s="74">
        <v>0</v>
      </c>
      <c r="AC146" s="74">
        <v>0</v>
      </c>
      <c r="AD146" s="74">
        <v>1</v>
      </c>
      <c r="AE146" s="74">
        <v>1005550</v>
      </c>
      <c r="AF146" s="76">
        <v>1</v>
      </c>
      <c r="AG146" s="74">
        <v>177450</v>
      </c>
      <c r="AH146" s="74">
        <v>0</v>
      </c>
      <c r="AI146" s="74">
        <v>0</v>
      </c>
      <c r="AJ146" s="74">
        <v>0</v>
      </c>
      <c r="AK146" s="74">
        <v>1</v>
      </c>
      <c r="AL146" s="74">
        <v>1005550</v>
      </c>
      <c r="AM146" s="77">
        <v>1</v>
      </c>
      <c r="AN146" s="74">
        <v>177450</v>
      </c>
      <c r="AO146" s="74">
        <v>0</v>
      </c>
      <c r="AP146" s="74">
        <v>0</v>
      </c>
      <c r="AQ146" s="74">
        <v>0</v>
      </c>
      <c r="AR146" s="74">
        <v>1</v>
      </c>
      <c r="AS146" s="74">
        <v>0</v>
      </c>
      <c r="AT146" s="77">
        <v>0</v>
      </c>
      <c r="AU146" s="74">
        <v>0</v>
      </c>
      <c r="AV146" s="74">
        <v>0</v>
      </c>
      <c r="AW146" s="74">
        <v>0</v>
      </c>
      <c r="AX146" s="74">
        <v>0</v>
      </c>
      <c r="AY146" s="74">
        <v>0</v>
      </c>
      <c r="AZ146" s="74">
        <v>345553.14</v>
      </c>
      <c r="BA146" s="77">
        <v>0.34364590522599575</v>
      </c>
      <c r="BB146" s="74">
        <v>60979.96</v>
      </c>
      <c r="BC146" s="74">
        <v>0</v>
      </c>
      <c r="BD146" s="74">
        <v>0</v>
      </c>
      <c r="BE146" s="74">
        <v>0</v>
      </c>
    </row>
    <row r="147" spans="1:57" ht="33.950000000000003" customHeight="1" x14ac:dyDescent="0.3">
      <c r="A147" s="34">
        <v>4</v>
      </c>
      <c r="B147" s="34" t="s">
        <v>392</v>
      </c>
      <c r="C147" s="34" t="s">
        <v>941</v>
      </c>
      <c r="D147" s="34" t="s">
        <v>381</v>
      </c>
      <c r="E147" s="34" t="s">
        <v>648</v>
      </c>
      <c r="F147" s="34" t="s">
        <v>665</v>
      </c>
      <c r="G147" s="34" t="s">
        <v>666</v>
      </c>
      <c r="H147" s="73" t="s">
        <v>677</v>
      </c>
      <c r="I147" s="39" t="s">
        <v>233</v>
      </c>
      <c r="J147" s="39" t="s">
        <v>979</v>
      </c>
      <c r="K147" s="39" t="s">
        <v>429</v>
      </c>
      <c r="L147" s="36" t="s">
        <v>678</v>
      </c>
      <c r="M147" s="37" t="s">
        <v>440</v>
      </c>
      <c r="N147" s="81"/>
      <c r="O147" s="37" t="s">
        <v>38</v>
      </c>
      <c r="P147" s="37" t="s">
        <v>408</v>
      </c>
      <c r="Q147" s="74">
        <v>2911964</v>
      </c>
      <c r="R147" s="74" t="s">
        <v>429</v>
      </c>
      <c r="S147" s="74">
        <v>3425840</v>
      </c>
      <c r="T147" s="74"/>
      <c r="U147" s="75"/>
      <c r="V147" s="74"/>
      <c r="W147" s="80"/>
      <c r="X147" s="74">
        <v>2911964</v>
      </c>
      <c r="Y147" s="76">
        <v>1</v>
      </c>
      <c r="Z147" s="74">
        <v>513876</v>
      </c>
      <c r="AA147" s="74">
        <v>0</v>
      </c>
      <c r="AB147" s="74">
        <v>0</v>
      </c>
      <c r="AC147" s="74">
        <v>0</v>
      </c>
      <c r="AD147" s="74">
        <v>1</v>
      </c>
      <c r="AE147" s="74">
        <v>2911964</v>
      </c>
      <c r="AF147" s="76">
        <v>1</v>
      </c>
      <c r="AG147" s="74">
        <v>513876</v>
      </c>
      <c r="AH147" s="74">
        <v>0</v>
      </c>
      <c r="AI147" s="74">
        <v>0</v>
      </c>
      <c r="AJ147" s="74">
        <v>0</v>
      </c>
      <c r="AK147" s="74">
        <v>1</v>
      </c>
      <c r="AL147" s="74">
        <v>2911964</v>
      </c>
      <c r="AM147" s="77">
        <v>1</v>
      </c>
      <c r="AN147" s="74">
        <v>513876</v>
      </c>
      <c r="AO147" s="74">
        <v>0</v>
      </c>
      <c r="AP147" s="74">
        <v>0</v>
      </c>
      <c r="AQ147" s="74">
        <v>0</v>
      </c>
      <c r="AR147" s="74">
        <v>1</v>
      </c>
      <c r="AS147" s="74">
        <v>0</v>
      </c>
      <c r="AT147" s="77">
        <v>0</v>
      </c>
      <c r="AU147" s="74">
        <v>0</v>
      </c>
      <c r="AV147" s="74">
        <v>0</v>
      </c>
      <c r="AW147" s="74">
        <v>0</v>
      </c>
      <c r="AX147" s="74">
        <v>0</v>
      </c>
      <c r="AY147" s="74">
        <v>0</v>
      </c>
      <c r="AZ147" s="74">
        <v>979389.03000000014</v>
      </c>
      <c r="BA147" s="77">
        <v>0.33633280837263102</v>
      </c>
      <c r="BB147" s="74">
        <v>172833.38</v>
      </c>
      <c r="BC147" s="74">
        <v>0</v>
      </c>
      <c r="BD147" s="74">
        <v>0</v>
      </c>
      <c r="BE147" s="74">
        <v>0</v>
      </c>
    </row>
    <row r="148" spans="1:57" ht="33.950000000000003" customHeight="1" x14ac:dyDescent="0.3">
      <c r="A148" s="34">
        <v>4</v>
      </c>
      <c r="B148" s="34" t="s">
        <v>392</v>
      </c>
      <c r="C148" s="34" t="s">
        <v>941</v>
      </c>
      <c r="D148" s="34" t="s">
        <v>381</v>
      </c>
      <c r="E148" s="34" t="s">
        <v>648</v>
      </c>
      <c r="F148" s="34" t="s">
        <v>665</v>
      </c>
      <c r="G148" s="34" t="s">
        <v>666</v>
      </c>
      <c r="H148" s="73" t="s">
        <v>679</v>
      </c>
      <c r="I148" s="39" t="s">
        <v>234</v>
      </c>
      <c r="J148" s="39" t="s">
        <v>980</v>
      </c>
      <c r="K148" s="39" t="s">
        <v>429</v>
      </c>
      <c r="L148" s="36" t="s">
        <v>680</v>
      </c>
      <c r="M148" s="37" t="s">
        <v>440</v>
      </c>
      <c r="N148" s="38"/>
      <c r="O148" s="37" t="s">
        <v>38</v>
      </c>
      <c r="P148" s="37" t="s">
        <v>408</v>
      </c>
      <c r="Q148" s="74">
        <v>621180</v>
      </c>
      <c r="R148" s="74" t="s">
        <v>429</v>
      </c>
      <c r="S148" s="74">
        <v>730800</v>
      </c>
      <c r="T148" s="74"/>
      <c r="U148" s="75"/>
      <c r="V148" s="74"/>
      <c r="W148" s="80"/>
      <c r="X148" s="74">
        <v>523173</v>
      </c>
      <c r="Y148" s="76">
        <v>0.84222447599729544</v>
      </c>
      <c r="Z148" s="74">
        <v>92325</v>
      </c>
      <c r="AA148" s="74">
        <v>0</v>
      </c>
      <c r="AB148" s="74">
        <v>0</v>
      </c>
      <c r="AC148" s="74">
        <v>0</v>
      </c>
      <c r="AD148" s="74">
        <v>1</v>
      </c>
      <c r="AE148" s="74">
        <v>523173</v>
      </c>
      <c r="AF148" s="76">
        <v>0.84222447599729544</v>
      </c>
      <c r="AG148" s="74">
        <v>92325</v>
      </c>
      <c r="AH148" s="74">
        <v>0</v>
      </c>
      <c r="AI148" s="74">
        <v>0</v>
      </c>
      <c r="AJ148" s="74">
        <v>0</v>
      </c>
      <c r="AK148" s="74">
        <v>1</v>
      </c>
      <c r="AL148" s="74">
        <v>523173</v>
      </c>
      <c r="AM148" s="77">
        <v>0.84222447599729544</v>
      </c>
      <c r="AN148" s="74">
        <v>92325</v>
      </c>
      <c r="AO148" s="74">
        <v>0</v>
      </c>
      <c r="AP148" s="74">
        <v>0</v>
      </c>
      <c r="AQ148" s="74">
        <v>0</v>
      </c>
      <c r="AR148" s="74">
        <v>1</v>
      </c>
      <c r="AS148" s="74">
        <v>0</v>
      </c>
      <c r="AT148" s="77">
        <v>0</v>
      </c>
      <c r="AU148" s="74">
        <v>0</v>
      </c>
      <c r="AV148" s="74">
        <v>0</v>
      </c>
      <c r="AW148" s="74">
        <v>0</v>
      </c>
      <c r="AX148" s="74">
        <v>0</v>
      </c>
      <c r="AY148" s="74">
        <v>0</v>
      </c>
      <c r="AZ148" s="74">
        <v>247779.19999999998</v>
      </c>
      <c r="BA148" s="77">
        <v>0.39888470330660997</v>
      </c>
      <c r="BB148" s="74">
        <v>43725.729999999996</v>
      </c>
      <c r="BC148" s="74">
        <v>0</v>
      </c>
      <c r="BD148" s="74">
        <v>0</v>
      </c>
      <c r="BE148" s="74">
        <v>0</v>
      </c>
    </row>
    <row r="149" spans="1:57" ht="33.950000000000003" customHeight="1" x14ac:dyDescent="0.3">
      <c r="A149" s="34">
        <v>4</v>
      </c>
      <c r="B149" s="34" t="s">
        <v>392</v>
      </c>
      <c r="C149" s="34" t="s">
        <v>941</v>
      </c>
      <c r="D149" s="34" t="s">
        <v>381</v>
      </c>
      <c r="E149" s="34" t="s">
        <v>648</v>
      </c>
      <c r="F149" s="34" t="s">
        <v>665</v>
      </c>
      <c r="G149" s="34" t="s">
        <v>666</v>
      </c>
      <c r="H149" s="73" t="s">
        <v>681</v>
      </c>
      <c r="I149" s="39" t="s">
        <v>235</v>
      </c>
      <c r="J149" s="39" t="s">
        <v>981</v>
      </c>
      <c r="K149" s="39" t="s">
        <v>429</v>
      </c>
      <c r="L149" s="36" t="s">
        <v>682</v>
      </c>
      <c r="M149" s="37">
        <v>1</v>
      </c>
      <c r="N149" s="78"/>
      <c r="O149" s="37" t="s">
        <v>38</v>
      </c>
      <c r="P149" s="37" t="s">
        <v>408</v>
      </c>
      <c r="Q149" s="74">
        <v>8839650</v>
      </c>
      <c r="R149" s="74" t="s">
        <v>429</v>
      </c>
      <c r="S149" s="74">
        <v>10399589</v>
      </c>
      <c r="T149" s="74"/>
      <c r="U149" s="75"/>
      <c r="V149" s="74"/>
      <c r="W149" s="80"/>
      <c r="X149" s="74">
        <v>8839650</v>
      </c>
      <c r="Y149" s="76">
        <v>1</v>
      </c>
      <c r="Z149" s="74">
        <v>1559939</v>
      </c>
      <c r="AA149" s="74">
        <v>0</v>
      </c>
      <c r="AB149" s="74">
        <v>0</v>
      </c>
      <c r="AC149" s="74">
        <v>0</v>
      </c>
      <c r="AD149" s="74">
        <v>1</v>
      </c>
      <c r="AE149" s="74">
        <v>8839650</v>
      </c>
      <c r="AF149" s="76">
        <v>1</v>
      </c>
      <c r="AG149" s="74">
        <v>1559939</v>
      </c>
      <c r="AH149" s="74">
        <v>0</v>
      </c>
      <c r="AI149" s="74">
        <v>0</v>
      </c>
      <c r="AJ149" s="74">
        <v>0</v>
      </c>
      <c r="AK149" s="74">
        <v>1</v>
      </c>
      <c r="AL149" s="74">
        <v>8839650</v>
      </c>
      <c r="AM149" s="77">
        <v>1</v>
      </c>
      <c r="AN149" s="74">
        <v>1559939</v>
      </c>
      <c r="AO149" s="74">
        <v>0</v>
      </c>
      <c r="AP149" s="74">
        <v>0</v>
      </c>
      <c r="AQ149" s="74">
        <v>0</v>
      </c>
      <c r="AR149" s="74">
        <v>1</v>
      </c>
      <c r="AS149" s="74">
        <v>0</v>
      </c>
      <c r="AT149" s="77">
        <v>0</v>
      </c>
      <c r="AU149" s="74">
        <v>0</v>
      </c>
      <c r="AV149" s="74">
        <v>0</v>
      </c>
      <c r="AW149" s="74">
        <v>0</v>
      </c>
      <c r="AX149" s="74">
        <v>0</v>
      </c>
      <c r="AY149" s="74">
        <v>0</v>
      </c>
      <c r="AZ149" s="74">
        <v>2151293.92</v>
      </c>
      <c r="BA149" s="77">
        <v>0.24336867636162066</v>
      </c>
      <c r="BB149" s="74">
        <v>379640.08999999997</v>
      </c>
      <c r="BC149" s="74">
        <v>0</v>
      </c>
      <c r="BD149" s="74">
        <v>0</v>
      </c>
      <c r="BE149" s="74">
        <v>0</v>
      </c>
    </row>
    <row r="150" spans="1:57" ht="33.950000000000003" customHeight="1" x14ac:dyDescent="0.3">
      <c r="A150" s="34">
        <v>4</v>
      </c>
      <c r="B150" s="34" t="s">
        <v>392</v>
      </c>
      <c r="C150" s="34" t="s">
        <v>941</v>
      </c>
      <c r="D150" s="34" t="s">
        <v>381</v>
      </c>
      <c r="E150" s="34" t="s">
        <v>648</v>
      </c>
      <c r="F150" s="34" t="s">
        <v>665</v>
      </c>
      <c r="G150" s="34" t="s">
        <v>666</v>
      </c>
      <c r="H150" s="73" t="s">
        <v>681</v>
      </c>
      <c r="I150" s="39" t="s">
        <v>236</v>
      </c>
      <c r="J150" s="39" t="s">
        <v>982</v>
      </c>
      <c r="K150" s="39" t="s">
        <v>429</v>
      </c>
      <c r="L150" s="36" t="s">
        <v>682</v>
      </c>
      <c r="M150" s="37">
        <v>2</v>
      </c>
      <c r="N150" s="38"/>
      <c r="O150" s="37" t="s">
        <v>38</v>
      </c>
      <c r="P150" s="37" t="s">
        <v>408</v>
      </c>
      <c r="Q150" s="74">
        <v>3272500</v>
      </c>
      <c r="R150" s="74" t="s">
        <v>429</v>
      </c>
      <c r="S150" s="74">
        <v>3850000</v>
      </c>
      <c r="T150" s="74"/>
      <c r="U150" s="75"/>
      <c r="V150" s="74"/>
      <c r="W150" s="80"/>
      <c r="X150" s="74">
        <v>3272500</v>
      </c>
      <c r="Y150" s="76">
        <v>1</v>
      </c>
      <c r="Z150" s="74">
        <v>577500</v>
      </c>
      <c r="AA150" s="74">
        <v>0</v>
      </c>
      <c r="AB150" s="74">
        <v>0</v>
      </c>
      <c r="AC150" s="74">
        <v>0</v>
      </c>
      <c r="AD150" s="74">
        <v>1</v>
      </c>
      <c r="AE150" s="74">
        <v>3272500</v>
      </c>
      <c r="AF150" s="76">
        <v>1</v>
      </c>
      <c r="AG150" s="74">
        <v>577500</v>
      </c>
      <c r="AH150" s="74">
        <v>0</v>
      </c>
      <c r="AI150" s="74">
        <v>0</v>
      </c>
      <c r="AJ150" s="74">
        <v>0</v>
      </c>
      <c r="AK150" s="74">
        <v>1</v>
      </c>
      <c r="AL150" s="74">
        <v>3272500</v>
      </c>
      <c r="AM150" s="77">
        <v>1</v>
      </c>
      <c r="AN150" s="74">
        <v>577500</v>
      </c>
      <c r="AO150" s="74">
        <v>0</v>
      </c>
      <c r="AP150" s="74">
        <v>0</v>
      </c>
      <c r="AQ150" s="74">
        <v>0</v>
      </c>
      <c r="AR150" s="74">
        <v>1</v>
      </c>
      <c r="AS150" s="74">
        <v>0</v>
      </c>
      <c r="AT150" s="77">
        <v>0</v>
      </c>
      <c r="AU150" s="74">
        <v>0</v>
      </c>
      <c r="AV150" s="74">
        <v>0</v>
      </c>
      <c r="AW150" s="74">
        <v>0</v>
      </c>
      <c r="AX150" s="74">
        <v>0</v>
      </c>
      <c r="AY150" s="74">
        <v>0</v>
      </c>
      <c r="AZ150" s="74">
        <v>2013066.6600000001</v>
      </c>
      <c r="BA150" s="77">
        <v>0.61514642016806731</v>
      </c>
      <c r="BB150" s="74">
        <v>355247.05</v>
      </c>
      <c r="BC150" s="74">
        <v>0</v>
      </c>
      <c r="BD150" s="74">
        <v>0</v>
      </c>
      <c r="BE150" s="74">
        <v>0</v>
      </c>
    </row>
    <row r="151" spans="1:57" ht="33.950000000000003" customHeight="1" x14ac:dyDescent="0.3">
      <c r="A151" s="34">
        <v>4</v>
      </c>
      <c r="B151" s="34" t="s">
        <v>392</v>
      </c>
      <c r="C151" s="34" t="s">
        <v>941</v>
      </c>
      <c r="D151" s="34" t="s">
        <v>381</v>
      </c>
      <c r="E151" s="34" t="s">
        <v>648</v>
      </c>
      <c r="F151" s="34" t="s">
        <v>665</v>
      </c>
      <c r="G151" s="34" t="s">
        <v>666</v>
      </c>
      <c r="H151" s="73" t="s">
        <v>683</v>
      </c>
      <c r="I151" s="39" t="s">
        <v>237</v>
      </c>
      <c r="J151" s="39" t="s">
        <v>983</v>
      </c>
      <c r="K151" s="39" t="s">
        <v>429</v>
      </c>
      <c r="L151" s="36" t="s">
        <v>684</v>
      </c>
      <c r="M151" s="37">
        <v>1</v>
      </c>
      <c r="N151" s="38"/>
      <c r="O151" s="37" t="s">
        <v>38</v>
      </c>
      <c r="P151" s="37" t="s">
        <v>408</v>
      </c>
      <c r="Q151" s="74">
        <v>19922947</v>
      </c>
      <c r="R151" s="74" t="s">
        <v>429</v>
      </c>
      <c r="S151" s="74">
        <v>23438762</v>
      </c>
      <c r="T151" s="74"/>
      <c r="U151" s="75"/>
      <c r="V151" s="74"/>
      <c r="W151" s="80"/>
      <c r="X151" s="74">
        <v>19922947</v>
      </c>
      <c r="Y151" s="76">
        <v>1</v>
      </c>
      <c r="Z151" s="74">
        <v>3515815</v>
      </c>
      <c r="AA151" s="74">
        <v>0</v>
      </c>
      <c r="AB151" s="74">
        <v>0</v>
      </c>
      <c r="AC151" s="74">
        <v>0</v>
      </c>
      <c r="AD151" s="74">
        <v>1</v>
      </c>
      <c r="AE151" s="74">
        <v>19922947</v>
      </c>
      <c r="AF151" s="76">
        <v>1</v>
      </c>
      <c r="AG151" s="74">
        <v>3515815</v>
      </c>
      <c r="AH151" s="74">
        <v>0</v>
      </c>
      <c r="AI151" s="74">
        <v>0</v>
      </c>
      <c r="AJ151" s="74">
        <v>0</v>
      </c>
      <c r="AK151" s="74">
        <v>1</v>
      </c>
      <c r="AL151" s="74">
        <v>19922947</v>
      </c>
      <c r="AM151" s="77">
        <v>1</v>
      </c>
      <c r="AN151" s="74">
        <v>3515815</v>
      </c>
      <c r="AO151" s="74">
        <v>0</v>
      </c>
      <c r="AP151" s="74">
        <v>0</v>
      </c>
      <c r="AQ151" s="74">
        <v>0</v>
      </c>
      <c r="AR151" s="74">
        <v>1</v>
      </c>
      <c r="AS151" s="74">
        <v>0</v>
      </c>
      <c r="AT151" s="77">
        <v>0</v>
      </c>
      <c r="AU151" s="74">
        <v>0</v>
      </c>
      <c r="AV151" s="74">
        <v>0</v>
      </c>
      <c r="AW151" s="74">
        <v>0</v>
      </c>
      <c r="AX151" s="74">
        <v>0</v>
      </c>
      <c r="AY151" s="74">
        <v>0</v>
      </c>
      <c r="AZ151" s="74">
        <v>724427.98</v>
      </c>
      <c r="BA151" s="77">
        <v>3.636148708321113E-2</v>
      </c>
      <c r="BB151" s="74">
        <v>127840.23</v>
      </c>
      <c r="BC151" s="74">
        <v>0</v>
      </c>
      <c r="BD151" s="74">
        <v>0</v>
      </c>
      <c r="BE151" s="74">
        <v>0</v>
      </c>
    </row>
    <row r="152" spans="1:57" ht="33.950000000000003" customHeight="1" x14ac:dyDescent="0.3">
      <c r="A152" s="34">
        <v>4</v>
      </c>
      <c r="B152" s="34" t="s">
        <v>392</v>
      </c>
      <c r="C152" s="34" t="s">
        <v>941</v>
      </c>
      <c r="D152" s="34" t="s">
        <v>381</v>
      </c>
      <c r="E152" s="34" t="s">
        <v>648</v>
      </c>
      <c r="F152" s="34" t="s">
        <v>665</v>
      </c>
      <c r="G152" s="34" t="s">
        <v>666</v>
      </c>
      <c r="H152" s="73" t="s">
        <v>683</v>
      </c>
      <c r="I152" s="39" t="s">
        <v>238</v>
      </c>
      <c r="J152" s="39" t="s">
        <v>984</v>
      </c>
      <c r="K152" s="39" t="s">
        <v>429</v>
      </c>
      <c r="L152" s="36" t="s">
        <v>684</v>
      </c>
      <c r="M152" s="37">
        <v>2</v>
      </c>
      <c r="N152" s="38"/>
      <c r="O152" s="37" t="s">
        <v>38</v>
      </c>
      <c r="P152" s="37" t="s">
        <v>408</v>
      </c>
      <c r="Q152" s="74">
        <v>8500000</v>
      </c>
      <c r="R152" s="74" t="s">
        <v>429</v>
      </c>
      <c r="S152" s="74">
        <v>10000000</v>
      </c>
      <c r="T152" s="74"/>
      <c r="U152" s="75"/>
      <c r="V152" s="74"/>
      <c r="W152" s="80"/>
      <c r="X152" s="74">
        <v>0</v>
      </c>
      <c r="Y152" s="76">
        <v>0</v>
      </c>
      <c r="Z152" s="74">
        <v>0</v>
      </c>
      <c r="AA152" s="74">
        <v>0</v>
      </c>
      <c r="AB152" s="74">
        <v>0</v>
      </c>
      <c r="AC152" s="74">
        <v>0</v>
      </c>
      <c r="AD152" s="74">
        <v>0</v>
      </c>
      <c r="AE152" s="74">
        <v>0</v>
      </c>
      <c r="AF152" s="76">
        <v>0</v>
      </c>
      <c r="AG152" s="74">
        <v>0</v>
      </c>
      <c r="AH152" s="74">
        <v>0</v>
      </c>
      <c r="AI152" s="74">
        <v>0</v>
      </c>
      <c r="AJ152" s="74">
        <v>0</v>
      </c>
      <c r="AK152" s="74">
        <v>0</v>
      </c>
      <c r="AL152" s="74">
        <v>0</v>
      </c>
      <c r="AM152" s="77">
        <v>0</v>
      </c>
      <c r="AN152" s="74">
        <v>0</v>
      </c>
      <c r="AO152" s="74">
        <v>0</v>
      </c>
      <c r="AP152" s="74">
        <v>0</v>
      </c>
      <c r="AQ152" s="74">
        <v>0</v>
      </c>
      <c r="AR152" s="74">
        <v>0</v>
      </c>
      <c r="AS152" s="74">
        <v>0</v>
      </c>
      <c r="AT152" s="77">
        <v>0</v>
      </c>
      <c r="AU152" s="74">
        <v>0</v>
      </c>
      <c r="AV152" s="74">
        <v>0</v>
      </c>
      <c r="AW152" s="74">
        <v>0</v>
      </c>
      <c r="AX152" s="74">
        <v>0</v>
      </c>
      <c r="AY152" s="74">
        <v>0</v>
      </c>
      <c r="AZ152" s="74">
        <v>0</v>
      </c>
      <c r="BA152" s="77">
        <v>0</v>
      </c>
      <c r="BB152" s="74">
        <v>0</v>
      </c>
      <c r="BC152" s="74">
        <v>0</v>
      </c>
      <c r="BD152" s="74">
        <v>0</v>
      </c>
      <c r="BE152" s="74">
        <v>0</v>
      </c>
    </row>
    <row r="153" spans="1:57" ht="33.950000000000003" customHeight="1" x14ac:dyDescent="0.3">
      <c r="A153" s="34">
        <v>4</v>
      </c>
      <c r="B153" s="34" t="s">
        <v>392</v>
      </c>
      <c r="C153" s="34" t="s">
        <v>941</v>
      </c>
      <c r="D153" s="34" t="s">
        <v>381</v>
      </c>
      <c r="E153" s="34" t="s">
        <v>648</v>
      </c>
      <c r="F153" s="34" t="s">
        <v>685</v>
      </c>
      <c r="G153" s="34" t="s">
        <v>686</v>
      </c>
      <c r="H153" s="73" t="s">
        <v>687</v>
      </c>
      <c r="I153" s="39" t="s">
        <v>239</v>
      </c>
      <c r="J153" s="39" t="s">
        <v>985</v>
      </c>
      <c r="K153" s="39" t="s">
        <v>429</v>
      </c>
      <c r="L153" s="36" t="s">
        <v>688</v>
      </c>
      <c r="M153" s="37" t="s">
        <v>440</v>
      </c>
      <c r="N153" s="38"/>
      <c r="O153" s="37" t="s">
        <v>38</v>
      </c>
      <c r="P153" s="37" t="s">
        <v>408</v>
      </c>
      <c r="Q153" s="74">
        <v>25113464</v>
      </c>
      <c r="R153" s="74" t="s">
        <v>429</v>
      </c>
      <c r="S153" s="74">
        <v>29545252</v>
      </c>
      <c r="T153" s="74"/>
      <c r="U153" s="75"/>
      <c r="V153" s="74"/>
      <c r="W153" s="80"/>
      <c r="X153" s="74">
        <v>25113464</v>
      </c>
      <c r="Y153" s="76">
        <v>1</v>
      </c>
      <c r="Z153" s="74">
        <v>4431788</v>
      </c>
      <c r="AA153" s="74">
        <v>0</v>
      </c>
      <c r="AB153" s="74">
        <v>0</v>
      </c>
      <c r="AC153" s="74">
        <v>0</v>
      </c>
      <c r="AD153" s="74">
        <v>1</v>
      </c>
      <c r="AE153" s="74">
        <v>25113464</v>
      </c>
      <c r="AF153" s="76">
        <v>1</v>
      </c>
      <c r="AG153" s="74">
        <v>4431788</v>
      </c>
      <c r="AH153" s="74">
        <v>0</v>
      </c>
      <c r="AI153" s="74">
        <v>0</v>
      </c>
      <c r="AJ153" s="74">
        <v>0</v>
      </c>
      <c r="AK153" s="74">
        <v>1</v>
      </c>
      <c r="AL153" s="74">
        <v>25113464</v>
      </c>
      <c r="AM153" s="77">
        <v>1</v>
      </c>
      <c r="AN153" s="74">
        <v>4431788</v>
      </c>
      <c r="AO153" s="74">
        <v>0</v>
      </c>
      <c r="AP153" s="74">
        <v>0</v>
      </c>
      <c r="AQ153" s="74">
        <v>0</v>
      </c>
      <c r="AR153" s="74">
        <v>1</v>
      </c>
      <c r="AS153" s="74">
        <v>0</v>
      </c>
      <c r="AT153" s="77">
        <v>0</v>
      </c>
      <c r="AU153" s="74">
        <v>0</v>
      </c>
      <c r="AV153" s="74">
        <v>0</v>
      </c>
      <c r="AW153" s="74">
        <v>0</v>
      </c>
      <c r="AX153" s="74">
        <v>0</v>
      </c>
      <c r="AY153" s="74">
        <v>0</v>
      </c>
      <c r="AZ153" s="74">
        <v>1756293.9700000002</v>
      </c>
      <c r="BA153" s="77">
        <v>6.9934357522323493E-2</v>
      </c>
      <c r="BB153" s="74">
        <v>309934.21999999997</v>
      </c>
      <c r="BC153" s="74">
        <v>0</v>
      </c>
      <c r="BD153" s="74">
        <v>0</v>
      </c>
      <c r="BE153" s="74">
        <v>0</v>
      </c>
    </row>
    <row r="154" spans="1:57" ht="33.950000000000003" customHeight="1" x14ac:dyDescent="0.3">
      <c r="A154" s="34">
        <v>4</v>
      </c>
      <c r="B154" s="34" t="s">
        <v>392</v>
      </c>
      <c r="C154" s="34" t="s">
        <v>941</v>
      </c>
      <c r="D154" s="34" t="s">
        <v>381</v>
      </c>
      <c r="E154" s="34" t="s">
        <v>648</v>
      </c>
      <c r="F154" s="34" t="s">
        <v>685</v>
      </c>
      <c r="G154" s="34" t="s">
        <v>686</v>
      </c>
      <c r="H154" s="73" t="s">
        <v>689</v>
      </c>
      <c r="I154" s="39" t="s">
        <v>240</v>
      </c>
      <c r="J154" s="39" t="s">
        <v>986</v>
      </c>
      <c r="K154" s="39" t="s">
        <v>429</v>
      </c>
      <c r="L154" s="36" t="s">
        <v>690</v>
      </c>
      <c r="M154" s="37" t="s">
        <v>440</v>
      </c>
      <c r="N154" s="38"/>
      <c r="O154" s="37" t="s">
        <v>38</v>
      </c>
      <c r="P154" s="37" t="s">
        <v>410</v>
      </c>
      <c r="Q154" s="74">
        <v>1631121</v>
      </c>
      <c r="R154" s="74" t="s">
        <v>429</v>
      </c>
      <c r="S154" s="74">
        <v>1918966</v>
      </c>
      <c r="T154" s="74"/>
      <c r="U154" s="75"/>
      <c r="V154" s="74"/>
      <c r="W154" s="80"/>
      <c r="X154" s="74">
        <v>1631121</v>
      </c>
      <c r="Y154" s="76">
        <v>1</v>
      </c>
      <c r="Z154" s="74">
        <v>287845</v>
      </c>
      <c r="AA154" s="74">
        <v>0</v>
      </c>
      <c r="AB154" s="74">
        <v>0</v>
      </c>
      <c r="AC154" s="74">
        <v>0</v>
      </c>
      <c r="AD154" s="74">
        <v>1</v>
      </c>
      <c r="AE154" s="74">
        <v>1631121</v>
      </c>
      <c r="AF154" s="76">
        <v>1</v>
      </c>
      <c r="AG154" s="74">
        <v>287845</v>
      </c>
      <c r="AH154" s="74">
        <v>0</v>
      </c>
      <c r="AI154" s="74">
        <v>0</v>
      </c>
      <c r="AJ154" s="74">
        <v>0</v>
      </c>
      <c r="AK154" s="74">
        <v>1</v>
      </c>
      <c r="AL154" s="74">
        <v>1631121</v>
      </c>
      <c r="AM154" s="77">
        <v>1</v>
      </c>
      <c r="AN154" s="74">
        <v>287845</v>
      </c>
      <c r="AO154" s="74">
        <v>0</v>
      </c>
      <c r="AP154" s="74">
        <v>0</v>
      </c>
      <c r="AQ154" s="74">
        <v>0</v>
      </c>
      <c r="AR154" s="74">
        <v>1</v>
      </c>
      <c r="AS154" s="74">
        <v>0</v>
      </c>
      <c r="AT154" s="77">
        <v>0</v>
      </c>
      <c r="AU154" s="74">
        <v>0</v>
      </c>
      <c r="AV154" s="74">
        <v>0</v>
      </c>
      <c r="AW154" s="74">
        <v>0</v>
      </c>
      <c r="AX154" s="74">
        <v>0</v>
      </c>
      <c r="AY154" s="74">
        <v>0</v>
      </c>
      <c r="AZ154" s="74">
        <v>114590.34</v>
      </c>
      <c r="BA154" s="77">
        <v>7.0252507324717176E-2</v>
      </c>
      <c r="BB154" s="74">
        <v>19978.89</v>
      </c>
      <c r="BC154" s="74">
        <v>0</v>
      </c>
      <c r="BD154" s="74">
        <v>0</v>
      </c>
      <c r="BE154" s="74">
        <v>0</v>
      </c>
    </row>
    <row r="155" spans="1:57" ht="33.950000000000003" customHeight="1" x14ac:dyDescent="0.3">
      <c r="A155" s="34">
        <v>4</v>
      </c>
      <c r="B155" s="34" t="s">
        <v>392</v>
      </c>
      <c r="C155" s="34" t="s">
        <v>941</v>
      </c>
      <c r="D155" s="34" t="s">
        <v>381</v>
      </c>
      <c r="E155" s="34" t="s">
        <v>648</v>
      </c>
      <c r="F155" s="34" t="s">
        <v>685</v>
      </c>
      <c r="G155" s="34" t="s">
        <v>686</v>
      </c>
      <c r="H155" s="73" t="s">
        <v>691</v>
      </c>
      <c r="I155" s="39" t="s">
        <v>241</v>
      </c>
      <c r="J155" s="39" t="s">
        <v>987</v>
      </c>
      <c r="K155" s="39" t="s">
        <v>429</v>
      </c>
      <c r="L155" s="36" t="s">
        <v>692</v>
      </c>
      <c r="M155" s="37" t="s">
        <v>440</v>
      </c>
      <c r="N155" s="81"/>
      <c r="O155" s="37" t="s">
        <v>38</v>
      </c>
      <c r="P155" s="37" t="s">
        <v>408</v>
      </c>
      <c r="Q155" s="74">
        <v>5546250</v>
      </c>
      <c r="R155" s="74" t="s">
        <v>429</v>
      </c>
      <c r="S155" s="74">
        <v>6525000</v>
      </c>
      <c r="T155" s="74"/>
      <c r="U155" s="75"/>
      <c r="V155" s="74"/>
      <c r="W155" s="80"/>
      <c r="X155" s="74">
        <v>5546250</v>
      </c>
      <c r="Y155" s="76">
        <v>1</v>
      </c>
      <c r="Z155" s="74">
        <v>978750</v>
      </c>
      <c r="AA155" s="74">
        <v>0</v>
      </c>
      <c r="AB155" s="74">
        <v>0</v>
      </c>
      <c r="AC155" s="74">
        <v>0</v>
      </c>
      <c r="AD155" s="74">
        <v>1</v>
      </c>
      <c r="AE155" s="74">
        <v>5546250</v>
      </c>
      <c r="AF155" s="76">
        <v>1</v>
      </c>
      <c r="AG155" s="74">
        <v>978750</v>
      </c>
      <c r="AH155" s="74">
        <v>0</v>
      </c>
      <c r="AI155" s="74">
        <v>0</v>
      </c>
      <c r="AJ155" s="74">
        <v>0</v>
      </c>
      <c r="AK155" s="74">
        <v>1</v>
      </c>
      <c r="AL155" s="74">
        <v>5546250</v>
      </c>
      <c r="AM155" s="77">
        <v>1</v>
      </c>
      <c r="AN155" s="74">
        <v>978750</v>
      </c>
      <c r="AO155" s="74">
        <v>0</v>
      </c>
      <c r="AP155" s="74">
        <v>0</v>
      </c>
      <c r="AQ155" s="74">
        <v>0</v>
      </c>
      <c r="AR155" s="74">
        <v>1</v>
      </c>
      <c r="AS155" s="74">
        <v>0</v>
      </c>
      <c r="AT155" s="77">
        <v>0</v>
      </c>
      <c r="AU155" s="74">
        <v>0</v>
      </c>
      <c r="AV155" s="74">
        <v>0</v>
      </c>
      <c r="AW155" s="74">
        <v>0</v>
      </c>
      <c r="AX155" s="74">
        <v>0</v>
      </c>
      <c r="AY155" s="74">
        <v>0</v>
      </c>
      <c r="AZ155" s="74">
        <v>1750409.6199999999</v>
      </c>
      <c r="BA155" s="77">
        <v>0.31560236556231686</v>
      </c>
      <c r="BB155" s="74">
        <v>308895.80999999994</v>
      </c>
      <c r="BC155" s="74">
        <v>0</v>
      </c>
      <c r="BD155" s="74">
        <v>0</v>
      </c>
      <c r="BE155" s="74">
        <v>0</v>
      </c>
    </row>
    <row r="156" spans="1:57" ht="33.950000000000003" customHeight="1" x14ac:dyDescent="0.3">
      <c r="A156" s="34">
        <v>4</v>
      </c>
      <c r="B156" s="34" t="s">
        <v>392</v>
      </c>
      <c r="C156" s="34" t="s">
        <v>941</v>
      </c>
      <c r="D156" s="34" t="s">
        <v>381</v>
      </c>
      <c r="E156" s="34" t="s">
        <v>648</v>
      </c>
      <c r="F156" s="34" t="s">
        <v>693</v>
      </c>
      <c r="G156" s="34" t="s">
        <v>694</v>
      </c>
      <c r="H156" s="73" t="s">
        <v>695</v>
      </c>
      <c r="I156" s="39" t="s">
        <v>242</v>
      </c>
      <c r="J156" s="39" t="s">
        <v>988</v>
      </c>
      <c r="K156" s="39" t="s">
        <v>429</v>
      </c>
      <c r="L156" s="36" t="s">
        <v>696</v>
      </c>
      <c r="M156" s="37">
        <v>1</v>
      </c>
      <c r="N156" s="38"/>
      <c r="O156" s="37" t="s">
        <v>38</v>
      </c>
      <c r="P156" s="37" t="s">
        <v>406</v>
      </c>
      <c r="Q156" s="74">
        <v>10363449</v>
      </c>
      <c r="R156" s="74" t="s">
        <v>429</v>
      </c>
      <c r="S156" s="74">
        <v>12192295</v>
      </c>
      <c r="T156" s="74"/>
      <c r="U156" s="75"/>
      <c r="V156" s="74"/>
      <c r="W156" s="80"/>
      <c r="X156" s="74">
        <v>10363448.460000001</v>
      </c>
      <c r="Y156" s="76">
        <v>0.99999994789379487</v>
      </c>
      <c r="Z156" s="74">
        <v>1828845.5499999998</v>
      </c>
      <c r="AA156" s="74">
        <v>0</v>
      </c>
      <c r="AB156" s="74">
        <v>0</v>
      </c>
      <c r="AC156" s="74">
        <v>10186715.689999999</v>
      </c>
      <c r="AD156" s="74">
        <v>13</v>
      </c>
      <c r="AE156" s="74">
        <v>10363448.460000001</v>
      </c>
      <c r="AF156" s="76">
        <v>0.99999994789379487</v>
      </c>
      <c r="AG156" s="74">
        <v>1828845.5499999998</v>
      </c>
      <c r="AH156" s="74">
        <v>0</v>
      </c>
      <c r="AI156" s="74">
        <v>0</v>
      </c>
      <c r="AJ156" s="74">
        <v>10186715.689999999</v>
      </c>
      <c r="AK156" s="74">
        <v>13</v>
      </c>
      <c r="AL156" s="74">
        <v>10363448.460000001</v>
      </c>
      <c r="AM156" s="77">
        <v>0.99999994789379487</v>
      </c>
      <c r="AN156" s="74">
        <v>1828845.5499999998</v>
      </c>
      <c r="AO156" s="74">
        <v>0</v>
      </c>
      <c r="AP156" s="74">
        <v>0</v>
      </c>
      <c r="AQ156" s="74">
        <v>10186715.689999999</v>
      </c>
      <c r="AR156" s="74">
        <v>13</v>
      </c>
      <c r="AS156" s="74">
        <v>0</v>
      </c>
      <c r="AT156" s="77">
        <v>0</v>
      </c>
      <c r="AU156" s="74">
        <v>0</v>
      </c>
      <c r="AV156" s="74">
        <v>0</v>
      </c>
      <c r="AW156" s="74">
        <v>0</v>
      </c>
      <c r="AX156" s="74">
        <v>0</v>
      </c>
      <c r="AY156" s="74">
        <v>0</v>
      </c>
      <c r="AZ156" s="74">
        <v>3139458.32</v>
      </c>
      <c r="BA156" s="77">
        <v>0.30293566552988294</v>
      </c>
      <c r="BB156" s="74">
        <v>554033.08000000007</v>
      </c>
      <c r="BC156" s="74">
        <v>0</v>
      </c>
      <c r="BD156" s="74">
        <v>0</v>
      </c>
      <c r="BE156" s="74">
        <v>1368239.15</v>
      </c>
    </row>
    <row r="157" spans="1:57" ht="33.950000000000003" customHeight="1" x14ac:dyDescent="0.3">
      <c r="A157" s="34">
        <v>4</v>
      </c>
      <c r="B157" s="34" t="s">
        <v>392</v>
      </c>
      <c r="C157" s="34" t="s">
        <v>941</v>
      </c>
      <c r="D157" s="34" t="s">
        <v>381</v>
      </c>
      <c r="E157" s="34" t="s">
        <v>648</v>
      </c>
      <c r="F157" s="34" t="s">
        <v>693</v>
      </c>
      <c r="G157" s="34" t="s">
        <v>694</v>
      </c>
      <c r="H157" s="73" t="s">
        <v>695</v>
      </c>
      <c r="I157" s="39" t="s">
        <v>243</v>
      </c>
      <c r="J157" s="39" t="s">
        <v>989</v>
      </c>
      <c r="K157" s="39" t="s">
        <v>429</v>
      </c>
      <c r="L157" s="36" t="s">
        <v>696</v>
      </c>
      <c r="M157" s="37">
        <v>2</v>
      </c>
      <c r="N157" s="38"/>
      <c r="O157" s="37" t="s">
        <v>38</v>
      </c>
      <c r="P157" s="37" t="s">
        <v>408</v>
      </c>
      <c r="Q157" s="74">
        <v>4898317</v>
      </c>
      <c r="R157" s="74" t="s">
        <v>429</v>
      </c>
      <c r="S157" s="74">
        <v>5762726</v>
      </c>
      <c r="T157" s="74"/>
      <c r="U157" s="75"/>
      <c r="V157" s="74"/>
      <c r="W157" s="80"/>
      <c r="X157" s="74">
        <v>4898226.79</v>
      </c>
      <c r="Y157" s="76">
        <v>0.99998158347040422</v>
      </c>
      <c r="Z157" s="74">
        <v>864392.96</v>
      </c>
      <c r="AA157" s="74">
        <v>0</v>
      </c>
      <c r="AB157" s="74">
        <v>0</v>
      </c>
      <c r="AC157" s="74">
        <v>303298.25</v>
      </c>
      <c r="AD157" s="74">
        <v>3</v>
      </c>
      <c r="AE157" s="74">
        <v>4898226.79</v>
      </c>
      <c r="AF157" s="76">
        <v>0.99998158347040422</v>
      </c>
      <c r="AG157" s="74">
        <v>864392.96</v>
      </c>
      <c r="AH157" s="74">
        <v>0</v>
      </c>
      <c r="AI157" s="74">
        <v>0</v>
      </c>
      <c r="AJ157" s="74">
        <v>303298.25</v>
      </c>
      <c r="AK157" s="74">
        <v>3</v>
      </c>
      <c r="AL157" s="74">
        <v>4898226.79</v>
      </c>
      <c r="AM157" s="77">
        <v>0.99998158347040422</v>
      </c>
      <c r="AN157" s="74">
        <v>864392.96</v>
      </c>
      <c r="AO157" s="74">
        <v>0</v>
      </c>
      <c r="AP157" s="74">
        <v>0</v>
      </c>
      <c r="AQ157" s="74">
        <v>303298.25</v>
      </c>
      <c r="AR157" s="74">
        <v>3</v>
      </c>
      <c r="AS157" s="74">
        <v>0</v>
      </c>
      <c r="AT157" s="77">
        <v>0</v>
      </c>
      <c r="AU157" s="74">
        <v>0</v>
      </c>
      <c r="AV157" s="74">
        <v>0</v>
      </c>
      <c r="AW157" s="74">
        <v>0</v>
      </c>
      <c r="AX157" s="74">
        <v>0</v>
      </c>
      <c r="AY157" s="74">
        <v>0</v>
      </c>
      <c r="AZ157" s="74">
        <v>172712.37</v>
      </c>
      <c r="BA157" s="77">
        <v>3.5259533019198229E-2</v>
      </c>
      <c r="BB157" s="74">
        <v>30478.659999999996</v>
      </c>
      <c r="BC157" s="74">
        <v>0</v>
      </c>
      <c r="BD157" s="74">
        <v>0</v>
      </c>
      <c r="BE157" s="74">
        <v>0</v>
      </c>
    </row>
    <row r="158" spans="1:57" ht="33.950000000000003" customHeight="1" x14ac:dyDescent="0.3">
      <c r="A158" s="34">
        <v>4</v>
      </c>
      <c r="B158" s="34" t="s">
        <v>392</v>
      </c>
      <c r="C158" s="34" t="s">
        <v>941</v>
      </c>
      <c r="D158" s="34" t="s">
        <v>381</v>
      </c>
      <c r="E158" s="34" t="s">
        <v>648</v>
      </c>
      <c r="F158" s="34" t="s">
        <v>693</v>
      </c>
      <c r="G158" s="34" t="s">
        <v>694</v>
      </c>
      <c r="H158" s="73" t="s">
        <v>697</v>
      </c>
      <c r="I158" s="39" t="s">
        <v>244</v>
      </c>
      <c r="J158" s="39" t="s">
        <v>990</v>
      </c>
      <c r="K158" s="39" t="s">
        <v>429</v>
      </c>
      <c r="L158" s="36" t="s">
        <v>698</v>
      </c>
      <c r="M158" s="37" t="s">
        <v>440</v>
      </c>
      <c r="N158" s="38"/>
      <c r="O158" s="37" t="s">
        <v>38</v>
      </c>
      <c r="P158" s="37" t="s">
        <v>408</v>
      </c>
      <c r="Q158" s="74">
        <v>24786633</v>
      </c>
      <c r="R158" s="74" t="s">
        <v>429</v>
      </c>
      <c r="S158" s="74">
        <v>29160745</v>
      </c>
      <c r="T158" s="74"/>
      <c r="U158" s="75"/>
      <c r="V158" s="74"/>
      <c r="W158" s="80"/>
      <c r="X158" s="74">
        <v>24786633</v>
      </c>
      <c r="Y158" s="76">
        <v>1</v>
      </c>
      <c r="Z158" s="74">
        <v>4374111.99</v>
      </c>
      <c r="AA158" s="74">
        <v>0</v>
      </c>
      <c r="AB158" s="74">
        <v>0</v>
      </c>
      <c r="AC158" s="74">
        <v>0</v>
      </c>
      <c r="AD158" s="74">
        <v>1</v>
      </c>
      <c r="AE158" s="74">
        <v>24786633</v>
      </c>
      <c r="AF158" s="76">
        <v>1</v>
      </c>
      <c r="AG158" s="74">
        <v>4374111.99</v>
      </c>
      <c r="AH158" s="74">
        <v>0</v>
      </c>
      <c r="AI158" s="74">
        <v>0</v>
      </c>
      <c r="AJ158" s="74">
        <v>0</v>
      </c>
      <c r="AK158" s="74">
        <v>1</v>
      </c>
      <c r="AL158" s="74">
        <v>24786633</v>
      </c>
      <c r="AM158" s="77">
        <v>1</v>
      </c>
      <c r="AN158" s="74">
        <v>4374111.99</v>
      </c>
      <c r="AO158" s="74">
        <v>0</v>
      </c>
      <c r="AP158" s="74">
        <v>0</v>
      </c>
      <c r="AQ158" s="74">
        <v>0</v>
      </c>
      <c r="AR158" s="74">
        <v>1</v>
      </c>
      <c r="AS158" s="74">
        <v>0</v>
      </c>
      <c r="AT158" s="77">
        <v>0</v>
      </c>
      <c r="AU158" s="74">
        <v>0</v>
      </c>
      <c r="AV158" s="74">
        <v>0</v>
      </c>
      <c r="AW158" s="74">
        <v>0</v>
      </c>
      <c r="AX158" s="74">
        <v>0</v>
      </c>
      <c r="AY158" s="74">
        <v>0</v>
      </c>
      <c r="AZ158" s="74">
        <v>3758703.9299999997</v>
      </c>
      <c r="BA158" s="77">
        <v>0.15164237635664352</v>
      </c>
      <c r="BB158" s="74">
        <v>663300.71</v>
      </c>
      <c r="BC158" s="74">
        <v>0</v>
      </c>
      <c r="BD158" s="74">
        <v>0</v>
      </c>
      <c r="BE158" s="74">
        <v>0</v>
      </c>
    </row>
    <row r="159" spans="1:57" ht="33.950000000000003" customHeight="1" x14ac:dyDescent="0.3">
      <c r="A159" s="34">
        <v>4</v>
      </c>
      <c r="B159" s="34" t="s">
        <v>392</v>
      </c>
      <c r="C159" s="34" t="s">
        <v>941</v>
      </c>
      <c r="D159" s="34" t="s">
        <v>381</v>
      </c>
      <c r="E159" s="34" t="s">
        <v>648</v>
      </c>
      <c r="F159" s="34" t="s">
        <v>693</v>
      </c>
      <c r="G159" s="34" t="s">
        <v>694</v>
      </c>
      <c r="H159" s="73" t="s">
        <v>699</v>
      </c>
      <c r="I159" s="39" t="s">
        <v>245</v>
      </c>
      <c r="J159" s="39" t="s">
        <v>991</v>
      </c>
      <c r="K159" s="39" t="s">
        <v>429</v>
      </c>
      <c r="L159" s="36" t="s">
        <v>700</v>
      </c>
      <c r="M159" s="37" t="s">
        <v>440</v>
      </c>
      <c r="N159" s="38"/>
      <c r="O159" s="37" t="s">
        <v>38</v>
      </c>
      <c r="P159" s="37" t="s">
        <v>414</v>
      </c>
      <c r="Q159" s="74">
        <v>3685037</v>
      </c>
      <c r="R159" s="74" t="s">
        <v>429</v>
      </c>
      <c r="S159" s="74">
        <v>4335338</v>
      </c>
      <c r="T159" s="74"/>
      <c r="U159" s="75"/>
      <c r="V159" s="74"/>
      <c r="W159" s="80"/>
      <c r="X159" s="74">
        <v>3103630</v>
      </c>
      <c r="Y159" s="76">
        <v>0.84222492202927679</v>
      </c>
      <c r="Z159" s="74">
        <v>547700</v>
      </c>
      <c r="AA159" s="74">
        <v>0</v>
      </c>
      <c r="AB159" s="74">
        <v>0</v>
      </c>
      <c r="AC159" s="74">
        <v>0</v>
      </c>
      <c r="AD159" s="74">
        <v>1</v>
      </c>
      <c r="AE159" s="74">
        <v>3103630</v>
      </c>
      <c r="AF159" s="76">
        <v>0.84222492202927679</v>
      </c>
      <c r="AG159" s="74">
        <v>547700</v>
      </c>
      <c r="AH159" s="74">
        <v>0</v>
      </c>
      <c r="AI159" s="74">
        <v>0</v>
      </c>
      <c r="AJ159" s="74">
        <v>0</v>
      </c>
      <c r="AK159" s="74">
        <v>1</v>
      </c>
      <c r="AL159" s="74">
        <v>3103630</v>
      </c>
      <c r="AM159" s="77">
        <v>0.84222492202927679</v>
      </c>
      <c r="AN159" s="74">
        <v>547700</v>
      </c>
      <c r="AO159" s="74">
        <v>0</v>
      </c>
      <c r="AP159" s="74">
        <v>0</v>
      </c>
      <c r="AQ159" s="74">
        <v>0</v>
      </c>
      <c r="AR159" s="74">
        <v>1</v>
      </c>
      <c r="AS159" s="74">
        <v>0</v>
      </c>
      <c r="AT159" s="77">
        <v>0</v>
      </c>
      <c r="AU159" s="74">
        <v>0</v>
      </c>
      <c r="AV159" s="74">
        <v>0</v>
      </c>
      <c r="AW159" s="74">
        <v>0</v>
      </c>
      <c r="AX159" s="74">
        <v>0</v>
      </c>
      <c r="AY159" s="74">
        <v>0</v>
      </c>
      <c r="AZ159" s="74">
        <v>0</v>
      </c>
      <c r="BA159" s="77">
        <v>0</v>
      </c>
      <c r="BB159" s="74">
        <v>0</v>
      </c>
      <c r="BC159" s="74">
        <v>0</v>
      </c>
      <c r="BD159" s="74">
        <v>0</v>
      </c>
      <c r="BE159" s="74">
        <v>0</v>
      </c>
    </row>
    <row r="160" spans="1:57" ht="33.950000000000003" customHeight="1" x14ac:dyDescent="0.3">
      <c r="A160" s="34">
        <v>4</v>
      </c>
      <c r="B160" s="34" t="s">
        <v>392</v>
      </c>
      <c r="C160" s="34" t="s">
        <v>941</v>
      </c>
      <c r="D160" s="34" t="s">
        <v>701</v>
      </c>
      <c r="E160" s="34" t="s">
        <v>702</v>
      </c>
      <c r="F160" s="34" t="s">
        <v>703</v>
      </c>
      <c r="G160" s="34" t="s">
        <v>704</v>
      </c>
      <c r="H160" s="73" t="s">
        <v>705</v>
      </c>
      <c r="I160" s="39" t="s">
        <v>246</v>
      </c>
      <c r="J160" s="39" t="s">
        <v>992</v>
      </c>
      <c r="K160" s="39" t="s">
        <v>429</v>
      </c>
      <c r="L160" s="36" t="s">
        <v>706</v>
      </c>
      <c r="M160" s="37" t="s">
        <v>440</v>
      </c>
      <c r="N160" s="38"/>
      <c r="O160" s="37" t="s">
        <v>39</v>
      </c>
      <c r="P160" s="37" t="s">
        <v>411</v>
      </c>
      <c r="Q160" s="74">
        <v>22792352</v>
      </c>
      <c r="R160" s="74" t="s">
        <v>429</v>
      </c>
      <c r="S160" s="74">
        <v>26814532</v>
      </c>
      <c r="T160" s="74"/>
      <c r="U160" s="75"/>
      <c r="V160" s="74"/>
      <c r="W160" s="80"/>
      <c r="X160" s="74">
        <v>22792352</v>
      </c>
      <c r="Y160" s="76">
        <v>1</v>
      </c>
      <c r="Z160" s="74">
        <v>4022180</v>
      </c>
      <c r="AA160" s="74">
        <v>0</v>
      </c>
      <c r="AB160" s="74">
        <v>0</v>
      </c>
      <c r="AC160" s="74">
        <v>0</v>
      </c>
      <c r="AD160" s="74">
        <v>1</v>
      </c>
      <c r="AE160" s="74">
        <v>22792352</v>
      </c>
      <c r="AF160" s="76">
        <v>1</v>
      </c>
      <c r="AG160" s="74">
        <v>4022180</v>
      </c>
      <c r="AH160" s="74">
        <v>0</v>
      </c>
      <c r="AI160" s="74">
        <v>0</v>
      </c>
      <c r="AJ160" s="74">
        <v>0</v>
      </c>
      <c r="AK160" s="74">
        <v>1</v>
      </c>
      <c r="AL160" s="74">
        <v>22792352</v>
      </c>
      <c r="AM160" s="77">
        <v>1</v>
      </c>
      <c r="AN160" s="74">
        <v>4022180</v>
      </c>
      <c r="AO160" s="74">
        <v>0</v>
      </c>
      <c r="AP160" s="74">
        <v>0</v>
      </c>
      <c r="AQ160" s="74">
        <v>0</v>
      </c>
      <c r="AR160" s="74">
        <v>1</v>
      </c>
      <c r="AS160" s="74">
        <v>0</v>
      </c>
      <c r="AT160" s="77">
        <v>0</v>
      </c>
      <c r="AU160" s="74">
        <v>0</v>
      </c>
      <c r="AV160" s="74">
        <v>0</v>
      </c>
      <c r="AW160" s="74">
        <v>0</v>
      </c>
      <c r="AX160" s="74">
        <v>0</v>
      </c>
      <c r="AY160" s="74">
        <v>0</v>
      </c>
      <c r="AZ160" s="74">
        <v>2004915.93</v>
      </c>
      <c r="BA160" s="77">
        <v>8.7964415870727161E-2</v>
      </c>
      <c r="BB160" s="74">
        <v>353808.68</v>
      </c>
      <c r="BC160" s="74">
        <v>0</v>
      </c>
      <c r="BD160" s="74">
        <v>0</v>
      </c>
      <c r="BE160" s="74">
        <v>0</v>
      </c>
    </row>
    <row r="161" spans="1:57" ht="33.950000000000003" customHeight="1" x14ac:dyDescent="0.3">
      <c r="A161" s="34">
        <v>4</v>
      </c>
      <c r="B161" s="34" t="s">
        <v>392</v>
      </c>
      <c r="C161" s="34" t="s">
        <v>941</v>
      </c>
      <c r="D161" s="34" t="s">
        <v>701</v>
      </c>
      <c r="E161" s="34" t="s">
        <v>702</v>
      </c>
      <c r="F161" s="34" t="s">
        <v>703</v>
      </c>
      <c r="G161" s="34" t="s">
        <v>704</v>
      </c>
      <c r="H161" s="73" t="s">
        <v>707</v>
      </c>
      <c r="I161" s="39" t="s">
        <v>247</v>
      </c>
      <c r="J161" s="39" t="s">
        <v>993</v>
      </c>
      <c r="K161" s="39" t="s">
        <v>429</v>
      </c>
      <c r="L161" s="36" t="s">
        <v>708</v>
      </c>
      <c r="M161" s="37">
        <v>1</v>
      </c>
      <c r="N161" s="38"/>
      <c r="O161" s="37" t="s">
        <v>39</v>
      </c>
      <c r="P161" s="37" t="s">
        <v>406</v>
      </c>
      <c r="Q161" s="74">
        <v>39092603</v>
      </c>
      <c r="R161" s="74" t="s">
        <v>429</v>
      </c>
      <c r="S161" s="74">
        <v>38414948</v>
      </c>
      <c r="T161" s="74"/>
      <c r="U161" s="75"/>
      <c r="V161" s="74"/>
      <c r="W161" s="80"/>
      <c r="X161" s="74">
        <v>32626314.889999997</v>
      </c>
      <c r="Y161" s="76">
        <v>0.83459049503559524</v>
      </c>
      <c r="Z161" s="74">
        <v>0</v>
      </c>
      <c r="AA161" s="74">
        <v>0</v>
      </c>
      <c r="AB161" s="74">
        <v>20602659.270000003</v>
      </c>
      <c r="AC161" s="74">
        <v>0</v>
      </c>
      <c r="AD161" s="74">
        <v>45</v>
      </c>
      <c r="AE161" s="74">
        <v>32626314.889999997</v>
      </c>
      <c r="AF161" s="76">
        <v>0.83459049503559524</v>
      </c>
      <c r="AG161" s="74">
        <v>0</v>
      </c>
      <c r="AH161" s="74">
        <v>0</v>
      </c>
      <c r="AI161" s="74">
        <v>20602659.270000003</v>
      </c>
      <c r="AJ161" s="74">
        <v>0</v>
      </c>
      <c r="AK161" s="74">
        <v>45</v>
      </c>
      <c r="AL161" s="74">
        <v>32626314.889999997</v>
      </c>
      <c r="AM161" s="77">
        <v>0.83459049503559524</v>
      </c>
      <c r="AN161" s="74">
        <v>0</v>
      </c>
      <c r="AO161" s="74">
        <v>0</v>
      </c>
      <c r="AP161" s="74">
        <v>20602659.270000003</v>
      </c>
      <c r="AQ161" s="74">
        <v>0</v>
      </c>
      <c r="AR161" s="74">
        <v>45</v>
      </c>
      <c r="AS161" s="74">
        <v>995023.8600000001</v>
      </c>
      <c r="AT161" s="77">
        <v>2.5452995800765685E-2</v>
      </c>
      <c r="AU161" s="74">
        <v>0</v>
      </c>
      <c r="AV161" s="74">
        <v>0</v>
      </c>
      <c r="AW161" s="74">
        <v>281418.47000000003</v>
      </c>
      <c r="AX161" s="74">
        <v>0</v>
      </c>
      <c r="AY161" s="74">
        <v>3</v>
      </c>
      <c r="AZ161" s="74">
        <v>11884721.179999996</v>
      </c>
      <c r="BA161" s="77">
        <v>0.30401457738692911</v>
      </c>
      <c r="BB161" s="74">
        <v>0</v>
      </c>
      <c r="BC161" s="74">
        <v>0</v>
      </c>
      <c r="BD161" s="74">
        <v>1978786.5899999996</v>
      </c>
      <c r="BE161" s="74">
        <v>0</v>
      </c>
    </row>
    <row r="162" spans="1:57" ht="33.950000000000003" customHeight="1" x14ac:dyDescent="0.3">
      <c r="A162" s="34">
        <v>4</v>
      </c>
      <c r="B162" s="34" t="s">
        <v>392</v>
      </c>
      <c r="C162" s="34" t="s">
        <v>941</v>
      </c>
      <c r="D162" s="34" t="s">
        <v>701</v>
      </c>
      <c r="E162" s="34" t="s">
        <v>702</v>
      </c>
      <c r="F162" s="34" t="s">
        <v>703</v>
      </c>
      <c r="G162" s="34" t="s">
        <v>704</v>
      </c>
      <c r="H162" s="73" t="s">
        <v>707</v>
      </c>
      <c r="I162" s="39" t="s">
        <v>248</v>
      </c>
      <c r="J162" s="39" t="s">
        <v>994</v>
      </c>
      <c r="K162" s="39" t="s">
        <v>429</v>
      </c>
      <c r="L162" s="36" t="s">
        <v>708</v>
      </c>
      <c r="M162" s="37">
        <v>2</v>
      </c>
      <c r="N162" s="38"/>
      <c r="O162" s="37" t="s">
        <v>39</v>
      </c>
      <c r="P162" s="37" t="s">
        <v>406</v>
      </c>
      <c r="Q162" s="74">
        <v>31159897</v>
      </c>
      <c r="R162" s="74" t="s">
        <v>429</v>
      </c>
      <c r="S162" s="74">
        <v>36658703</v>
      </c>
      <c r="T162" s="74"/>
      <c r="U162" s="75"/>
      <c r="V162" s="74"/>
      <c r="W162" s="80"/>
      <c r="X162" s="74">
        <v>31159896.170000002</v>
      </c>
      <c r="Y162" s="76">
        <v>0.99999997336319824</v>
      </c>
      <c r="Z162" s="74">
        <v>0</v>
      </c>
      <c r="AA162" s="74">
        <v>0</v>
      </c>
      <c r="AB162" s="74">
        <v>11115454.33</v>
      </c>
      <c r="AC162" s="74">
        <v>0</v>
      </c>
      <c r="AD162" s="74">
        <v>9</v>
      </c>
      <c r="AE162" s="74">
        <v>31159896.170000002</v>
      </c>
      <c r="AF162" s="76">
        <v>0.99999997336319824</v>
      </c>
      <c r="AG162" s="74">
        <v>0</v>
      </c>
      <c r="AH162" s="74">
        <v>0</v>
      </c>
      <c r="AI162" s="74">
        <v>11115454.33</v>
      </c>
      <c r="AJ162" s="74">
        <v>0</v>
      </c>
      <c r="AK162" s="74">
        <v>9</v>
      </c>
      <c r="AL162" s="74">
        <v>31159896.170000002</v>
      </c>
      <c r="AM162" s="77">
        <v>0.99999997336319824</v>
      </c>
      <c r="AN162" s="74">
        <v>0</v>
      </c>
      <c r="AO162" s="74">
        <v>0</v>
      </c>
      <c r="AP162" s="74">
        <v>11115454.33</v>
      </c>
      <c r="AQ162" s="74">
        <v>0</v>
      </c>
      <c r="AR162" s="74">
        <v>9</v>
      </c>
      <c r="AS162" s="74">
        <v>0</v>
      </c>
      <c r="AT162" s="77">
        <v>0</v>
      </c>
      <c r="AU162" s="74">
        <v>0</v>
      </c>
      <c r="AV162" s="74">
        <v>0</v>
      </c>
      <c r="AW162" s="74">
        <v>0</v>
      </c>
      <c r="AX162" s="74">
        <v>0</v>
      </c>
      <c r="AY162" s="74">
        <v>0</v>
      </c>
      <c r="AZ162" s="74">
        <v>0</v>
      </c>
      <c r="BA162" s="77">
        <v>0</v>
      </c>
      <c r="BB162" s="74">
        <v>0</v>
      </c>
      <c r="BC162" s="74">
        <v>0</v>
      </c>
      <c r="BD162" s="74">
        <v>0</v>
      </c>
      <c r="BE162" s="74">
        <v>0</v>
      </c>
    </row>
    <row r="163" spans="1:57" ht="33.950000000000003" customHeight="1" x14ac:dyDescent="0.3">
      <c r="A163" s="34">
        <v>4</v>
      </c>
      <c r="B163" s="34" t="s">
        <v>392</v>
      </c>
      <c r="C163" s="34" t="s">
        <v>941</v>
      </c>
      <c r="D163" s="34" t="s">
        <v>701</v>
      </c>
      <c r="E163" s="34" t="s">
        <v>702</v>
      </c>
      <c r="F163" s="34" t="s">
        <v>703</v>
      </c>
      <c r="G163" s="34" t="s">
        <v>704</v>
      </c>
      <c r="H163" s="73" t="s">
        <v>709</v>
      </c>
      <c r="I163" s="39" t="s">
        <v>249</v>
      </c>
      <c r="J163" s="39" t="s">
        <v>995</v>
      </c>
      <c r="K163" s="39" t="s">
        <v>429</v>
      </c>
      <c r="L163" s="36" t="s">
        <v>710</v>
      </c>
      <c r="M163" s="37" t="s">
        <v>440</v>
      </c>
      <c r="N163" s="38"/>
      <c r="O163" s="37" t="s">
        <v>39</v>
      </c>
      <c r="P163" s="37" t="s">
        <v>411</v>
      </c>
      <c r="Q163" s="74">
        <v>9388161</v>
      </c>
      <c r="R163" s="74" t="s">
        <v>429</v>
      </c>
      <c r="S163" s="74">
        <v>11044896</v>
      </c>
      <c r="T163" s="74"/>
      <c r="U163" s="75"/>
      <c r="V163" s="74"/>
      <c r="W163" s="80"/>
      <c r="X163" s="74">
        <v>9388161</v>
      </c>
      <c r="Y163" s="76">
        <v>1</v>
      </c>
      <c r="Z163" s="74">
        <v>0</v>
      </c>
      <c r="AA163" s="74">
        <v>0</v>
      </c>
      <c r="AB163" s="74">
        <v>1656734.68</v>
      </c>
      <c r="AC163" s="74">
        <v>0</v>
      </c>
      <c r="AD163" s="74">
        <v>2</v>
      </c>
      <c r="AE163" s="74">
        <v>9388161</v>
      </c>
      <c r="AF163" s="76">
        <v>1</v>
      </c>
      <c r="AG163" s="74">
        <v>0</v>
      </c>
      <c r="AH163" s="74">
        <v>0</v>
      </c>
      <c r="AI163" s="74">
        <v>1656734.68</v>
      </c>
      <c r="AJ163" s="74">
        <v>0</v>
      </c>
      <c r="AK163" s="74">
        <v>2</v>
      </c>
      <c r="AL163" s="74">
        <v>9388161</v>
      </c>
      <c r="AM163" s="77">
        <v>1</v>
      </c>
      <c r="AN163" s="74">
        <v>0</v>
      </c>
      <c r="AO163" s="74">
        <v>0</v>
      </c>
      <c r="AP163" s="74">
        <v>1656734.68</v>
      </c>
      <c r="AQ163" s="74">
        <v>0</v>
      </c>
      <c r="AR163" s="74">
        <v>2</v>
      </c>
      <c r="AS163" s="74">
        <v>0</v>
      </c>
      <c r="AT163" s="77">
        <v>0</v>
      </c>
      <c r="AU163" s="74">
        <v>0</v>
      </c>
      <c r="AV163" s="74">
        <v>0</v>
      </c>
      <c r="AW163" s="74">
        <v>0</v>
      </c>
      <c r="AX163" s="74">
        <v>0</v>
      </c>
      <c r="AY163" s="74">
        <v>0</v>
      </c>
      <c r="AZ163" s="74">
        <v>110753.95</v>
      </c>
      <c r="BA163" s="77">
        <v>1.179719329483165E-2</v>
      </c>
      <c r="BB163" s="74">
        <v>8940.18</v>
      </c>
      <c r="BC163" s="74">
        <v>0</v>
      </c>
      <c r="BD163" s="74">
        <v>9789.9600000000009</v>
      </c>
      <c r="BE163" s="74">
        <v>0</v>
      </c>
    </row>
    <row r="164" spans="1:57" ht="33.950000000000003" customHeight="1" x14ac:dyDescent="0.3">
      <c r="A164" s="34">
        <v>4</v>
      </c>
      <c r="B164" s="34" t="s">
        <v>392</v>
      </c>
      <c r="C164" s="34" t="s">
        <v>941</v>
      </c>
      <c r="D164" s="34" t="s">
        <v>701</v>
      </c>
      <c r="E164" s="34" t="s">
        <v>702</v>
      </c>
      <c r="F164" s="34" t="s">
        <v>711</v>
      </c>
      <c r="G164" s="34" t="s">
        <v>712</v>
      </c>
      <c r="H164" s="73" t="s">
        <v>713</v>
      </c>
      <c r="I164" s="39" t="s">
        <v>250</v>
      </c>
      <c r="J164" s="39" t="s">
        <v>996</v>
      </c>
      <c r="K164" s="39" t="s">
        <v>429</v>
      </c>
      <c r="L164" s="36" t="s">
        <v>712</v>
      </c>
      <c r="M164" s="37" t="s">
        <v>440</v>
      </c>
      <c r="N164" s="38"/>
      <c r="O164" s="37" t="s">
        <v>39</v>
      </c>
      <c r="P164" s="37" t="s">
        <v>410</v>
      </c>
      <c r="Q164" s="74">
        <v>17141132</v>
      </c>
      <c r="R164" s="74" t="s">
        <v>429</v>
      </c>
      <c r="S164" s="74">
        <v>15048569</v>
      </c>
      <c r="T164" s="74"/>
      <c r="U164" s="75"/>
      <c r="V164" s="74"/>
      <c r="W164" s="80"/>
      <c r="X164" s="74">
        <v>12790198.009999998</v>
      </c>
      <c r="Y164" s="76">
        <v>0.74616997348833192</v>
      </c>
      <c r="Z164" s="74">
        <v>564397.95000000007</v>
      </c>
      <c r="AA164" s="74">
        <v>0</v>
      </c>
      <c r="AB164" s="74">
        <v>3773155.76</v>
      </c>
      <c r="AC164" s="74">
        <v>681766.35000000009</v>
      </c>
      <c r="AD164" s="74">
        <v>16</v>
      </c>
      <c r="AE164" s="74">
        <v>11941279.059999999</v>
      </c>
      <c r="AF164" s="76">
        <v>0.69664471751340573</v>
      </c>
      <c r="AG164" s="74">
        <v>564397.95000000007</v>
      </c>
      <c r="AH164" s="74">
        <v>0</v>
      </c>
      <c r="AI164" s="74">
        <v>3773155.76</v>
      </c>
      <c r="AJ164" s="74">
        <v>531957.12</v>
      </c>
      <c r="AK164" s="74">
        <v>15</v>
      </c>
      <c r="AL164" s="74">
        <v>11472725.439999999</v>
      </c>
      <c r="AM164" s="77">
        <v>0.6693096721966787</v>
      </c>
      <c r="AN164" s="74">
        <v>564397.95000000007</v>
      </c>
      <c r="AO164" s="74">
        <v>0</v>
      </c>
      <c r="AP164" s="74">
        <v>3773155.76</v>
      </c>
      <c r="AQ164" s="74">
        <v>449271.19</v>
      </c>
      <c r="AR164" s="74">
        <v>14</v>
      </c>
      <c r="AS164" s="74">
        <v>0</v>
      </c>
      <c r="AT164" s="77">
        <v>0</v>
      </c>
      <c r="AU164" s="74">
        <v>0</v>
      </c>
      <c r="AV164" s="74">
        <v>0</v>
      </c>
      <c r="AW164" s="74">
        <v>0</v>
      </c>
      <c r="AX164" s="74">
        <v>0</v>
      </c>
      <c r="AY164" s="74">
        <v>0</v>
      </c>
      <c r="AZ164" s="74">
        <v>175279.88</v>
      </c>
      <c r="BA164" s="77">
        <v>1.0225688711807365E-2</v>
      </c>
      <c r="BB164" s="74">
        <v>5837.63</v>
      </c>
      <c r="BC164" s="74">
        <v>0</v>
      </c>
      <c r="BD164" s="74">
        <v>0</v>
      </c>
      <c r="BE164" s="74">
        <v>0</v>
      </c>
    </row>
    <row r="165" spans="1:57" ht="33.950000000000003" customHeight="1" x14ac:dyDescent="0.3">
      <c r="A165" s="34">
        <v>4</v>
      </c>
      <c r="B165" s="34" t="s">
        <v>392</v>
      </c>
      <c r="C165" s="34" t="s">
        <v>941</v>
      </c>
      <c r="D165" s="34" t="s">
        <v>701</v>
      </c>
      <c r="E165" s="34" t="s">
        <v>702</v>
      </c>
      <c r="F165" s="34" t="s">
        <v>714</v>
      </c>
      <c r="G165" s="34" t="s">
        <v>715</v>
      </c>
      <c r="H165" s="73" t="s">
        <v>716</v>
      </c>
      <c r="I165" s="39" t="s">
        <v>251</v>
      </c>
      <c r="J165" s="39" t="s">
        <v>997</v>
      </c>
      <c r="K165" s="39" t="s">
        <v>429</v>
      </c>
      <c r="L165" s="36" t="s">
        <v>717</v>
      </c>
      <c r="M165" s="37" t="s">
        <v>440</v>
      </c>
      <c r="N165" s="38"/>
      <c r="O165" s="37" t="s">
        <v>38</v>
      </c>
      <c r="P165" s="37" t="s">
        <v>411</v>
      </c>
      <c r="Q165" s="74">
        <v>40672500</v>
      </c>
      <c r="R165" s="74" t="s">
        <v>429</v>
      </c>
      <c r="S165" s="74">
        <v>47850000</v>
      </c>
      <c r="T165" s="74"/>
      <c r="U165" s="75"/>
      <c r="V165" s="74"/>
      <c r="W165" s="80"/>
      <c r="X165" s="74">
        <v>40672500</v>
      </c>
      <c r="Y165" s="76">
        <v>1</v>
      </c>
      <c r="Z165" s="74">
        <v>7177500</v>
      </c>
      <c r="AA165" s="74">
        <v>0</v>
      </c>
      <c r="AB165" s="74">
        <v>0</v>
      </c>
      <c r="AC165" s="74">
        <v>0</v>
      </c>
      <c r="AD165" s="74">
        <v>1</v>
      </c>
      <c r="AE165" s="74">
        <v>40672500</v>
      </c>
      <c r="AF165" s="76">
        <v>1</v>
      </c>
      <c r="AG165" s="74">
        <v>7177500</v>
      </c>
      <c r="AH165" s="74">
        <v>0</v>
      </c>
      <c r="AI165" s="74">
        <v>0</v>
      </c>
      <c r="AJ165" s="74">
        <v>0</v>
      </c>
      <c r="AK165" s="74">
        <v>1</v>
      </c>
      <c r="AL165" s="74">
        <v>40672500</v>
      </c>
      <c r="AM165" s="77">
        <v>1</v>
      </c>
      <c r="AN165" s="74">
        <v>7177500</v>
      </c>
      <c r="AO165" s="74">
        <v>0</v>
      </c>
      <c r="AP165" s="74">
        <v>0</v>
      </c>
      <c r="AQ165" s="74">
        <v>0</v>
      </c>
      <c r="AR165" s="74">
        <v>1</v>
      </c>
      <c r="AS165" s="74">
        <v>0</v>
      </c>
      <c r="AT165" s="77">
        <v>0</v>
      </c>
      <c r="AU165" s="74">
        <v>0</v>
      </c>
      <c r="AV165" s="74">
        <v>0</v>
      </c>
      <c r="AW165" s="74">
        <v>0</v>
      </c>
      <c r="AX165" s="74">
        <v>0</v>
      </c>
      <c r="AY165" s="74">
        <v>0</v>
      </c>
      <c r="AZ165" s="74">
        <v>0</v>
      </c>
      <c r="BA165" s="77">
        <v>0</v>
      </c>
      <c r="BB165" s="74">
        <v>0</v>
      </c>
      <c r="BC165" s="74">
        <v>0</v>
      </c>
      <c r="BD165" s="74">
        <v>0</v>
      </c>
      <c r="BE165" s="74">
        <v>0</v>
      </c>
    </row>
    <row r="166" spans="1:57" ht="33.950000000000003" customHeight="1" x14ac:dyDescent="0.3">
      <c r="A166" s="34">
        <v>4</v>
      </c>
      <c r="B166" s="34" t="s">
        <v>392</v>
      </c>
      <c r="C166" s="34" t="s">
        <v>941</v>
      </c>
      <c r="D166" s="34" t="s">
        <v>701</v>
      </c>
      <c r="E166" s="34" t="s">
        <v>702</v>
      </c>
      <c r="F166" s="34" t="s">
        <v>714</v>
      </c>
      <c r="G166" s="34" t="s">
        <v>715</v>
      </c>
      <c r="H166" s="73" t="s">
        <v>718</v>
      </c>
      <c r="I166" s="39" t="s">
        <v>252</v>
      </c>
      <c r="J166" s="39" t="s">
        <v>998</v>
      </c>
      <c r="K166" s="39" t="s">
        <v>429</v>
      </c>
      <c r="L166" s="36" t="s">
        <v>719</v>
      </c>
      <c r="M166" s="37" t="s">
        <v>440</v>
      </c>
      <c r="N166" s="38"/>
      <c r="O166" s="37" t="s">
        <v>38</v>
      </c>
      <c r="P166" s="37" t="s">
        <v>411</v>
      </c>
      <c r="Q166" s="74">
        <v>55437650</v>
      </c>
      <c r="R166" s="74" t="s">
        <v>429</v>
      </c>
      <c r="S166" s="74">
        <v>65220765</v>
      </c>
      <c r="T166" s="74"/>
      <c r="U166" s="75"/>
      <c r="V166" s="74"/>
      <c r="W166" s="80"/>
      <c r="X166" s="74">
        <v>43537650</v>
      </c>
      <c r="Y166" s="76">
        <v>0.78534443649757879</v>
      </c>
      <c r="Z166" s="74">
        <v>7683115</v>
      </c>
      <c r="AA166" s="74">
        <v>0</v>
      </c>
      <c r="AB166" s="74">
        <v>0</v>
      </c>
      <c r="AC166" s="74">
        <v>0</v>
      </c>
      <c r="AD166" s="74">
        <v>1</v>
      </c>
      <c r="AE166" s="74">
        <v>43537650</v>
      </c>
      <c r="AF166" s="76">
        <v>0.78534443649757879</v>
      </c>
      <c r="AG166" s="74">
        <v>7683115</v>
      </c>
      <c r="AH166" s="74">
        <v>0</v>
      </c>
      <c r="AI166" s="74">
        <v>0</v>
      </c>
      <c r="AJ166" s="74">
        <v>0</v>
      </c>
      <c r="AK166" s="74">
        <v>1</v>
      </c>
      <c r="AL166" s="74">
        <v>43537650</v>
      </c>
      <c r="AM166" s="77">
        <v>0.78534443649757879</v>
      </c>
      <c r="AN166" s="74">
        <v>7683115</v>
      </c>
      <c r="AO166" s="74">
        <v>0</v>
      </c>
      <c r="AP166" s="74">
        <v>0</v>
      </c>
      <c r="AQ166" s="74">
        <v>0</v>
      </c>
      <c r="AR166" s="74">
        <v>1</v>
      </c>
      <c r="AS166" s="74">
        <v>0</v>
      </c>
      <c r="AT166" s="77">
        <v>0</v>
      </c>
      <c r="AU166" s="74">
        <v>0</v>
      </c>
      <c r="AV166" s="74">
        <v>0</v>
      </c>
      <c r="AW166" s="74">
        <v>0</v>
      </c>
      <c r="AX166" s="74">
        <v>0</v>
      </c>
      <c r="AY166" s="74">
        <v>0</v>
      </c>
      <c r="AZ166" s="74">
        <v>20849319.41</v>
      </c>
      <c r="BA166" s="77">
        <v>0.37608591652063172</v>
      </c>
      <c r="BB166" s="74">
        <v>3679291.67</v>
      </c>
      <c r="BC166" s="74">
        <v>0</v>
      </c>
      <c r="BD166" s="74">
        <v>0</v>
      </c>
      <c r="BE166" s="74">
        <v>0</v>
      </c>
    </row>
    <row r="167" spans="1:57" ht="33.950000000000003" customHeight="1" x14ac:dyDescent="0.3">
      <c r="A167" s="34">
        <v>4</v>
      </c>
      <c r="B167" s="34" t="s">
        <v>392</v>
      </c>
      <c r="C167" s="34" t="s">
        <v>941</v>
      </c>
      <c r="D167" s="34" t="s">
        <v>701</v>
      </c>
      <c r="E167" s="34" t="s">
        <v>702</v>
      </c>
      <c r="F167" s="34" t="s">
        <v>714</v>
      </c>
      <c r="G167" s="34" t="s">
        <v>715</v>
      </c>
      <c r="H167" s="73" t="s">
        <v>720</v>
      </c>
      <c r="I167" s="39" t="s">
        <v>253</v>
      </c>
      <c r="J167" s="39" t="s">
        <v>999</v>
      </c>
      <c r="K167" s="39" t="s">
        <v>429</v>
      </c>
      <c r="L167" s="36" t="s">
        <v>721</v>
      </c>
      <c r="M167" s="37" t="s">
        <v>440</v>
      </c>
      <c r="N167" s="38"/>
      <c r="O167" s="37" t="s">
        <v>38</v>
      </c>
      <c r="P167" s="37" t="s">
        <v>411</v>
      </c>
      <c r="Q167" s="74">
        <v>14280000</v>
      </c>
      <c r="R167" s="74" t="s">
        <v>429</v>
      </c>
      <c r="S167" s="74">
        <v>17865689</v>
      </c>
      <c r="T167" s="74"/>
      <c r="U167" s="75"/>
      <c r="V167" s="74"/>
      <c r="W167" s="80"/>
      <c r="X167" s="74">
        <v>14280000</v>
      </c>
      <c r="Y167" s="76">
        <v>1</v>
      </c>
      <c r="Z167" s="74">
        <v>2520000</v>
      </c>
      <c r="AA167" s="74">
        <v>0</v>
      </c>
      <c r="AB167" s="74">
        <v>0</v>
      </c>
      <c r="AC167" s="74">
        <v>0</v>
      </c>
      <c r="AD167" s="74">
        <v>1</v>
      </c>
      <c r="AE167" s="74">
        <v>14280000</v>
      </c>
      <c r="AF167" s="76">
        <v>1</v>
      </c>
      <c r="AG167" s="74">
        <v>2520000</v>
      </c>
      <c r="AH167" s="74">
        <v>0</v>
      </c>
      <c r="AI167" s="74">
        <v>0</v>
      </c>
      <c r="AJ167" s="74">
        <v>0</v>
      </c>
      <c r="AK167" s="74">
        <v>1</v>
      </c>
      <c r="AL167" s="74">
        <v>14280000</v>
      </c>
      <c r="AM167" s="77">
        <v>1</v>
      </c>
      <c r="AN167" s="74">
        <v>2520000</v>
      </c>
      <c r="AO167" s="74">
        <v>0</v>
      </c>
      <c r="AP167" s="74">
        <v>0</v>
      </c>
      <c r="AQ167" s="74">
        <v>0</v>
      </c>
      <c r="AR167" s="74">
        <v>1</v>
      </c>
      <c r="AS167" s="74">
        <v>0</v>
      </c>
      <c r="AT167" s="77">
        <v>0</v>
      </c>
      <c r="AU167" s="74">
        <v>0</v>
      </c>
      <c r="AV167" s="74">
        <v>0</v>
      </c>
      <c r="AW167" s="74">
        <v>0</v>
      </c>
      <c r="AX167" s="74">
        <v>0</v>
      </c>
      <c r="AY167" s="74">
        <v>0</v>
      </c>
      <c r="AZ167" s="74">
        <v>4460711.47</v>
      </c>
      <c r="BA167" s="77">
        <v>0.31237475280112043</v>
      </c>
      <c r="BB167" s="74">
        <v>787184.3600000001</v>
      </c>
      <c r="BC167" s="74">
        <v>0</v>
      </c>
      <c r="BD167" s="74">
        <v>0</v>
      </c>
      <c r="BE167" s="74">
        <v>0</v>
      </c>
    </row>
    <row r="168" spans="1:57" ht="33.950000000000003" customHeight="1" x14ac:dyDescent="0.3">
      <c r="A168" s="34">
        <v>4</v>
      </c>
      <c r="B168" s="34" t="s">
        <v>392</v>
      </c>
      <c r="C168" s="34" t="s">
        <v>941</v>
      </c>
      <c r="D168" s="34" t="s">
        <v>701</v>
      </c>
      <c r="E168" s="34" t="s">
        <v>702</v>
      </c>
      <c r="F168" s="34" t="s">
        <v>714</v>
      </c>
      <c r="G168" s="34" t="s">
        <v>715</v>
      </c>
      <c r="H168" s="73" t="s">
        <v>722</v>
      </c>
      <c r="I168" s="39" t="s">
        <v>254</v>
      </c>
      <c r="J168" s="39" t="s">
        <v>1000</v>
      </c>
      <c r="K168" s="39" t="s">
        <v>429</v>
      </c>
      <c r="L168" s="36" t="s">
        <v>723</v>
      </c>
      <c r="M168" s="37" t="s">
        <v>440</v>
      </c>
      <c r="N168" s="38"/>
      <c r="O168" s="37" t="s">
        <v>38</v>
      </c>
      <c r="P168" s="37" t="s">
        <v>411</v>
      </c>
      <c r="Q168" s="74">
        <v>1262250</v>
      </c>
      <c r="R168" s="74" t="s">
        <v>429</v>
      </c>
      <c r="S168" s="74">
        <v>1485000</v>
      </c>
      <c r="T168" s="74"/>
      <c r="U168" s="75"/>
      <c r="V168" s="74"/>
      <c r="W168" s="80"/>
      <c r="X168" s="74">
        <v>1262250</v>
      </c>
      <c r="Y168" s="76">
        <v>1</v>
      </c>
      <c r="Z168" s="74">
        <v>222750</v>
      </c>
      <c r="AA168" s="74">
        <v>0</v>
      </c>
      <c r="AB168" s="74">
        <v>0</v>
      </c>
      <c r="AC168" s="74">
        <v>0</v>
      </c>
      <c r="AD168" s="74">
        <v>1</v>
      </c>
      <c r="AE168" s="74">
        <v>1262250</v>
      </c>
      <c r="AF168" s="76">
        <v>1</v>
      </c>
      <c r="AG168" s="74">
        <v>222750</v>
      </c>
      <c r="AH168" s="74">
        <v>0</v>
      </c>
      <c r="AI168" s="74">
        <v>0</v>
      </c>
      <c r="AJ168" s="74">
        <v>0</v>
      </c>
      <c r="AK168" s="74">
        <v>1</v>
      </c>
      <c r="AL168" s="74">
        <v>1262250</v>
      </c>
      <c r="AM168" s="77">
        <v>1</v>
      </c>
      <c r="AN168" s="74">
        <v>222750</v>
      </c>
      <c r="AO168" s="74">
        <v>0</v>
      </c>
      <c r="AP168" s="74">
        <v>0</v>
      </c>
      <c r="AQ168" s="74">
        <v>0</v>
      </c>
      <c r="AR168" s="74">
        <v>1</v>
      </c>
      <c r="AS168" s="74">
        <v>0</v>
      </c>
      <c r="AT168" s="77">
        <v>0</v>
      </c>
      <c r="AU168" s="74">
        <v>0</v>
      </c>
      <c r="AV168" s="74">
        <v>0</v>
      </c>
      <c r="AW168" s="74">
        <v>0</v>
      </c>
      <c r="AX168" s="74">
        <v>0</v>
      </c>
      <c r="AY168" s="74">
        <v>0</v>
      </c>
      <c r="AZ168" s="74">
        <v>408103.1</v>
      </c>
      <c r="BA168" s="77">
        <v>0.32331400277282629</v>
      </c>
      <c r="BB168" s="74">
        <v>72018.200000000012</v>
      </c>
      <c r="BC168" s="74">
        <v>0</v>
      </c>
      <c r="BD168" s="74">
        <v>0</v>
      </c>
      <c r="BE168" s="74">
        <v>0</v>
      </c>
    </row>
    <row r="169" spans="1:57" ht="33.950000000000003" customHeight="1" x14ac:dyDescent="0.3">
      <c r="A169" s="34">
        <v>4</v>
      </c>
      <c r="B169" s="34" t="s">
        <v>392</v>
      </c>
      <c r="C169" s="34" t="s">
        <v>941</v>
      </c>
      <c r="D169" s="34" t="s">
        <v>701</v>
      </c>
      <c r="E169" s="34" t="s">
        <v>702</v>
      </c>
      <c r="F169" s="34" t="s">
        <v>714</v>
      </c>
      <c r="G169" s="34" t="s">
        <v>715</v>
      </c>
      <c r="H169" s="73" t="s">
        <v>724</v>
      </c>
      <c r="I169" s="39" t="s">
        <v>255</v>
      </c>
      <c r="J169" s="39" t="s">
        <v>1001</v>
      </c>
      <c r="K169" s="39" t="s">
        <v>429</v>
      </c>
      <c r="L169" s="36" t="s">
        <v>725</v>
      </c>
      <c r="M169" s="37" t="s">
        <v>440</v>
      </c>
      <c r="N169" s="38"/>
      <c r="O169" s="37" t="s">
        <v>38</v>
      </c>
      <c r="P169" s="37" t="s">
        <v>411</v>
      </c>
      <c r="Q169" s="74">
        <v>8374527</v>
      </c>
      <c r="R169" s="74" t="s">
        <v>429</v>
      </c>
      <c r="S169" s="74">
        <v>8852385</v>
      </c>
      <c r="T169" s="74"/>
      <c r="U169" s="75"/>
      <c r="V169" s="74"/>
      <c r="W169" s="80"/>
      <c r="X169" s="74">
        <v>7524527</v>
      </c>
      <c r="Y169" s="76">
        <v>0.89850173030667879</v>
      </c>
      <c r="Z169" s="74">
        <v>1327858</v>
      </c>
      <c r="AA169" s="74">
        <v>0</v>
      </c>
      <c r="AB169" s="74">
        <v>0</v>
      </c>
      <c r="AC169" s="74">
        <v>0</v>
      </c>
      <c r="AD169" s="74">
        <v>1</v>
      </c>
      <c r="AE169" s="74">
        <v>7524527</v>
      </c>
      <c r="AF169" s="76">
        <v>0.89850173030667879</v>
      </c>
      <c r="AG169" s="74">
        <v>1327858</v>
      </c>
      <c r="AH169" s="74">
        <v>0</v>
      </c>
      <c r="AI169" s="74">
        <v>0</v>
      </c>
      <c r="AJ169" s="74">
        <v>0</v>
      </c>
      <c r="AK169" s="74">
        <v>1</v>
      </c>
      <c r="AL169" s="74">
        <v>7524527</v>
      </c>
      <c r="AM169" s="77">
        <v>0.89850173030667879</v>
      </c>
      <c r="AN169" s="74">
        <v>1327858</v>
      </c>
      <c r="AO169" s="74">
        <v>0</v>
      </c>
      <c r="AP169" s="74">
        <v>0</v>
      </c>
      <c r="AQ169" s="74">
        <v>0</v>
      </c>
      <c r="AR169" s="74">
        <v>1</v>
      </c>
      <c r="AS169" s="74">
        <v>0</v>
      </c>
      <c r="AT169" s="77">
        <v>0</v>
      </c>
      <c r="AU169" s="74">
        <v>0</v>
      </c>
      <c r="AV169" s="74">
        <v>0</v>
      </c>
      <c r="AW169" s="74">
        <v>0</v>
      </c>
      <c r="AX169" s="74">
        <v>0</v>
      </c>
      <c r="AY169" s="74">
        <v>0</v>
      </c>
      <c r="AZ169" s="74">
        <v>440570.05</v>
      </c>
      <c r="BA169" s="77">
        <v>5.2608350298470587E-2</v>
      </c>
      <c r="BB169" s="74">
        <v>77747.659999999989</v>
      </c>
      <c r="BC169" s="74">
        <v>0</v>
      </c>
      <c r="BD169" s="74">
        <v>0</v>
      </c>
      <c r="BE169" s="74">
        <v>0</v>
      </c>
    </row>
    <row r="170" spans="1:57" ht="33.950000000000003" customHeight="1" x14ac:dyDescent="0.3">
      <c r="A170" s="34">
        <v>4</v>
      </c>
      <c r="B170" s="34" t="s">
        <v>392</v>
      </c>
      <c r="C170" s="34" t="s">
        <v>941</v>
      </c>
      <c r="D170" s="34" t="s">
        <v>701</v>
      </c>
      <c r="E170" s="34" t="s">
        <v>702</v>
      </c>
      <c r="F170" s="34" t="s">
        <v>714</v>
      </c>
      <c r="G170" s="34" t="s">
        <v>715</v>
      </c>
      <c r="H170" s="73" t="s">
        <v>726</v>
      </c>
      <c r="I170" s="39" t="s">
        <v>256</v>
      </c>
      <c r="J170" s="39" t="s">
        <v>1002</v>
      </c>
      <c r="K170" s="39" t="s">
        <v>429</v>
      </c>
      <c r="L170" s="36" t="s">
        <v>727</v>
      </c>
      <c r="M170" s="37" t="s">
        <v>440</v>
      </c>
      <c r="N170" s="38"/>
      <c r="O170" s="37" t="s">
        <v>38</v>
      </c>
      <c r="P170" s="37" t="s">
        <v>411</v>
      </c>
      <c r="Q170" s="74">
        <v>6800000</v>
      </c>
      <c r="R170" s="74" t="s">
        <v>429</v>
      </c>
      <c r="S170" s="74">
        <v>8000000</v>
      </c>
      <c r="T170" s="74"/>
      <c r="U170" s="75"/>
      <c r="V170" s="74"/>
      <c r="W170" s="80"/>
      <c r="X170" s="74">
        <v>6795598.1299999999</v>
      </c>
      <c r="Y170" s="76">
        <v>0.99935266617647056</v>
      </c>
      <c r="Z170" s="74">
        <v>1199223.2</v>
      </c>
      <c r="AA170" s="74">
        <v>0</v>
      </c>
      <c r="AB170" s="74">
        <v>0</v>
      </c>
      <c r="AC170" s="74">
        <v>0</v>
      </c>
      <c r="AD170" s="74">
        <v>1</v>
      </c>
      <c r="AE170" s="74">
        <v>6795598.1299999999</v>
      </c>
      <c r="AF170" s="76">
        <v>0.99935266617647056</v>
      </c>
      <c r="AG170" s="74">
        <v>1199223.2</v>
      </c>
      <c r="AH170" s="74">
        <v>0</v>
      </c>
      <c r="AI170" s="74">
        <v>0</v>
      </c>
      <c r="AJ170" s="74">
        <v>0</v>
      </c>
      <c r="AK170" s="74">
        <v>1</v>
      </c>
      <c r="AL170" s="74">
        <v>6795598.1299999999</v>
      </c>
      <c r="AM170" s="77">
        <v>0.99935266617647056</v>
      </c>
      <c r="AN170" s="74">
        <v>1199223.2</v>
      </c>
      <c r="AO170" s="74">
        <v>0</v>
      </c>
      <c r="AP170" s="74">
        <v>0</v>
      </c>
      <c r="AQ170" s="74">
        <v>0</v>
      </c>
      <c r="AR170" s="74">
        <v>1</v>
      </c>
      <c r="AS170" s="74">
        <v>0</v>
      </c>
      <c r="AT170" s="77">
        <v>0</v>
      </c>
      <c r="AU170" s="74">
        <v>0</v>
      </c>
      <c r="AV170" s="74">
        <v>0</v>
      </c>
      <c r="AW170" s="74">
        <v>0</v>
      </c>
      <c r="AX170" s="74">
        <v>0</v>
      </c>
      <c r="AY170" s="74">
        <v>0</v>
      </c>
      <c r="AZ170" s="74">
        <v>1085961.28</v>
      </c>
      <c r="BA170" s="77">
        <v>0.15970018823529411</v>
      </c>
      <c r="BB170" s="74">
        <v>191640.23</v>
      </c>
      <c r="BC170" s="74">
        <v>0</v>
      </c>
      <c r="BD170" s="74">
        <v>0</v>
      </c>
      <c r="BE170" s="74">
        <v>0</v>
      </c>
    </row>
    <row r="171" spans="1:57" ht="33.950000000000003" customHeight="1" x14ac:dyDescent="0.3">
      <c r="A171" s="34">
        <v>4</v>
      </c>
      <c r="B171" s="34" t="s">
        <v>392</v>
      </c>
      <c r="C171" s="34" t="s">
        <v>941</v>
      </c>
      <c r="D171" s="34" t="s">
        <v>701</v>
      </c>
      <c r="E171" s="34" t="s">
        <v>702</v>
      </c>
      <c r="F171" s="34" t="s">
        <v>714</v>
      </c>
      <c r="G171" s="34" t="s">
        <v>715</v>
      </c>
      <c r="H171" s="73" t="s">
        <v>728</v>
      </c>
      <c r="I171" s="39" t="s">
        <v>257</v>
      </c>
      <c r="J171" s="39" t="s">
        <v>1003</v>
      </c>
      <c r="K171" s="39" t="s">
        <v>429</v>
      </c>
      <c r="L171" s="36" t="s">
        <v>729</v>
      </c>
      <c r="M171" s="37" t="s">
        <v>440</v>
      </c>
      <c r="N171" s="38"/>
      <c r="O171" s="37" t="s">
        <v>38</v>
      </c>
      <c r="P171" s="37" t="s">
        <v>411</v>
      </c>
      <c r="Q171" s="74">
        <v>4249999</v>
      </c>
      <c r="R171" s="74" t="s">
        <v>429</v>
      </c>
      <c r="S171" s="74">
        <v>4999999</v>
      </c>
      <c r="T171" s="74"/>
      <c r="U171" s="75"/>
      <c r="V171" s="74"/>
      <c r="W171" s="80"/>
      <c r="X171" s="74">
        <v>4249999</v>
      </c>
      <c r="Y171" s="76">
        <v>1</v>
      </c>
      <c r="Z171" s="74">
        <v>750000</v>
      </c>
      <c r="AA171" s="74">
        <v>0</v>
      </c>
      <c r="AB171" s="74">
        <v>0</v>
      </c>
      <c r="AC171" s="74">
        <v>0</v>
      </c>
      <c r="AD171" s="74">
        <v>1</v>
      </c>
      <c r="AE171" s="74">
        <v>4249999</v>
      </c>
      <c r="AF171" s="76">
        <v>1</v>
      </c>
      <c r="AG171" s="74">
        <v>750000</v>
      </c>
      <c r="AH171" s="74">
        <v>0</v>
      </c>
      <c r="AI171" s="74">
        <v>0</v>
      </c>
      <c r="AJ171" s="74">
        <v>0</v>
      </c>
      <c r="AK171" s="74">
        <v>1</v>
      </c>
      <c r="AL171" s="74">
        <v>4249999</v>
      </c>
      <c r="AM171" s="77">
        <v>1</v>
      </c>
      <c r="AN171" s="74">
        <v>750000</v>
      </c>
      <c r="AO171" s="74">
        <v>0</v>
      </c>
      <c r="AP171" s="74">
        <v>0</v>
      </c>
      <c r="AQ171" s="74">
        <v>0</v>
      </c>
      <c r="AR171" s="74">
        <v>1</v>
      </c>
      <c r="AS171" s="74">
        <v>0</v>
      </c>
      <c r="AT171" s="77">
        <v>0</v>
      </c>
      <c r="AU171" s="74">
        <v>0</v>
      </c>
      <c r="AV171" s="74">
        <v>0</v>
      </c>
      <c r="AW171" s="74">
        <v>0</v>
      </c>
      <c r="AX171" s="74">
        <v>0</v>
      </c>
      <c r="AY171" s="74">
        <v>0</v>
      </c>
      <c r="AZ171" s="74">
        <v>691989.38</v>
      </c>
      <c r="BA171" s="77">
        <v>0.16282106889907505</v>
      </c>
      <c r="BB171" s="74">
        <v>122115.78</v>
      </c>
      <c r="BC171" s="74">
        <v>0</v>
      </c>
      <c r="BD171" s="74">
        <v>0</v>
      </c>
      <c r="BE171" s="74">
        <v>0</v>
      </c>
    </row>
    <row r="172" spans="1:57" ht="33.950000000000003" customHeight="1" x14ac:dyDescent="0.3">
      <c r="A172" s="34">
        <v>4</v>
      </c>
      <c r="B172" s="34" t="s">
        <v>392</v>
      </c>
      <c r="C172" s="34" t="s">
        <v>941</v>
      </c>
      <c r="D172" s="34" t="s">
        <v>701</v>
      </c>
      <c r="E172" s="34" t="s">
        <v>702</v>
      </c>
      <c r="F172" s="34" t="s">
        <v>730</v>
      </c>
      <c r="G172" s="34" t="s">
        <v>731</v>
      </c>
      <c r="H172" s="73" t="s">
        <v>732</v>
      </c>
      <c r="I172" s="39" t="s">
        <v>258</v>
      </c>
      <c r="J172" s="39" t="s">
        <v>1004</v>
      </c>
      <c r="K172" s="39" t="s">
        <v>429</v>
      </c>
      <c r="L172" s="36" t="s">
        <v>733</v>
      </c>
      <c r="M172" s="37" t="s">
        <v>440</v>
      </c>
      <c r="N172" s="38"/>
      <c r="O172" s="37" t="s">
        <v>38</v>
      </c>
      <c r="P172" s="37" t="s">
        <v>411</v>
      </c>
      <c r="Q172" s="74">
        <v>1700000</v>
      </c>
      <c r="R172" s="74" t="s">
        <v>429</v>
      </c>
      <c r="S172" s="74">
        <v>2000000</v>
      </c>
      <c r="T172" s="74"/>
      <c r="U172" s="75"/>
      <c r="V172" s="74"/>
      <c r="W172" s="80"/>
      <c r="X172" s="74">
        <v>1700000</v>
      </c>
      <c r="Y172" s="76">
        <v>1</v>
      </c>
      <c r="Z172" s="74">
        <v>300000</v>
      </c>
      <c r="AA172" s="74">
        <v>0</v>
      </c>
      <c r="AB172" s="74">
        <v>0</v>
      </c>
      <c r="AC172" s="74">
        <v>0</v>
      </c>
      <c r="AD172" s="74">
        <v>1</v>
      </c>
      <c r="AE172" s="74">
        <v>1700000</v>
      </c>
      <c r="AF172" s="76">
        <v>1</v>
      </c>
      <c r="AG172" s="74">
        <v>300000</v>
      </c>
      <c r="AH172" s="74">
        <v>0</v>
      </c>
      <c r="AI172" s="74">
        <v>0</v>
      </c>
      <c r="AJ172" s="74">
        <v>0</v>
      </c>
      <c r="AK172" s="74">
        <v>1</v>
      </c>
      <c r="AL172" s="74">
        <v>1700000</v>
      </c>
      <c r="AM172" s="77">
        <v>1</v>
      </c>
      <c r="AN172" s="74">
        <v>300000</v>
      </c>
      <c r="AO172" s="74">
        <v>0</v>
      </c>
      <c r="AP172" s="74">
        <v>0</v>
      </c>
      <c r="AQ172" s="74">
        <v>0</v>
      </c>
      <c r="AR172" s="74">
        <v>1</v>
      </c>
      <c r="AS172" s="74">
        <v>0</v>
      </c>
      <c r="AT172" s="77">
        <v>0</v>
      </c>
      <c r="AU172" s="74">
        <v>0</v>
      </c>
      <c r="AV172" s="74">
        <v>0</v>
      </c>
      <c r="AW172" s="74">
        <v>0</v>
      </c>
      <c r="AX172" s="74">
        <v>0</v>
      </c>
      <c r="AY172" s="74">
        <v>0</v>
      </c>
      <c r="AZ172" s="74">
        <v>518664.52999999991</v>
      </c>
      <c r="BA172" s="77">
        <v>0.30509678235294113</v>
      </c>
      <c r="BB172" s="74">
        <v>91529.04</v>
      </c>
      <c r="BC172" s="74">
        <v>0</v>
      </c>
      <c r="BD172" s="74">
        <v>0</v>
      </c>
      <c r="BE172" s="74">
        <v>0</v>
      </c>
    </row>
    <row r="173" spans="1:57" ht="33.950000000000003" customHeight="1" x14ac:dyDescent="0.3">
      <c r="A173" s="34">
        <v>4</v>
      </c>
      <c r="B173" s="34" t="s">
        <v>392</v>
      </c>
      <c r="C173" s="34" t="s">
        <v>941</v>
      </c>
      <c r="D173" s="34" t="s">
        <v>701</v>
      </c>
      <c r="E173" s="34" t="s">
        <v>702</v>
      </c>
      <c r="F173" s="34" t="s">
        <v>730</v>
      </c>
      <c r="G173" s="34" t="s">
        <v>734</v>
      </c>
      <c r="H173" s="73" t="s">
        <v>735</v>
      </c>
      <c r="I173" s="39" t="s">
        <v>259</v>
      </c>
      <c r="J173" s="39" t="s">
        <v>1005</v>
      </c>
      <c r="K173" s="39" t="s">
        <v>429</v>
      </c>
      <c r="L173" s="36" t="s">
        <v>736</v>
      </c>
      <c r="M173" s="37">
        <v>1</v>
      </c>
      <c r="N173" s="38"/>
      <c r="O173" s="37" t="s">
        <v>38</v>
      </c>
      <c r="P173" s="37" t="s">
        <v>411</v>
      </c>
      <c r="Q173" s="74">
        <v>1079661</v>
      </c>
      <c r="R173" s="74" t="s">
        <v>429</v>
      </c>
      <c r="S173" s="74">
        <v>1270190</v>
      </c>
      <c r="T173" s="74"/>
      <c r="U173" s="75"/>
      <c r="V173" s="74"/>
      <c r="W173" s="80"/>
      <c r="X173" s="74">
        <v>1073412.9100000001</v>
      </c>
      <c r="Y173" s="76">
        <v>0.99421291497979469</v>
      </c>
      <c r="Z173" s="74">
        <v>189425.83999999997</v>
      </c>
      <c r="AA173" s="74">
        <v>0</v>
      </c>
      <c r="AB173" s="74">
        <v>0</v>
      </c>
      <c r="AC173" s="74">
        <v>0</v>
      </c>
      <c r="AD173" s="74">
        <v>31</v>
      </c>
      <c r="AE173" s="74">
        <v>1073412.9100000001</v>
      </c>
      <c r="AF173" s="76">
        <v>0.99421291497979469</v>
      </c>
      <c r="AG173" s="74">
        <v>189425.83999999997</v>
      </c>
      <c r="AH173" s="74">
        <v>0</v>
      </c>
      <c r="AI173" s="74">
        <v>0</v>
      </c>
      <c r="AJ173" s="74">
        <v>0</v>
      </c>
      <c r="AK173" s="74">
        <v>31</v>
      </c>
      <c r="AL173" s="74">
        <v>1073412.9100000001</v>
      </c>
      <c r="AM173" s="77">
        <v>0.99421291497979469</v>
      </c>
      <c r="AN173" s="74">
        <v>189425.83999999997</v>
      </c>
      <c r="AO173" s="74">
        <v>0</v>
      </c>
      <c r="AP173" s="74">
        <v>0</v>
      </c>
      <c r="AQ173" s="74">
        <v>0</v>
      </c>
      <c r="AR173" s="74">
        <v>31</v>
      </c>
      <c r="AS173" s="74">
        <v>958688.18</v>
      </c>
      <c r="AT173" s="77">
        <v>0.88795295930852369</v>
      </c>
      <c r="AU173" s="74">
        <v>169180.3</v>
      </c>
      <c r="AV173" s="74">
        <v>0</v>
      </c>
      <c r="AW173" s="74">
        <v>0</v>
      </c>
      <c r="AX173" s="74">
        <v>0</v>
      </c>
      <c r="AY173" s="74">
        <v>28</v>
      </c>
      <c r="AZ173" s="74">
        <v>1053850.6200000003</v>
      </c>
      <c r="BA173" s="77">
        <v>0.97609399617102066</v>
      </c>
      <c r="BB173" s="74">
        <v>185973.66999999998</v>
      </c>
      <c r="BC173" s="74">
        <v>0</v>
      </c>
      <c r="BD173" s="74">
        <v>0</v>
      </c>
      <c r="BE173" s="74">
        <v>0</v>
      </c>
    </row>
    <row r="174" spans="1:57" ht="33.950000000000003" customHeight="1" x14ac:dyDescent="0.3">
      <c r="A174" s="34">
        <v>4</v>
      </c>
      <c r="B174" s="34" t="s">
        <v>392</v>
      </c>
      <c r="C174" s="34" t="s">
        <v>941</v>
      </c>
      <c r="D174" s="34" t="s">
        <v>701</v>
      </c>
      <c r="E174" s="34" t="s">
        <v>702</v>
      </c>
      <c r="F174" s="34" t="s">
        <v>730</v>
      </c>
      <c r="G174" s="34" t="s">
        <v>734</v>
      </c>
      <c r="H174" s="73" t="s">
        <v>735</v>
      </c>
      <c r="I174" s="39" t="s">
        <v>260</v>
      </c>
      <c r="J174" s="39" t="s">
        <v>1006</v>
      </c>
      <c r="K174" s="39" t="s">
        <v>429</v>
      </c>
      <c r="L174" s="36" t="s">
        <v>736</v>
      </c>
      <c r="M174" s="37">
        <v>2</v>
      </c>
      <c r="N174" s="38"/>
      <c r="O174" s="37" t="s">
        <v>38</v>
      </c>
      <c r="P174" s="37" t="s">
        <v>411</v>
      </c>
      <c r="Q174" s="74">
        <v>1961606</v>
      </c>
      <c r="R174" s="74" t="s">
        <v>429</v>
      </c>
      <c r="S174" s="74">
        <v>2307772</v>
      </c>
      <c r="T174" s="74"/>
      <c r="U174" s="75"/>
      <c r="V174" s="74"/>
      <c r="W174" s="80"/>
      <c r="X174" s="74">
        <v>0</v>
      </c>
      <c r="Y174" s="76">
        <v>0</v>
      </c>
      <c r="Z174" s="74">
        <v>0</v>
      </c>
      <c r="AA174" s="74">
        <v>0</v>
      </c>
      <c r="AB174" s="74">
        <v>0</v>
      </c>
      <c r="AC174" s="74">
        <v>0</v>
      </c>
      <c r="AD174" s="74">
        <v>0</v>
      </c>
      <c r="AE174" s="74">
        <v>0</v>
      </c>
      <c r="AF174" s="76">
        <v>0</v>
      </c>
      <c r="AG174" s="74">
        <v>0</v>
      </c>
      <c r="AH174" s="74">
        <v>0</v>
      </c>
      <c r="AI174" s="74">
        <v>0</v>
      </c>
      <c r="AJ174" s="74">
        <v>0</v>
      </c>
      <c r="AK174" s="74">
        <v>0</v>
      </c>
      <c r="AL174" s="74">
        <v>0</v>
      </c>
      <c r="AM174" s="77">
        <v>0</v>
      </c>
      <c r="AN174" s="74">
        <v>0</v>
      </c>
      <c r="AO174" s="74">
        <v>0</v>
      </c>
      <c r="AP174" s="74">
        <v>0</v>
      </c>
      <c r="AQ174" s="74">
        <v>0</v>
      </c>
      <c r="AR174" s="74">
        <v>0</v>
      </c>
      <c r="AS174" s="74">
        <v>0</v>
      </c>
      <c r="AT174" s="77">
        <v>0</v>
      </c>
      <c r="AU174" s="74">
        <v>0</v>
      </c>
      <c r="AV174" s="74">
        <v>0</v>
      </c>
      <c r="AW174" s="74">
        <v>0</v>
      </c>
      <c r="AX174" s="74">
        <v>0</v>
      </c>
      <c r="AY174" s="74">
        <v>0</v>
      </c>
      <c r="AZ174" s="74">
        <v>0</v>
      </c>
      <c r="BA174" s="77">
        <v>0</v>
      </c>
      <c r="BB174" s="74">
        <v>0</v>
      </c>
      <c r="BC174" s="74">
        <v>0</v>
      </c>
      <c r="BD174" s="74">
        <v>0</v>
      </c>
      <c r="BE174" s="74">
        <v>0</v>
      </c>
    </row>
    <row r="175" spans="1:57" ht="33.950000000000003" customHeight="1" x14ac:dyDescent="0.3">
      <c r="A175" s="34">
        <v>4</v>
      </c>
      <c r="B175" s="34" t="s">
        <v>392</v>
      </c>
      <c r="C175" s="34" t="s">
        <v>941</v>
      </c>
      <c r="D175" s="34" t="s">
        <v>701</v>
      </c>
      <c r="E175" s="34" t="s">
        <v>702</v>
      </c>
      <c r="F175" s="34" t="s">
        <v>730</v>
      </c>
      <c r="G175" s="34" t="s">
        <v>734</v>
      </c>
      <c r="H175" s="73" t="s">
        <v>737</v>
      </c>
      <c r="I175" s="39" t="s">
        <v>261</v>
      </c>
      <c r="J175" s="39" t="s">
        <v>1007</v>
      </c>
      <c r="K175" s="39" t="s">
        <v>429</v>
      </c>
      <c r="L175" s="36" t="s">
        <v>738</v>
      </c>
      <c r="M175" s="37" t="s">
        <v>440</v>
      </c>
      <c r="N175" s="38"/>
      <c r="O175" s="37" t="s">
        <v>38</v>
      </c>
      <c r="P175" s="37" t="s">
        <v>411</v>
      </c>
      <c r="Q175" s="74">
        <v>4513381</v>
      </c>
      <c r="R175" s="74" t="s">
        <v>429</v>
      </c>
      <c r="S175" s="74">
        <v>5309860</v>
      </c>
      <c r="T175" s="74"/>
      <c r="U175" s="75"/>
      <c r="V175" s="74"/>
      <c r="W175" s="80"/>
      <c r="X175" s="74">
        <v>4513381</v>
      </c>
      <c r="Y175" s="76">
        <v>1</v>
      </c>
      <c r="Z175" s="74">
        <v>796479</v>
      </c>
      <c r="AA175" s="74">
        <v>0</v>
      </c>
      <c r="AB175" s="74">
        <v>0</v>
      </c>
      <c r="AC175" s="74">
        <v>0</v>
      </c>
      <c r="AD175" s="74">
        <v>1</v>
      </c>
      <c r="AE175" s="74">
        <v>4513381</v>
      </c>
      <c r="AF175" s="76">
        <v>1</v>
      </c>
      <c r="AG175" s="74">
        <v>796479</v>
      </c>
      <c r="AH175" s="74">
        <v>0</v>
      </c>
      <c r="AI175" s="74">
        <v>0</v>
      </c>
      <c r="AJ175" s="74">
        <v>0</v>
      </c>
      <c r="AK175" s="74">
        <v>1</v>
      </c>
      <c r="AL175" s="74">
        <v>4513381</v>
      </c>
      <c r="AM175" s="77">
        <v>1</v>
      </c>
      <c r="AN175" s="74">
        <v>796479</v>
      </c>
      <c r="AO175" s="74">
        <v>0</v>
      </c>
      <c r="AP175" s="74">
        <v>0</v>
      </c>
      <c r="AQ175" s="74">
        <v>0</v>
      </c>
      <c r="AR175" s="74">
        <v>1</v>
      </c>
      <c r="AS175" s="74">
        <v>0</v>
      </c>
      <c r="AT175" s="77">
        <v>0</v>
      </c>
      <c r="AU175" s="74">
        <v>0</v>
      </c>
      <c r="AV175" s="74">
        <v>0</v>
      </c>
      <c r="AW175" s="74">
        <v>0</v>
      </c>
      <c r="AX175" s="74">
        <v>0</v>
      </c>
      <c r="AY175" s="74">
        <v>0</v>
      </c>
      <c r="AZ175" s="74">
        <v>817041.35000000009</v>
      </c>
      <c r="BA175" s="77">
        <v>0.18102645223170835</v>
      </c>
      <c r="BB175" s="74">
        <v>144183.76999999999</v>
      </c>
      <c r="BC175" s="74">
        <v>0</v>
      </c>
      <c r="BD175" s="74">
        <v>0</v>
      </c>
      <c r="BE175" s="74">
        <v>0</v>
      </c>
    </row>
    <row r="176" spans="1:57" ht="33.950000000000003" customHeight="1" x14ac:dyDescent="0.3">
      <c r="A176" s="34">
        <v>4</v>
      </c>
      <c r="B176" s="34" t="s">
        <v>392</v>
      </c>
      <c r="C176" s="34" t="s">
        <v>941</v>
      </c>
      <c r="D176" s="34" t="s">
        <v>701</v>
      </c>
      <c r="E176" s="34" t="s">
        <v>702</v>
      </c>
      <c r="F176" s="34" t="s">
        <v>730</v>
      </c>
      <c r="G176" s="34" t="s">
        <v>731</v>
      </c>
      <c r="H176" s="73" t="s">
        <v>739</v>
      </c>
      <c r="I176" s="39" t="s">
        <v>262</v>
      </c>
      <c r="J176" s="39" t="s">
        <v>1008</v>
      </c>
      <c r="K176" s="39" t="s">
        <v>429</v>
      </c>
      <c r="L176" s="36" t="s">
        <v>740</v>
      </c>
      <c r="M176" s="37" t="s">
        <v>440</v>
      </c>
      <c r="N176" s="38"/>
      <c r="O176" s="37" t="s">
        <v>38</v>
      </c>
      <c r="P176" s="37" t="s">
        <v>415</v>
      </c>
      <c r="Q176" s="74">
        <v>1448713</v>
      </c>
      <c r="R176" s="74" t="s">
        <v>429</v>
      </c>
      <c r="S176" s="74">
        <v>1704369</v>
      </c>
      <c r="T176" s="74"/>
      <c r="U176" s="75"/>
      <c r="V176" s="74"/>
      <c r="W176" s="80"/>
      <c r="X176" s="74">
        <v>1448713</v>
      </c>
      <c r="Y176" s="76">
        <v>1</v>
      </c>
      <c r="Z176" s="74">
        <v>255656</v>
      </c>
      <c r="AA176" s="74">
        <v>0</v>
      </c>
      <c r="AB176" s="74">
        <v>0</v>
      </c>
      <c r="AC176" s="74">
        <v>0</v>
      </c>
      <c r="AD176" s="74">
        <v>2</v>
      </c>
      <c r="AE176" s="74">
        <v>1448713</v>
      </c>
      <c r="AF176" s="76">
        <v>1</v>
      </c>
      <c r="AG176" s="74">
        <v>255656</v>
      </c>
      <c r="AH176" s="74">
        <v>0</v>
      </c>
      <c r="AI176" s="74">
        <v>0</v>
      </c>
      <c r="AJ176" s="74">
        <v>0</v>
      </c>
      <c r="AK176" s="74">
        <v>2</v>
      </c>
      <c r="AL176" s="74">
        <v>1448713</v>
      </c>
      <c r="AM176" s="77">
        <v>1</v>
      </c>
      <c r="AN176" s="74">
        <v>255656</v>
      </c>
      <c r="AO176" s="74">
        <v>0</v>
      </c>
      <c r="AP176" s="74">
        <v>0</v>
      </c>
      <c r="AQ176" s="74">
        <v>0</v>
      </c>
      <c r="AR176" s="74">
        <v>2</v>
      </c>
      <c r="AS176" s="74">
        <v>0</v>
      </c>
      <c r="AT176" s="77">
        <v>0</v>
      </c>
      <c r="AU176" s="74">
        <v>0</v>
      </c>
      <c r="AV176" s="74">
        <v>0</v>
      </c>
      <c r="AW176" s="74">
        <v>0</v>
      </c>
      <c r="AX176" s="74">
        <v>0</v>
      </c>
      <c r="AY176" s="74">
        <v>0</v>
      </c>
      <c r="AZ176" s="74">
        <v>715657.02</v>
      </c>
      <c r="BA176" s="77">
        <v>0.493995028690983</v>
      </c>
      <c r="BB176" s="74">
        <v>126292.4</v>
      </c>
      <c r="BC176" s="74">
        <v>0</v>
      </c>
      <c r="BD176" s="74">
        <v>0</v>
      </c>
      <c r="BE176" s="74">
        <v>0</v>
      </c>
    </row>
    <row r="177" spans="1:57" ht="33.950000000000003" customHeight="1" x14ac:dyDescent="0.3">
      <c r="A177" s="34">
        <v>4</v>
      </c>
      <c r="B177" s="34" t="s">
        <v>392</v>
      </c>
      <c r="C177" s="34" t="s">
        <v>941</v>
      </c>
      <c r="D177" s="34" t="s">
        <v>701</v>
      </c>
      <c r="E177" s="34" t="s">
        <v>702</v>
      </c>
      <c r="F177" s="34" t="s">
        <v>730</v>
      </c>
      <c r="G177" s="34" t="s">
        <v>734</v>
      </c>
      <c r="H177" s="73" t="s">
        <v>741</v>
      </c>
      <c r="I177" s="39" t="s">
        <v>263</v>
      </c>
      <c r="J177" s="39" t="s">
        <v>1009</v>
      </c>
      <c r="K177" s="39" t="s">
        <v>429</v>
      </c>
      <c r="L177" s="36" t="s">
        <v>742</v>
      </c>
      <c r="M177" s="37" t="s">
        <v>440</v>
      </c>
      <c r="N177" s="38"/>
      <c r="O177" s="37" t="s">
        <v>38</v>
      </c>
      <c r="P177" s="37" t="s">
        <v>415</v>
      </c>
      <c r="Q177" s="74">
        <v>1479000</v>
      </c>
      <c r="R177" s="74" t="s">
        <v>429</v>
      </c>
      <c r="S177" s="74">
        <v>1740000</v>
      </c>
      <c r="T177" s="74"/>
      <c r="U177" s="75"/>
      <c r="V177" s="74"/>
      <c r="W177" s="80"/>
      <c r="X177" s="74">
        <v>1479000</v>
      </c>
      <c r="Y177" s="76">
        <v>1</v>
      </c>
      <c r="Z177" s="74">
        <v>261000</v>
      </c>
      <c r="AA177" s="74">
        <v>0</v>
      </c>
      <c r="AB177" s="74">
        <v>0</v>
      </c>
      <c r="AC177" s="74">
        <v>0</v>
      </c>
      <c r="AD177" s="74">
        <v>1</v>
      </c>
      <c r="AE177" s="74">
        <v>1479000</v>
      </c>
      <c r="AF177" s="76">
        <v>1</v>
      </c>
      <c r="AG177" s="74">
        <v>261000</v>
      </c>
      <c r="AH177" s="74">
        <v>0</v>
      </c>
      <c r="AI177" s="74">
        <v>0</v>
      </c>
      <c r="AJ177" s="74">
        <v>0</v>
      </c>
      <c r="AK177" s="74">
        <v>1</v>
      </c>
      <c r="AL177" s="74">
        <v>1479000</v>
      </c>
      <c r="AM177" s="77">
        <v>1</v>
      </c>
      <c r="AN177" s="74">
        <v>261000</v>
      </c>
      <c r="AO177" s="74">
        <v>0</v>
      </c>
      <c r="AP177" s="74">
        <v>0</v>
      </c>
      <c r="AQ177" s="74">
        <v>0</v>
      </c>
      <c r="AR177" s="74">
        <v>1</v>
      </c>
      <c r="AS177" s="74">
        <v>0</v>
      </c>
      <c r="AT177" s="77">
        <v>0</v>
      </c>
      <c r="AU177" s="74">
        <v>0</v>
      </c>
      <c r="AV177" s="74">
        <v>0</v>
      </c>
      <c r="AW177" s="74">
        <v>0</v>
      </c>
      <c r="AX177" s="74">
        <v>0</v>
      </c>
      <c r="AY177" s="74">
        <v>0</v>
      </c>
      <c r="AZ177" s="74">
        <v>380565.93</v>
      </c>
      <c r="BA177" s="77">
        <v>0.25731300202839757</v>
      </c>
      <c r="BB177" s="74">
        <v>67158.69</v>
      </c>
      <c r="BC177" s="74">
        <v>0</v>
      </c>
      <c r="BD177" s="74">
        <v>0</v>
      </c>
      <c r="BE177" s="74">
        <v>0</v>
      </c>
    </row>
    <row r="178" spans="1:57" ht="33.950000000000003" customHeight="1" x14ac:dyDescent="0.3">
      <c r="A178" s="34">
        <v>4</v>
      </c>
      <c r="B178" s="34" t="s">
        <v>392</v>
      </c>
      <c r="C178" s="34" t="s">
        <v>941</v>
      </c>
      <c r="D178" s="34" t="s">
        <v>701</v>
      </c>
      <c r="E178" s="34" t="s">
        <v>702</v>
      </c>
      <c r="F178" s="34" t="s">
        <v>730</v>
      </c>
      <c r="G178" s="34" t="s">
        <v>734</v>
      </c>
      <c r="H178" s="73" t="s">
        <v>743</v>
      </c>
      <c r="I178" s="39" t="s">
        <v>264</v>
      </c>
      <c r="J178" s="39" t="s">
        <v>1010</v>
      </c>
      <c r="K178" s="39" t="s">
        <v>429</v>
      </c>
      <c r="L178" s="36" t="s">
        <v>744</v>
      </c>
      <c r="M178" s="37" t="s">
        <v>440</v>
      </c>
      <c r="N178" s="38"/>
      <c r="O178" s="37" t="s">
        <v>38</v>
      </c>
      <c r="P178" s="37" t="s">
        <v>413</v>
      </c>
      <c r="Q178" s="74">
        <v>2808499</v>
      </c>
      <c r="R178" s="74" t="s">
        <v>429</v>
      </c>
      <c r="S178" s="74">
        <v>3304117</v>
      </c>
      <c r="T178" s="74"/>
      <c r="U178" s="75"/>
      <c r="V178" s="74"/>
      <c r="W178" s="80"/>
      <c r="X178" s="74">
        <v>2808499</v>
      </c>
      <c r="Y178" s="76">
        <v>1</v>
      </c>
      <c r="Z178" s="74">
        <v>495618</v>
      </c>
      <c r="AA178" s="74">
        <v>0</v>
      </c>
      <c r="AB178" s="74">
        <v>0</v>
      </c>
      <c r="AC178" s="74">
        <v>0</v>
      </c>
      <c r="AD178" s="74">
        <v>1</v>
      </c>
      <c r="AE178" s="74">
        <v>2808499</v>
      </c>
      <c r="AF178" s="76">
        <v>1</v>
      </c>
      <c r="AG178" s="74">
        <v>495618</v>
      </c>
      <c r="AH178" s="74">
        <v>0</v>
      </c>
      <c r="AI178" s="74">
        <v>0</v>
      </c>
      <c r="AJ178" s="74">
        <v>0</v>
      </c>
      <c r="AK178" s="74">
        <v>1</v>
      </c>
      <c r="AL178" s="74">
        <v>2808499</v>
      </c>
      <c r="AM178" s="77">
        <v>1</v>
      </c>
      <c r="AN178" s="74">
        <v>495618</v>
      </c>
      <c r="AO178" s="74">
        <v>0</v>
      </c>
      <c r="AP178" s="74">
        <v>0</v>
      </c>
      <c r="AQ178" s="74">
        <v>0</v>
      </c>
      <c r="AR178" s="74">
        <v>1</v>
      </c>
      <c r="AS178" s="74">
        <v>0</v>
      </c>
      <c r="AT178" s="77">
        <v>0</v>
      </c>
      <c r="AU178" s="74">
        <v>0</v>
      </c>
      <c r="AV178" s="74">
        <v>0</v>
      </c>
      <c r="AW178" s="74">
        <v>0</v>
      </c>
      <c r="AX178" s="74">
        <v>0</v>
      </c>
      <c r="AY178" s="74">
        <v>0</v>
      </c>
      <c r="AZ178" s="74">
        <v>963680.64</v>
      </c>
      <c r="BA178" s="77">
        <v>0.34313013463775488</v>
      </c>
      <c r="BB178" s="74">
        <v>170061.28</v>
      </c>
      <c r="BC178" s="74">
        <v>0</v>
      </c>
      <c r="BD178" s="74">
        <v>0</v>
      </c>
      <c r="BE178" s="74">
        <v>0</v>
      </c>
    </row>
    <row r="179" spans="1:57" ht="33.950000000000003" customHeight="1" x14ac:dyDescent="0.3">
      <c r="A179" s="34">
        <v>4</v>
      </c>
      <c r="B179" s="34" t="s">
        <v>392</v>
      </c>
      <c r="C179" s="34" t="s">
        <v>941</v>
      </c>
      <c r="D179" s="34" t="s">
        <v>701</v>
      </c>
      <c r="E179" s="34" t="s">
        <v>702</v>
      </c>
      <c r="F179" s="34" t="s">
        <v>730</v>
      </c>
      <c r="G179" s="34" t="s">
        <v>734</v>
      </c>
      <c r="H179" s="73" t="s">
        <v>745</v>
      </c>
      <c r="I179" s="39" t="s">
        <v>265</v>
      </c>
      <c r="J179" s="39" t="s">
        <v>1011</v>
      </c>
      <c r="K179" s="39" t="s">
        <v>429</v>
      </c>
      <c r="L179" s="36" t="s">
        <v>746</v>
      </c>
      <c r="M179" s="37" t="s">
        <v>440</v>
      </c>
      <c r="N179" s="38"/>
      <c r="O179" s="37" t="s">
        <v>38</v>
      </c>
      <c r="P179" s="37" t="s">
        <v>413</v>
      </c>
      <c r="Q179" s="74">
        <v>2808500</v>
      </c>
      <c r="R179" s="74" t="s">
        <v>429</v>
      </c>
      <c r="S179" s="74">
        <v>3304118</v>
      </c>
      <c r="T179" s="74"/>
      <c r="U179" s="75"/>
      <c r="V179" s="74"/>
      <c r="W179" s="80"/>
      <c r="X179" s="74">
        <v>2808500</v>
      </c>
      <c r="Y179" s="76">
        <v>1</v>
      </c>
      <c r="Z179" s="74">
        <v>495618</v>
      </c>
      <c r="AA179" s="74">
        <v>0</v>
      </c>
      <c r="AB179" s="74">
        <v>0</v>
      </c>
      <c r="AC179" s="74">
        <v>0</v>
      </c>
      <c r="AD179" s="74">
        <v>1</v>
      </c>
      <c r="AE179" s="74">
        <v>2808500</v>
      </c>
      <c r="AF179" s="76">
        <v>1</v>
      </c>
      <c r="AG179" s="74">
        <v>495618</v>
      </c>
      <c r="AH179" s="74">
        <v>0</v>
      </c>
      <c r="AI179" s="74">
        <v>0</v>
      </c>
      <c r="AJ179" s="74">
        <v>0</v>
      </c>
      <c r="AK179" s="74">
        <v>1</v>
      </c>
      <c r="AL179" s="74">
        <v>2808500</v>
      </c>
      <c r="AM179" s="77">
        <v>1</v>
      </c>
      <c r="AN179" s="74">
        <v>495618</v>
      </c>
      <c r="AO179" s="74">
        <v>0</v>
      </c>
      <c r="AP179" s="74">
        <v>0</v>
      </c>
      <c r="AQ179" s="74">
        <v>0</v>
      </c>
      <c r="AR179" s="74">
        <v>1</v>
      </c>
      <c r="AS179" s="74">
        <v>0</v>
      </c>
      <c r="AT179" s="77">
        <v>0</v>
      </c>
      <c r="AU179" s="74">
        <v>0</v>
      </c>
      <c r="AV179" s="74">
        <v>0</v>
      </c>
      <c r="AW179" s="74">
        <v>0</v>
      </c>
      <c r="AX179" s="74">
        <v>0</v>
      </c>
      <c r="AY179" s="74">
        <v>0</v>
      </c>
      <c r="AZ179" s="74">
        <v>645144.12999999989</v>
      </c>
      <c r="BA179" s="77">
        <v>0.22971128004272739</v>
      </c>
      <c r="BB179" s="74">
        <v>113848.98000000001</v>
      </c>
      <c r="BC179" s="74">
        <v>0</v>
      </c>
      <c r="BD179" s="74">
        <v>0</v>
      </c>
      <c r="BE179" s="74">
        <v>0</v>
      </c>
    </row>
    <row r="180" spans="1:57" ht="33.950000000000003" customHeight="1" x14ac:dyDescent="0.3">
      <c r="A180" s="34">
        <v>4</v>
      </c>
      <c r="B180" s="34" t="s">
        <v>392</v>
      </c>
      <c r="C180" s="34" t="s">
        <v>941</v>
      </c>
      <c r="D180" s="34" t="s">
        <v>701</v>
      </c>
      <c r="E180" s="34" t="s">
        <v>702</v>
      </c>
      <c r="F180" s="34" t="s">
        <v>730</v>
      </c>
      <c r="G180" s="34" t="s">
        <v>734</v>
      </c>
      <c r="H180" s="73" t="s">
        <v>747</v>
      </c>
      <c r="I180" s="39" t="s">
        <v>266</v>
      </c>
      <c r="J180" s="39" t="s">
        <v>1012</v>
      </c>
      <c r="K180" s="39" t="s">
        <v>429</v>
      </c>
      <c r="L180" s="36" t="s">
        <v>748</v>
      </c>
      <c r="M180" s="37" t="s">
        <v>440</v>
      </c>
      <c r="N180" s="38"/>
      <c r="O180" s="37" t="s">
        <v>38</v>
      </c>
      <c r="P180" s="37" t="s">
        <v>410</v>
      </c>
      <c r="Q180" s="74">
        <v>2174289</v>
      </c>
      <c r="R180" s="74" t="s">
        <v>429</v>
      </c>
      <c r="S180" s="74">
        <v>2557988</v>
      </c>
      <c r="T180" s="74"/>
      <c r="U180" s="75"/>
      <c r="V180" s="74"/>
      <c r="W180" s="80"/>
      <c r="X180" s="74">
        <v>1868476</v>
      </c>
      <c r="Y180" s="76">
        <v>0.85935034395151699</v>
      </c>
      <c r="Z180" s="74">
        <v>329732</v>
      </c>
      <c r="AA180" s="74">
        <v>0</v>
      </c>
      <c r="AB180" s="74">
        <v>0</v>
      </c>
      <c r="AC180" s="74">
        <v>0</v>
      </c>
      <c r="AD180" s="74">
        <v>1</v>
      </c>
      <c r="AE180" s="74">
        <v>1868476</v>
      </c>
      <c r="AF180" s="76">
        <v>0.85935034395151699</v>
      </c>
      <c r="AG180" s="74">
        <v>329732</v>
      </c>
      <c r="AH180" s="74">
        <v>0</v>
      </c>
      <c r="AI180" s="74">
        <v>0</v>
      </c>
      <c r="AJ180" s="74">
        <v>0</v>
      </c>
      <c r="AK180" s="74">
        <v>1</v>
      </c>
      <c r="AL180" s="74">
        <v>1868476</v>
      </c>
      <c r="AM180" s="77">
        <v>0.85935034395151699</v>
      </c>
      <c r="AN180" s="74">
        <v>329732</v>
      </c>
      <c r="AO180" s="74">
        <v>0</v>
      </c>
      <c r="AP180" s="74">
        <v>0</v>
      </c>
      <c r="AQ180" s="74">
        <v>0</v>
      </c>
      <c r="AR180" s="74">
        <v>1</v>
      </c>
      <c r="AS180" s="74">
        <v>0</v>
      </c>
      <c r="AT180" s="77">
        <v>0</v>
      </c>
      <c r="AU180" s="74">
        <v>0</v>
      </c>
      <c r="AV180" s="74">
        <v>0</v>
      </c>
      <c r="AW180" s="74">
        <v>0</v>
      </c>
      <c r="AX180" s="74">
        <v>0</v>
      </c>
      <c r="AY180" s="74">
        <v>0</v>
      </c>
      <c r="AZ180" s="74">
        <v>605402.99</v>
      </c>
      <c r="BA180" s="77">
        <v>0.27843722246674657</v>
      </c>
      <c r="BB180" s="74">
        <v>106835.81999999999</v>
      </c>
      <c r="BC180" s="74">
        <v>0</v>
      </c>
      <c r="BD180" s="74">
        <v>0</v>
      </c>
      <c r="BE180" s="74">
        <v>0</v>
      </c>
    </row>
    <row r="181" spans="1:57" ht="33.950000000000003" customHeight="1" x14ac:dyDescent="0.3">
      <c r="A181" s="34">
        <v>4</v>
      </c>
      <c r="B181" s="34" t="s">
        <v>392</v>
      </c>
      <c r="C181" s="34" t="s">
        <v>941</v>
      </c>
      <c r="D181" s="34" t="s">
        <v>701</v>
      </c>
      <c r="E181" s="34" t="s">
        <v>702</v>
      </c>
      <c r="F181" s="34" t="s">
        <v>730</v>
      </c>
      <c r="G181" s="34" t="s">
        <v>734</v>
      </c>
      <c r="H181" s="73" t="s">
        <v>749</v>
      </c>
      <c r="I181" s="39" t="s">
        <v>267</v>
      </c>
      <c r="J181" s="39" t="s">
        <v>1013</v>
      </c>
      <c r="K181" s="39" t="s">
        <v>429</v>
      </c>
      <c r="L181" s="36" t="s">
        <v>750</v>
      </c>
      <c r="M181" s="37" t="s">
        <v>440</v>
      </c>
      <c r="N181" s="38"/>
      <c r="O181" s="37" t="s">
        <v>38</v>
      </c>
      <c r="P181" s="37" t="s">
        <v>410</v>
      </c>
      <c r="Q181" s="74">
        <v>3623815</v>
      </c>
      <c r="R181" s="74" t="s">
        <v>429</v>
      </c>
      <c r="S181" s="74">
        <v>4263312</v>
      </c>
      <c r="T181" s="74"/>
      <c r="U181" s="75"/>
      <c r="V181" s="74"/>
      <c r="W181" s="80"/>
      <c r="X181" s="74">
        <v>3114127</v>
      </c>
      <c r="Y181" s="76">
        <v>0.85935043593560934</v>
      </c>
      <c r="Z181" s="74">
        <v>549552</v>
      </c>
      <c r="AA181" s="74">
        <v>0</v>
      </c>
      <c r="AB181" s="74">
        <v>0</v>
      </c>
      <c r="AC181" s="74">
        <v>0</v>
      </c>
      <c r="AD181" s="74">
        <v>1</v>
      </c>
      <c r="AE181" s="74">
        <v>3114127</v>
      </c>
      <c r="AF181" s="76">
        <v>0.85935043593560934</v>
      </c>
      <c r="AG181" s="74">
        <v>549552</v>
      </c>
      <c r="AH181" s="74">
        <v>0</v>
      </c>
      <c r="AI181" s="74">
        <v>0</v>
      </c>
      <c r="AJ181" s="74">
        <v>0</v>
      </c>
      <c r="AK181" s="74">
        <v>1</v>
      </c>
      <c r="AL181" s="74">
        <v>3114127</v>
      </c>
      <c r="AM181" s="77">
        <v>0.85935043593560934</v>
      </c>
      <c r="AN181" s="74">
        <v>549552</v>
      </c>
      <c r="AO181" s="74">
        <v>0</v>
      </c>
      <c r="AP181" s="74">
        <v>0</v>
      </c>
      <c r="AQ181" s="74">
        <v>0</v>
      </c>
      <c r="AR181" s="74">
        <v>1</v>
      </c>
      <c r="AS181" s="74">
        <v>0</v>
      </c>
      <c r="AT181" s="77">
        <v>0</v>
      </c>
      <c r="AU181" s="74">
        <v>0</v>
      </c>
      <c r="AV181" s="74">
        <v>0</v>
      </c>
      <c r="AW181" s="74">
        <v>0</v>
      </c>
      <c r="AX181" s="74">
        <v>0</v>
      </c>
      <c r="AY181" s="74">
        <v>0</v>
      </c>
      <c r="AZ181" s="74">
        <v>663054.89999999991</v>
      </c>
      <c r="BA181" s="77">
        <v>0.1829715093071804</v>
      </c>
      <c r="BB181" s="74">
        <v>117009.68</v>
      </c>
      <c r="BC181" s="74">
        <v>0</v>
      </c>
      <c r="BD181" s="74">
        <v>0</v>
      </c>
      <c r="BE181" s="74">
        <v>0</v>
      </c>
    </row>
    <row r="182" spans="1:57" ht="33.950000000000003" customHeight="1" x14ac:dyDescent="0.3">
      <c r="A182" s="34">
        <v>4</v>
      </c>
      <c r="B182" s="34" t="s">
        <v>392</v>
      </c>
      <c r="C182" s="34" t="s">
        <v>941</v>
      </c>
      <c r="D182" s="34" t="s">
        <v>701</v>
      </c>
      <c r="E182" s="34" t="s">
        <v>702</v>
      </c>
      <c r="F182" s="34" t="s">
        <v>751</v>
      </c>
      <c r="G182" s="34" t="s">
        <v>752</v>
      </c>
      <c r="H182" s="73" t="s">
        <v>753</v>
      </c>
      <c r="I182" s="39" t="s">
        <v>268</v>
      </c>
      <c r="J182" s="39" t="s">
        <v>1014</v>
      </c>
      <c r="K182" s="39" t="s">
        <v>429</v>
      </c>
      <c r="L182" s="36" t="s">
        <v>754</v>
      </c>
      <c r="M182" s="37">
        <v>1</v>
      </c>
      <c r="N182" s="38"/>
      <c r="O182" s="37" t="s">
        <v>38</v>
      </c>
      <c r="P182" s="37" t="s">
        <v>411</v>
      </c>
      <c r="Q182" s="74">
        <v>34339831</v>
      </c>
      <c r="R182" s="74" t="s">
        <v>429</v>
      </c>
      <c r="S182" s="74">
        <v>40399802</v>
      </c>
      <c r="T182" s="74"/>
      <c r="U182" s="75"/>
      <c r="V182" s="74"/>
      <c r="W182" s="80"/>
      <c r="X182" s="74">
        <v>34243786.549999997</v>
      </c>
      <c r="Y182" s="76">
        <v>0.99720311815162976</v>
      </c>
      <c r="Z182" s="74">
        <v>0</v>
      </c>
      <c r="AA182" s="74">
        <v>0</v>
      </c>
      <c r="AB182" s="74">
        <v>1845486.4</v>
      </c>
      <c r="AC182" s="74">
        <v>4197534.7700000005</v>
      </c>
      <c r="AD182" s="74">
        <v>22</v>
      </c>
      <c r="AE182" s="74">
        <v>25078459.359999999</v>
      </c>
      <c r="AF182" s="76">
        <v>0.73030235239072661</v>
      </c>
      <c r="AG182" s="74">
        <v>0</v>
      </c>
      <c r="AH182" s="74">
        <v>0</v>
      </c>
      <c r="AI182" s="74">
        <v>1845486.4</v>
      </c>
      <c r="AJ182" s="74">
        <v>2580124.0900000003</v>
      </c>
      <c r="AK182" s="74">
        <v>18</v>
      </c>
      <c r="AL182" s="74">
        <v>25078459.359999999</v>
      </c>
      <c r="AM182" s="77">
        <v>0.73030235239072661</v>
      </c>
      <c r="AN182" s="74">
        <v>0</v>
      </c>
      <c r="AO182" s="74">
        <v>0</v>
      </c>
      <c r="AP182" s="74">
        <v>1845486.4</v>
      </c>
      <c r="AQ182" s="74">
        <v>2580124.0900000003</v>
      </c>
      <c r="AR182" s="74">
        <v>18</v>
      </c>
      <c r="AS182" s="74">
        <v>0</v>
      </c>
      <c r="AT182" s="77">
        <v>0</v>
      </c>
      <c r="AU182" s="74">
        <v>0</v>
      </c>
      <c r="AV182" s="74">
        <v>0</v>
      </c>
      <c r="AW182" s="74">
        <v>0</v>
      </c>
      <c r="AX182" s="74">
        <v>0</v>
      </c>
      <c r="AY182" s="74">
        <v>0</v>
      </c>
      <c r="AZ182" s="74">
        <v>2959775.1500000004</v>
      </c>
      <c r="BA182" s="77">
        <v>8.6190731398765486E-2</v>
      </c>
      <c r="BB182" s="74">
        <v>0</v>
      </c>
      <c r="BC182" s="74">
        <v>0</v>
      </c>
      <c r="BD182" s="74">
        <v>131963.68</v>
      </c>
      <c r="BE182" s="74">
        <v>35500.33</v>
      </c>
    </row>
    <row r="183" spans="1:57" ht="33.950000000000003" customHeight="1" x14ac:dyDescent="0.3">
      <c r="A183" s="34">
        <v>4</v>
      </c>
      <c r="B183" s="34" t="s">
        <v>392</v>
      </c>
      <c r="C183" s="34" t="s">
        <v>941</v>
      </c>
      <c r="D183" s="34" t="s">
        <v>701</v>
      </c>
      <c r="E183" s="34" t="s">
        <v>702</v>
      </c>
      <c r="F183" s="34" t="s">
        <v>751</v>
      </c>
      <c r="G183" s="34" t="s">
        <v>752</v>
      </c>
      <c r="H183" s="73" t="s">
        <v>753</v>
      </c>
      <c r="I183" s="39" t="s">
        <v>269</v>
      </c>
      <c r="J183" s="39" t="s">
        <v>1015</v>
      </c>
      <c r="K183" s="39" t="s">
        <v>429</v>
      </c>
      <c r="L183" s="36" t="s">
        <v>754</v>
      </c>
      <c r="M183" s="37">
        <v>2</v>
      </c>
      <c r="N183" s="38"/>
      <c r="O183" s="37" t="s">
        <v>38</v>
      </c>
      <c r="P183" s="37" t="s">
        <v>411</v>
      </c>
      <c r="Q183" s="74">
        <v>3298476</v>
      </c>
      <c r="R183" s="74" t="s">
        <v>429</v>
      </c>
      <c r="S183" s="74">
        <v>3880560</v>
      </c>
      <c r="T183" s="74"/>
      <c r="U183" s="75"/>
      <c r="V183" s="74"/>
      <c r="W183" s="80"/>
      <c r="X183" s="74">
        <v>3298433.92</v>
      </c>
      <c r="Y183" s="76">
        <v>0.99998724259324612</v>
      </c>
      <c r="Z183" s="74">
        <v>379949.33</v>
      </c>
      <c r="AA183" s="74">
        <v>0</v>
      </c>
      <c r="AB183" s="74">
        <v>202127.25</v>
      </c>
      <c r="AC183" s="74">
        <v>0</v>
      </c>
      <c r="AD183" s="74">
        <v>10</v>
      </c>
      <c r="AE183" s="74">
        <v>3298433.92</v>
      </c>
      <c r="AF183" s="76">
        <v>0.99998724259324612</v>
      </c>
      <c r="AG183" s="74">
        <v>379949.33</v>
      </c>
      <c r="AH183" s="74">
        <v>0</v>
      </c>
      <c r="AI183" s="74">
        <v>202127.25</v>
      </c>
      <c r="AJ183" s="74">
        <v>0</v>
      </c>
      <c r="AK183" s="74">
        <v>10</v>
      </c>
      <c r="AL183" s="74">
        <v>3298433.92</v>
      </c>
      <c r="AM183" s="77">
        <v>0.99998724259324612</v>
      </c>
      <c r="AN183" s="74">
        <v>379949.33</v>
      </c>
      <c r="AO183" s="74">
        <v>0</v>
      </c>
      <c r="AP183" s="74">
        <v>202127.25</v>
      </c>
      <c r="AQ183" s="74">
        <v>0</v>
      </c>
      <c r="AR183" s="74">
        <v>10</v>
      </c>
      <c r="AS183" s="74">
        <v>0</v>
      </c>
      <c r="AT183" s="77">
        <v>0</v>
      </c>
      <c r="AU183" s="74">
        <v>0</v>
      </c>
      <c r="AV183" s="74">
        <v>0</v>
      </c>
      <c r="AW183" s="74">
        <v>0</v>
      </c>
      <c r="AX183" s="74">
        <v>0</v>
      </c>
      <c r="AY183" s="74">
        <v>0</v>
      </c>
      <c r="AZ183" s="74">
        <v>1583723.04</v>
      </c>
      <c r="BA183" s="77">
        <v>0.4801378090972922</v>
      </c>
      <c r="BB183" s="74">
        <v>186366.31</v>
      </c>
      <c r="BC183" s="74">
        <v>0</v>
      </c>
      <c r="BD183" s="74">
        <v>49676.590000000004</v>
      </c>
      <c r="BE183" s="74">
        <v>0</v>
      </c>
    </row>
    <row r="184" spans="1:57" ht="33.950000000000003" customHeight="1" x14ac:dyDescent="0.3">
      <c r="A184" s="34">
        <v>4</v>
      </c>
      <c r="B184" s="34" t="s">
        <v>392</v>
      </c>
      <c r="C184" s="34" t="s">
        <v>941</v>
      </c>
      <c r="D184" s="34" t="s">
        <v>701</v>
      </c>
      <c r="E184" s="34" t="s">
        <v>702</v>
      </c>
      <c r="F184" s="34" t="s">
        <v>751</v>
      </c>
      <c r="G184" s="34" t="s">
        <v>752</v>
      </c>
      <c r="H184" s="73" t="s">
        <v>753</v>
      </c>
      <c r="I184" s="39" t="s">
        <v>270</v>
      </c>
      <c r="J184" s="39" t="s">
        <v>1016</v>
      </c>
      <c r="K184" s="39" t="s">
        <v>429</v>
      </c>
      <c r="L184" s="36" t="s">
        <v>754</v>
      </c>
      <c r="M184" s="37">
        <v>3</v>
      </c>
      <c r="N184" s="38"/>
      <c r="O184" s="37" t="s">
        <v>38</v>
      </c>
      <c r="P184" s="37" t="s">
        <v>411</v>
      </c>
      <c r="Q184" s="74">
        <v>2208099</v>
      </c>
      <c r="R184" s="74" t="s">
        <v>429</v>
      </c>
      <c r="S184" s="74">
        <v>2597764</v>
      </c>
      <c r="T184" s="74"/>
      <c r="U184" s="75"/>
      <c r="V184" s="74"/>
      <c r="W184" s="80"/>
      <c r="X184" s="74">
        <v>0</v>
      </c>
      <c r="Y184" s="76">
        <v>0</v>
      </c>
      <c r="Z184" s="74">
        <v>0</v>
      </c>
      <c r="AA184" s="74">
        <v>0</v>
      </c>
      <c r="AB184" s="74">
        <v>0</v>
      </c>
      <c r="AC184" s="74">
        <v>0</v>
      </c>
      <c r="AD184" s="74">
        <v>0</v>
      </c>
      <c r="AE184" s="74">
        <v>0</v>
      </c>
      <c r="AF184" s="76">
        <v>0</v>
      </c>
      <c r="AG184" s="74">
        <v>0</v>
      </c>
      <c r="AH184" s="74">
        <v>0</v>
      </c>
      <c r="AI184" s="74">
        <v>0</v>
      </c>
      <c r="AJ184" s="74">
        <v>0</v>
      </c>
      <c r="AK184" s="74">
        <v>0</v>
      </c>
      <c r="AL184" s="74">
        <v>0</v>
      </c>
      <c r="AM184" s="77">
        <v>0</v>
      </c>
      <c r="AN184" s="74">
        <v>0</v>
      </c>
      <c r="AO184" s="74">
        <v>0</v>
      </c>
      <c r="AP184" s="74">
        <v>0</v>
      </c>
      <c r="AQ184" s="74">
        <v>0</v>
      </c>
      <c r="AR184" s="74">
        <v>0</v>
      </c>
      <c r="AS184" s="74">
        <v>0</v>
      </c>
      <c r="AT184" s="77">
        <v>0</v>
      </c>
      <c r="AU184" s="74">
        <v>0</v>
      </c>
      <c r="AV184" s="74">
        <v>0</v>
      </c>
      <c r="AW184" s="74">
        <v>0</v>
      </c>
      <c r="AX184" s="74">
        <v>0</v>
      </c>
      <c r="AY184" s="74">
        <v>0</v>
      </c>
      <c r="AZ184" s="74">
        <v>0</v>
      </c>
      <c r="BA184" s="77">
        <v>0</v>
      </c>
      <c r="BB184" s="74">
        <v>0</v>
      </c>
      <c r="BC184" s="74">
        <v>0</v>
      </c>
      <c r="BD184" s="74">
        <v>0</v>
      </c>
      <c r="BE184" s="74">
        <v>0</v>
      </c>
    </row>
    <row r="185" spans="1:57" ht="33.950000000000003" customHeight="1" x14ac:dyDescent="0.3">
      <c r="A185" s="34">
        <v>4</v>
      </c>
      <c r="B185" s="34" t="s">
        <v>392</v>
      </c>
      <c r="C185" s="34" t="s">
        <v>941</v>
      </c>
      <c r="D185" s="34" t="s">
        <v>701</v>
      </c>
      <c r="E185" s="34" t="s">
        <v>702</v>
      </c>
      <c r="F185" s="34" t="s">
        <v>751</v>
      </c>
      <c r="G185" s="34" t="s">
        <v>752</v>
      </c>
      <c r="H185" s="73" t="s">
        <v>753</v>
      </c>
      <c r="I185" s="39" t="s">
        <v>271</v>
      </c>
      <c r="J185" s="39" t="s">
        <v>1017</v>
      </c>
      <c r="K185" s="39" t="s">
        <v>429</v>
      </c>
      <c r="L185" s="36" t="s">
        <v>754</v>
      </c>
      <c r="M185" s="37">
        <v>4</v>
      </c>
      <c r="N185" s="38"/>
      <c r="O185" s="37" t="s">
        <v>38</v>
      </c>
      <c r="P185" s="37" t="s">
        <v>411</v>
      </c>
      <c r="Q185" s="74">
        <v>13599699</v>
      </c>
      <c r="R185" s="74" t="s">
        <v>429</v>
      </c>
      <c r="S185" s="74">
        <v>15999647</v>
      </c>
      <c r="T185" s="74"/>
      <c r="U185" s="75"/>
      <c r="V185" s="74"/>
      <c r="W185" s="80"/>
      <c r="X185" s="74">
        <v>15802687.65</v>
      </c>
      <c r="Y185" s="76">
        <v>1.1619880447354018</v>
      </c>
      <c r="Z185" s="74">
        <v>2372559.1400000006</v>
      </c>
      <c r="AA185" s="74">
        <v>0</v>
      </c>
      <c r="AB185" s="74">
        <v>388687.08999999997</v>
      </c>
      <c r="AC185" s="74">
        <v>0</v>
      </c>
      <c r="AD185" s="74">
        <v>56</v>
      </c>
      <c r="AE185" s="74">
        <v>5929470.7599999998</v>
      </c>
      <c r="AF185" s="76">
        <v>0.43600014676795418</v>
      </c>
      <c r="AG185" s="74">
        <v>894188.09000000008</v>
      </c>
      <c r="AH185" s="74">
        <v>0</v>
      </c>
      <c r="AI185" s="74">
        <v>152189.1</v>
      </c>
      <c r="AJ185" s="74">
        <v>0</v>
      </c>
      <c r="AK185" s="74">
        <v>22</v>
      </c>
      <c r="AL185" s="74">
        <v>5929470.7599999998</v>
      </c>
      <c r="AM185" s="77">
        <v>0.43600014676795418</v>
      </c>
      <c r="AN185" s="74">
        <v>894188.09000000008</v>
      </c>
      <c r="AO185" s="74">
        <v>0</v>
      </c>
      <c r="AP185" s="74">
        <v>152189.1</v>
      </c>
      <c r="AQ185" s="74">
        <v>0</v>
      </c>
      <c r="AR185" s="74">
        <v>22</v>
      </c>
      <c r="AS185" s="74">
        <v>0</v>
      </c>
      <c r="AT185" s="77">
        <v>0</v>
      </c>
      <c r="AU185" s="74">
        <v>0</v>
      </c>
      <c r="AV185" s="74">
        <v>0</v>
      </c>
      <c r="AW185" s="74">
        <v>0</v>
      </c>
      <c r="AX185" s="74">
        <v>0</v>
      </c>
      <c r="AY185" s="74">
        <v>0</v>
      </c>
      <c r="AZ185" s="74">
        <v>2179442.86</v>
      </c>
      <c r="BA185" s="77">
        <v>0.16025669832839681</v>
      </c>
      <c r="BB185" s="74">
        <v>362368.46999999991</v>
      </c>
      <c r="BC185" s="74">
        <v>0</v>
      </c>
      <c r="BD185" s="74">
        <v>11546.85</v>
      </c>
      <c r="BE185" s="74">
        <v>0</v>
      </c>
    </row>
    <row r="186" spans="1:57" ht="33.950000000000003" customHeight="1" x14ac:dyDescent="0.3">
      <c r="A186" s="34">
        <v>4</v>
      </c>
      <c r="B186" s="34" t="s">
        <v>392</v>
      </c>
      <c r="C186" s="34" t="s">
        <v>941</v>
      </c>
      <c r="D186" s="34" t="s">
        <v>701</v>
      </c>
      <c r="E186" s="34" t="s">
        <v>702</v>
      </c>
      <c r="F186" s="34" t="s">
        <v>751</v>
      </c>
      <c r="G186" s="34" t="s">
        <v>752</v>
      </c>
      <c r="H186" s="73" t="s">
        <v>753</v>
      </c>
      <c r="I186" s="39" t="s">
        <v>272</v>
      </c>
      <c r="J186" s="39" t="s">
        <v>1018</v>
      </c>
      <c r="K186" s="39" t="s">
        <v>429</v>
      </c>
      <c r="L186" s="36" t="s">
        <v>754</v>
      </c>
      <c r="M186" s="37">
        <v>5</v>
      </c>
      <c r="N186" s="38"/>
      <c r="O186" s="37" t="s">
        <v>38</v>
      </c>
      <c r="P186" s="37" t="s">
        <v>411</v>
      </c>
      <c r="Q186" s="74">
        <v>6097264</v>
      </c>
      <c r="R186" s="74" t="s">
        <v>429</v>
      </c>
      <c r="S186" s="74">
        <v>7173252</v>
      </c>
      <c r="T186" s="74"/>
      <c r="U186" s="75"/>
      <c r="V186" s="74"/>
      <c r="W186" s="80"/>
      <c r="X186" s="74">
        <v>6097263.8799999999</v>
      </c>
      <c r="Y186" s="76">
        <v>0.99999998031904147</v>
      </c>
      <c r="Z186" s="74">
        <v>0</v>
      </c>
      <c r="AA186" s="74">
        <v>0</v>
      </c>
      <c r="AB186" s="74">
        <v>1075987.75</v>
      </c>
      <c r="AC186" s="74">
        <v>0</v>
      </c>
      <c r="AD186" s="74">
        <v>7</v>
      </c>
      <c r="AE186" s="74">
        <v>6097263.8799999999</v>
      </c>
      <c r="AF186" s="76">
        <v>0.99999998031904147</v>
      </c>
      <c r="AG186" s="74">
        <v>0</v>
      </c>
      <c r="AH186" s="74">
        <v>0</v>
      </c>
      <c r="AI186" s="74">
        <v>1075987.75</v>
      </c>
      <c r="AJ186" s="74">
        <v>0</v>
      </c>
      <c r="AK186" s="74">
        <v>7</v>
      </c>
      <c r="AL186" s="74">
        <v>6097263.8799999999</v>
      </c>
      <c r="AM186" s="77">
        <v>0.99999998031904147</v>
      </c>
      <c r="AN186" s="74">
        <v>0</v>
      </c>
      <c r="AO186" s="74">
        <v>0</v>
      </c>
      <c r="AP186" s="74">
        <v>1075987.75</v>
      </c>
      <c r="AQ186" s="74">
        <v>0</v>
      </c>
      <c r="AR186" s="74">
        <v>7</v>
      </c>
      <c r="AS186" s="74">
        <v>0</v>
      </c>
      <c r="AT186" s="77">
        <v>0</v>
      </c>
      <c r="AU186" s="74">
        <v>0</v>
      </c>
      <c r="AV186" s="74">
        <v>0</v>
      </c>
      <c r="AW186" s="74">
        <v>0</v>
      </c>
      <c r="AX186" s="74">
        <v>0</v>
      </c>
      <c r="AY186" s="74">
        <v>0</v>
      </c>
      <c r="AZ186" s="74">
        <v>279418.45</v>
      </c>
      <c r="BA186" s="77">
        <v>4.5826857751279919E-2</v>
      </c>
      <c r="BB186" s="74">
        <v>0</v>
      </c>
      <c r="BC186" s="74">
        <v>0</v>
      </c>
      <c r="BD186" s="74">
        <v>3171.66</v>
      </c>
      <c r="BE186" s="74">
        <v>0</v>
      </c>
    </row>
    <row r="187" spans="1:57" ht="33.950000000000003" customHeight="1" x14ac:dyDescent="0.3">
      <c r="A187" s="34">
        <v>4</v>
      </c>
      <c r="B187" s="34" t="s">
        <v>392</v>
      </c>
      <c r="C187" s="34" t="s">
        <v>941</v>
      </c>
      <c r="D187" s="34" t="s">
        <v>701</v>
      </c>
      <c r="E187" s="34" t="s">
        <v>702</v>
      </c>
      <c r="F187" s="34" t="s">
        <v>751</v>
      </c>
      <c r="G187" s="34" t="s">
        <v>752</v>
      </c>
      <c r="H187" s="73" t="s">
        <v>755</v>
      </c>
      <c r="I187" s="39" t="s">
        <v>273</v>
      </c>
      <c r="J187" s="39" t="s">
        <v>1019</v>
      </c>
      <c r="K187" s="39" t="s">
        <v>429</v>
      </c>
      <c r="L187" s="36" t="s">
        <v>756</v>
      </c>
      <c r="M187" s="37" t="s">
        <v>440</v>
      </c>
      <c r="N187" s="38"/>
      <c r="O187" s="37" t="s">
        <v>38</v>
      </c>
      <c r="P187" s="37" t="s">
        <v>411</v>
      </c>
      <c r="Q187" s="74">
        <v>5950000</v>
      </c>
      <c r="R187" s="74" t="s">
        <v>429</v>
      </c>
      <c r="S187" s="74">
        <v>7000000</v>
      </c>
      <c r="T187" s="74"/>
      <c r="U187" s="75"/>
      <c r="V187" s="74"/>
      <c r="W187" s="80"/>
      <c r="X187" s="74">
        <v>5950000</v>
      </c>
      <c r="Y187" s="76">
        <v>1</v>
      </c>
      <c r="Z187" s="74">
        <v>1050000</v>
      </c>
      <c r="AA187" s="74">
        <v>0</v>
      </c>
      <c r="AB187" s="74">
        <v>0</v>
      </c>
      <c r="AC187" s="74">
        <v>0</v>
      </c>
      <c r="AD187" s="74">
        <v>1</v>
      </c>
      <c r="AE187" s="74">
        <v>5950000</v>
      </c>
      <c r="AF187" s="76">
        <v>1</v>
      </c>
      <c r="AG187" s="74">
        <v>1050000</v>
      </c>
      <c r="AH187" s="74">
        <v>0</v>
      </c>
      <c r="AI187" s="74">
        <v>0</v>
      </c>
      <c r="AJ187" s="74">
        <v>0</v>
      </c>
      <c r="AK187" s="74">
        <v>1</v>
      </c>
      <c r="AL187" s="74">
        <v>5950000</v>
      </c>
      <c r="AM187" s="77">
        <v>1</v>
      </c>
      <c r="AN187" s="74">
        <v>1050000</v>
      </c>
      <c r="AO187" s="74">
        <v>0</v>
      </c>
      <c r="AP187" s="74">
        <v>0</v>
      </c>
      <c r="AQ187" s="74">
        <v>0</v>
      </c>
      <c r="AR187" s="74">
        <v>1</v>
      </c>
      <c r="AS187" s="74">
        <v>0</v>
      </c>
      <c r="AT187" s="77">
        <v>0</v>
      </c>
      <c r="AU187" s="74">
        <v>0</v>
      </c>
      <c r="AV187" s="74">
        <v>0</v>
      </c>
      <c r="AW187" s="74">
        <v>0</v>
      </c>
      <c r="AX187" s="74">
        <v>0</v>
      </c>
      <c r="AY187" s="74">
        <v>0</v>
      </c>
      <c r="AZ187" s="74">
        <v>5697.58</v>
      </c>
      <c r="BA187" s="77">
        <v>9.5757647058823529E-4</v>
      </c>
      <c r="BB187" s="74">
        <v>1005.46</v>
      </c>
      <c r="BC187" s="74">
        <v>0</v>
      </c>
      <c r="BD187" s="74">
        <v>0</v>
      </c>
      <c r="BE187" s="74">
        <v>0</v>
      </c>
    </row>
    <row r="188" spans="1:57" ht="33.950000000000003" customHeight="1" x14ac:dyDescent="0.3">
      <c r="A188" s="34">
        <v>4</v>
      </c>
      <c r="B188" s="34" t="s">
        <v>392</v>
      </c>
      <c r="C188" s="34" t="s">
        <v>941</v>
      </c>
      <c r="D188" s="34" t="s">
        <v>701</v>
      </c>
      <c r="E188" s="34" t="s">
        <v>702</v>
      </c>
      <c r="F188" s="34" t="s">
        <v>751</v>
      </c>
      <c r="G188" s="34" t="s">
        <v>752</v>
      </c>
      <c r="H188" s="73" t="s">
        <v>757</v>
      </c>
      <c r="I188" s="39" t="s">
        <v>274</v>
      </c>
      <c r="J188" s="39" t="s">
        <v>1020</v>
      </c>
      <c r="K188" s="39" t="s">
        <v>429</v>
      </c>
      <c r="L188" s="36" t="s">
        <v>758</v>
      </c>
      <c r="M188" s="37" t="s">
        <v>440</v>
      </c>
      <c r="N188" s="38"/>
      <c r="O188" s="37" t="s">
        <v>38</v>
      </c>
      <c r="P188" s="37" t="s">
        <v>411</v>
      </c>
      <c r="Q188" s="74">
        <v>6120000</v>
      </c>
      <c r="R188" s="74" t="s">
        <v>429</v>
      </c>
      <c r="S188" s="74">
        <v>7200000</v>
      </c>
      <c r="T188" s="74"/>
      <c r="U188" s="75"/>
      <c r="V188" s="74"/>
      <c r="W188" s="80"/>
      <c r="X188" s="74">
        <v>6120000</v>
      </c>
      <c r="Y188" s="76">
        <v>1</v>
      </c>
      <c r="Z188" s="74">
        <v>1080000</v>
      </c>
      <c r="AA188" s="74">
        <v>0</v>
      </c>
      <c r="AB188" s="74">
        <v>0</v>
      </c>
      <c r="AC188" s="74">
        <v>0</v>
      </c>
      <c r="AD188" s="74">
        <v>1</v>
      </c>
      <c r="AE188" s="74">
        <v>6120000</v>
      </c>
      <c r="AF188" s="76">
        <v>1</v>
      </c>
      <c r="AG188" s="74">
        <v>1080000</v>
      </c>
      <c r="AH188" s="74">
        <v>0</v>
      </c>
      <c r="AI188" s="74">
        <v>0</v>
      </c>
      <c r="AJ188" s="74">
        <v>0</v>
      </c>
      <c r="AK188" s="74">
        <v>1</v>
      </c>
      <c r="AL188" s="74">
        <v>6120000</v>
      </c>
      <c r="AM188" s="77">
        <v>1</v>
      </c>
      <c r="AN188" s="74">
        <v>1080000</v>
      </c>
      <c r="AO188" s="74">
        <v>0</v>
      </c>
      <c r="AP188" s="74">
        <v>0</v>
      </c>
      <c r="AQ188" s="74">
        <v>0</v>
      </c>
      <c r="AR188" s="74">
        <v>1</v>
      </c>
      <c r="AS188" s="74">
        <v>0</v>
      </c>
      <c r="AT188" s="77">
        <v>0</v>
      </c>
      <c r="AU188" s="74">
        <v>0</v>
      </c>
      <c r="AV188" s="74">
        <v>0</v>
      </c>
      <c r="AW188" s="74">
        <v>0</v>
      </c>
      <c r="AX188" s="74">
        <v>0</v>
      </c>
      <c r="AY188" s="74">
        <v>0</v>
      </c>
      <c r="AZ188" s="74">
        <v>699634.70000000007</v>
      </c>
      <c r="BA188" s="77">
        <v>0.11431939542483661</v>
      </c>
      <c r="BB188" s="74">
        <v>123464.95</v>
      </c>
      <c r="BC188" s="74">
        <v>0</v>
      </c>
      <c r="BD188" s="74">
        <v>0</v>
      </c>
      <c r="BE188" s="74">
        <v>0</v>
      </c>
    </row>
    <row r="189" spans="1:57" ht="33.950000000000003" customHeight="1" x14ac:dyDescent="0.3">
      <c r="A189" s="34">
        <v>4</v>
      </c>
      <c r="B189" s="34" t="s">
        <v>392</v>
      </c>
      <c r="C189" s="34" t="s">
        <v>941</v>
      </c>
      <c r="D189" s="34" t="s">
        <v>701</v>
      </c>
      <c r="E189" s="34" t="s">
        <v>702</v>
      </c>
      <c r="F189" s="34" t="s">
        <v>751</v>
      </c>
      <c r="G189" s="34" t="s">
        <v>752</v>
      </c>
      <c r="H189" s="73" t="s">
        <v>759</v>
      </c>
      <c r="I189" s="39" t="s">
        <v>275</v>
      </c>
      <c r="J189" s="39" t="s">
        <v>1021</v>
      </c>
      <c r="K189" s="39" t="s">
        <v>429</v>
      </c>
      <c r="L189" s="36" t="s">
        <v>760</v>
      </c>
      <c r="M189" s="37" t="s">
        <v>440</v>
      </c>
      <c r="N189" s="38"/>
      <c r="O189" s="37" t="s">
        <v>38</v>
      </c>
      <c r="P189" s="37" t="s">
        <v>411</v>
      </c>
      <c r="Q189" s="74">
        <v>10599500</v>
      </c>
      <c r="R189" s="74" t="s">
        <v>429</v>
      </c>
      <c r="S189" s="74">
        <v>12470000</v>
      </c>
      <c r="T189" s="74"/>
      <c r="U189" s="75"/>
      <c r="V189" s="74"/>
      <c r="W189" s="80"/>
      <c r="X189" s="74">
        <v>10599500</v>
      </c>
      <c r="Y189" s="76">
        <v>1</v>
      </c>
      <c r="Z189" s="74">
        <v>1870500</v>
      </c>
      <c r="AA189" s="74">
        <v>0</v>
      </c>
      <c r="AB189" s="74">
        <v>0</v>
      </c>
      <c r="AC189" s="74">
        <v>0</v>
      </c>
      <c r="AD189" s="74">
        <v>1</v>
      </c>
      <c r="AE189" s="74">
        <v>10599500</v>
      </c>
      <c r="AF189" s="76">
        <v>1</v>
      </c>
      <c r="AG189" s="74">
        <v>1870500</v>
      </c>
      <c r="AH189" s="74">
        <v>0</v>
      </c>
      <c r="AI189" s="74">
        <v>0</v>
      </c>
      <c r="AJ189" s="74">
        <v>0</v>
      </c>
      <c r="AK189" s="74">
        <v>1</v>
      </c>
      <c r="AL189" s="74">
        <v>10599500</v>
      </c>
      <c r="AM189" s="77">
        <v>1</v>
      </c>
      <c r="AN189" s="74">
        <v>1870500</v>
      </c>
      <c r="AO189" s="74">
        <v>0</v>
      </c>
      <c r="AP189" s="74">
        <v>0</v>
      </c>
      <c r="AQ189" s="74">
        <v>0</v>
      </c>
      <c r="AR189" s="74">
        <v>1</v>
      </c>
      <c r="AS189" s="74">
        <v>0</v>
      </c>
      <c r="AT189" s="77">
        <v>0</v>
      </c>
      <c r="AU189" s="74">
        <v>0</v>
      </c>
      <c r="AV189" s="74">
        <v>0</v>
      </c>
      <c r="AW189" s="74">
        <v>0</v>
      </c>
      <c r="AX189" s="74">
        <v>0</v>
      </c>
      <c r="AY189" s="74">
        <v>0</v>
      </c>
      <c r="AZ189" s="74">
        <v>2847193.84</v>
      </c>
      <c r="BA189" s="77">
        <v>0.26861586301240625</v>
      </c>
      <c r="BB189" s="74">
        <v>502445.97000000009</v>
      </c>
      <c r="BC189" s="74">
        <v>0</v>
      </c>
      <c r="BD189" s="74">
        <v>0</v>
      </c>
      <c r="BE189" s="74">
        <v>0</v>
      </c>
    </row>
    <row r="190" spans="1:57" ht="33.950000000000003" customHeight="1" x14ac:dyDescent="0.3">
      <c r="A190" s="34">
        <v>4</v>
      </c>
      <c r="B190" s="34" t="s">
        <v>392</v>
      </c>
      <c r="C190" s="34" t="s">
        <v>941</v>
      </c>
      <c r="D190" s="34" t="s">
        <v>701</v>
      </c>
      <c r="E190" s="34" t="s">
        <v>702</v>
      </c>
      <c r="F190" s="34" t="s">
        <v>751</v>
      </c>
      <c r="G190" s="34" t="s">
        <v>752</v>
      </c>
      <c r="H190" s="73" t="s">
        <v>761</v>
      </c>
      <c r="I190" s="39" t="s">
        <v>276</v>
      </c>
      <c r="J190" s="39" t="s">
        <v>1022</v>
      </c>
      <c r="K190" s="39" t="s">
        <v>429</v>
      </c>
      <c r="L190" s="36" t="s">
        <v>762</v>
      </c>
      <c r="M190" s="37" t="s">
        <v>440</v>
      </c>
      <c r="N190" s="38"/>
      <c r="O190" s="37" t="s">
        <v>38</v>
      </c>
      <c r="P190" s="37" t="s">
        <v>413</v>
      </c>
      <c r="Q190" s="74">
        <v>1087059</v>
      </c>
      <c r="R190" s="74" t="s">
        <v>429</v>
      </c>
      <c r="S190" s="74">
        <v>1278893</v>
      </c>
      <c r="T190" s="74"/>
      <c r="U190" s="75"/>
      <c r="V190" s="74"/>
      <c r="W190" s="80"/>
      <c r="X190" s="74">
        <v>1087059</v>
      </c>
      <c r="Y190" s="76">
        <v>1</v>
      </c>
      <c r="Z190" s="74">
        <v>191834</v>
      </c>
      <c r="AA190" s="74">
        <v>0</v>
      </c>
      <c r="AB190" s="74">
        <v>0</v>
      </c>
      <c r="AC190" s="74">
        <v>0</v>
      </c>
      <c r="AD190" s="74">
        <v>1</v>
      </c>
      <c r="AE190" s="74">
        <v>1087059</v>
      </c>
      <c r="AF190" s="76">
        <v>1</v>
      </c>
      <c r="AG190" s="74">
        <v>191834</v>
      </c>
      <c r="AH190" s="74">
        <v>0</v>
      </c>
      <c r="AI190" s="74">
        <v>0</v>
      </c>
      <c r="AJ190" s="74">
        <v>0</v>
      </c>
      <c r="AK190" s="74">
        <v>1</v>
      </c>
      <c r="AL190" s="74">
        <v>1087059</v>
      </c>
      <c r="AM190" s="77">
        <v>1</v>
      </c>
      <c r="AN190" s="74">
        <v>191834</v>
      </c>
      <c r="AO190" s="74">
        <v>0</v>
      </c>
      <c r="AP190" s="74">
        <v>0</v>
      </c>
      <c r="AQ190" s="74">
        <v>0</v>
      </c>
      <c r="AR190" s="74">
        <v>1</v>
      </c>
      <c r="AS190" s="74">
        <v>0</v>
      </c>
      <c r="AT190" s="77">
        <v>0</v>
      </c>
      <c r="AU190" s="74">
        <v>0</v>
      </c>
      <c r="AV190" s="74">
        <v>0</v>
      </c>
      <c r="AW190" s="74">
        <v>0</v>
      </c>
      <c r="AX190" s="74">
        <v>0</v>
      </c>
      <c r="AY190" s="74">
        <v>0</v>
      </c>
      <c r="AZ190" s="74">
        <v>317499.86</v>
      </c>
      <c r="BA190" s="77">
        <v>0.29207233462029197</v>
      </c>
      <c r="BB190" s="74">
        <v>56029.380000000005</v>
      </c>
      <c r="BC190" s="74">
        <v>0</v>
      </c>
      <c r="BD190" s="74">
        <v>0</v>
      </c>
      <c r="BE190" s="74">
        <v>0</v>
      </c>
    </row>
    <row r="191" spans="1:57" ht="33.950000000000003" customHeight="1" x14ac:dyDescent="0.3">
      <c r="A191" s="34">
        <v>4</v>
      </c>
      <c r="B191" s="34" t="s">
        <v>392</v>
      </c>
      <c r="C191" s="34" t="s">
        <v>941</v>
      </c>
      <c r="D191" s="34" t="s">
        <v>701</v>
      </c>
      <c r="E191" s="34" t="s">
        <v>702</v>
      </c>
      <c r="F191" s="34" t="s">
        <v>763</v>
      </c>
      <c r="G191" s="34" t="s">
        <v>764</v>
      </c>
      <c r="H191" s="73" t="s">
        <v>765</v>
      </c>
      <c r="I191" s="39" t="s">
        <v>277</v>
      </c>
      <c r="J191" s="39" t="s">
        <v>1023</v>
      </c>
      <c r="K191" s="39" t="s">
        <v>429</v>
      </c>
      <c r="L191" s="36" t="s">
        <v>766</v>
      </c>
      <c r="M191" s="37" t="s">
        <v>440</v>
      </c>
      <c r="N191" s="38"/>
      <c r="O191" s="37" t="s">
        <v>38</v>
      </c>
      <c r="P191" s="37" t="s">
        <v>411</v>
      </c>
      <c r="Q191" s="74">
        <v>6732119</v>
      </c>
      <c r="R191" s="74" t="s">
        <v>429</v>
      </c>
      <c r="S191" s="74">
        <v>7920140</v>
      </c>
      <c r="T191" s="74"/>
      <c r="U191" s="75"/>
      <c r="V191" s="74"/>
      <c r="W191" s="80"/>
      <c r="X191" s="74">
        <v>6732119</v>
      </c>
      <c r="Y191" s="76">
        <v>1</v>
      </c>
      <c r="Z191" s="74">
        <v>1188021</v>
      </c>
      <c r="AA191" s="74">
        <v>0</v>
      </c>
      <c r="AB191" s="74">
        <v>0</v>
      </c>
      <c r="AC191" s="74">
        <v>0</v>
      </c>
      <c r="AD191" s="74">
        <v>1</v>
      </c>
      <c r="AE191" s="74">
        <v>6732119</v>
      </c>
      <c r="AF191" s="76">
        <v>1</v>
      </c>
      <c r="AG191" s="74">
        <v>1188021</v>
      </c>
      <c r="AH191" s="74">
        <v>0</v>
      </c>
      <c r="AI191" s="74">
        <v>0</v>
      </c>
      <c r="AJ191" s="74">
        <v>0</v>
      </c>
      <c r="AK191" s="74">
        <v>1</v>
      </c>
      <c r="AL191" s="74">
        <v>6732119</v>
      </c>
      <c r="AM191" s="77">
        <v>1</v>
      </c>
      <c r="AN191" s="74">
        <v>1188021</v>
      </c>
      <c r="AO191" s="74">
        <v>0</v>
      </c>
      <c r="AP191" s="74">
        <v>0</v>
      </c>
      <c r="AQ191" s="74">
        <v>0</v>
      </c>
      <c r="AR191" s="74">
        <v>1</v>
      </c>
      <c r="AS191" s="74">
        <v>0</v>
      </c>
      <c r="AT191" s="77">
        <v>0</v>
      </c>
      <c r="AU191" s="74">
        <v>0</v>
      </c>
      <c r="AV191" s="74">
        <v>0</v>
      </c>
      <c r="AW191" s="74">
        <v>0</v>
      </c>
      <c r="AX191" s="74">
        <v>0</v>
      </c>
      <c r="AY191" s="74">
        <v>0</v>
      </c>
      <c r="AZ191" s="74">
        <v>1113273.3699999999</v>
      </c>
      <c r="BA191" s="77">
        <v>0.16536745265495156</v>
      </c>
      <c r="BB191" s="74">
        <v>196460</v>
      </c>
      <c r="BC191" s="74">
        <v>0</v>
      </c>
      <c r="BD191" s="74">
        <v>0</v>
      </c>
      <c r="BE191" s="74">
        <v>0</v>
      </c>
    </row>
    <row r="192" spans="1:57" ht="33.950000000000003" customHeight="1" x14ac:dyDescent="0.3">
      <c r="A192" s="34">
        <v>4</v>
      </c>
      <c r="B192" s="34" t="s">
        <v>392</v>
      </c>
      <c r="C192" s="34" t="s">
        <v>941</v>
      </c>
      <c r="D192" s="34" t="s">
        <v>701</v>
      </c>
      <c r="E192" s="34" t="s">
        <v>702</v>
      </c>
      <c r="F192" s="34" t="s">
        <v>763</v>
      </c>
      <c r="G192" s="34" t="s">
        <v>764</v>
      </c>
      <c r="H192" s="73" t="s">
        <v>767</v>
      </c>
      <c r="I192" s="39" t="s">
        <v>278</v>
      </c>
      <c r="J192" s="39" t="s">
        <v>1024</v>
      </c>
      <c r="K192" s="39" t="s">
        <v>429</v>
      </c>
      <c r="L192" s="36" t="s">
        <v>768</v>
      </c>
      <c r="M192" s="37" t="s">
        <v>440</v>
      </c>
      <c r="N192" s="38"/>
      <c r="O192" s="37" t="s">
        <v>38</v>
      </c>
      <c r="P192" s="37" t="s">
        <v>411</v>
      </c>
      <c r="Q192" s="74">
        <v>850000</v>
      </c>
      <c r="R192" s="74" t="s">
        <v>429</v>
      </c>
      <c r="S192" s="74">
        <v>1000000</v>
      </c>
      <c r="T192" s="74"/>
      <c r="U192" s="75"/>
      <c r="V192" s="74"/>
      <c r="W192" s="80"/>
      <c r="X192" s="74">
        <v>844405.99</v>
      </c>
      <c r="Y192" s="76">
        <v>0.99341881176470592</v>
      </c>
      <c r="Z192" s="74">
        <v>149012.82</v>
      </c>
      <c r="AA192" s="74">
        <v>0</v>
      </c>
      <c r="AB192" s="74">
        <v>0</v>
      </c>
      <c r="AC192" s="74">
        <v>0</v>
      </c>
      <c r="AD192" s="74">
        <v>1</v>
      </c>
      <c r="AE192" s="74">
        <v>844405.99</v>
      </c>
      <c r="AF192" s="76">
        <v>0.99341881176470592</v>
      </c>
      <c r="AG192" s="74">
        <v>149012.82</v>
      </c>
      <c r="AH192" s="74">
        <v>0</v>
      </c>
      <c r="AI192" s="74">
        <v>0</v>
      </c>
      <c r="AJ192" s="74">
        <v>0</v>
      </c>
      <c r="AK192" s="74">
        <v>1</v>
      </c>
      <c r="AL192" s="74">
        <v>844405.99</v>
      </c>
      <c r="AM192" s="77">
        <v>0.99341881176470592</v>
      </c>
      <c r="AN192" s="74">
        <v>149012.82</v>
      </c>
      <c r="AO192" s="74">
        <v>0</v>
      </c>
      <c r="AP192" s="74">
        <v>0</v>
      </c>
      <c r="AQ192" s="74">
        <v>0</v>
      </c>
      <c r="AR192" s="74">
        <v>1</v>
      </c>
      <c r="AS192" s="74">
        <v>0</v>
      </c>
      <c r="AT192" s="77">
        <v>0</v>
      </c>
      <c r="AU192" s="74">
        <v>0</v>
      </c>
      <c r="AV192" s="74">
        <v>0</v>
      </c>
      <c r="AW192" s="74">
        <v>0</v>
      </c>
      <c r="AX192" s="74">
        <v>0</v>
      </c>
      <c r="AY192" s="74">
        <v>0</v>
      </c>
      <c r="AZ192" s="74">
        <v>687668.46</v>
      </c>
      <c r="BA192" s="77">
        <v>0.80902171764705877</v>
      </c>
      <c r="BB192" s="74">
        <v>121353.25</v>
      </c>
      <c r="BC192" s="74">
        <v>0</v>
      </c>
      <c r="BD192" s="74">
        <v>0</v>
      </c>
      <c r="BE192" s="74">
        <v>0</v>
      </c>
    </row>
    <row r="193" spans="1:57" ht="33.950000000000003" customHeight="1" x14ac:dyDescent="0.3">
      <c r="A193" s="34">
        <v>4</v>
      </c>
      <c r="B193" s="34" t="s">
        <v>392</v>
      </c>
      <c r="C193" s="34" t="s">
        <v>941</v>
      </c>
      <c r="D193" s="34" t="s">
        <v>701</v>
      </c>
      <c r="E193" s="34" t="s">
        <v>702</v>
      </c>
      <c r="F193" s="34" t="s">
        <v>763</v>
      </c>
      <c r="G193" s="34" t="s">
        <v>764</v>
      </c>
      <c r="H193" s="73" t="s">
        <v>769</v>
      </c>
      <c r="I193" s="39" t="s">
        <v>279</v>
      </c>
      <c r="J193" s="39" t="s">
        <v>1025</v>
      </c>
      <c r="K193" s="39" t="s">
        <v>429</v>
      </c>
      <c r="L193" s="36" t="s">
        <v>770</v>
      </c>
      <c r="M193" s="37" t="s">
        <v>440</v>
      </c>
      <c r="N193" s="38"/>
      <c r="O193" s="37" t="s">
        <v>38</v>
      </c>
      <c r="P193" s="37" t="s">
        <v>411</v>
      </c>
      <c r="Q193" s="74">
        <v>3697500</v>
      </c>
      <c r="R193" s="74" t="s">
        <v>429</v>
      </c>
      <c r="S193" s="74">
        <v>4350000</v>
      </c>
      <c r="T193" s="74"/>
      <c r="U193" s="75"/>
      <c r="V193" s="74"/>
      <c r="W193" s="80"/>
      <c r="X193" s="74">
        <v>3697500</v>
      </c>
      <c r="Y193" s="76">
        <v>1</v>
      </c>
      <c r="Z193" s="74">
        <v>652500</v>
      </c>
      <c r="AA193" s="74">
        <v>0</v>
      </c>
      <c r="AB193" s="74">
        <v>0</v>
      </c>
      <c r="AC193" s="74">
        <v>0</v>
      </c>
      <c r="AD193" s="74">
        <v>1</v>
      </c>
      <c r="AE193" s="74">
        <v>3697500</v>
      </c>
      <c r="AF193" s="76">
        <v>1</v>
      </c>
      <c r="AG193" s="74">
        <v>652500</v>
      </c>
      <c r="AH193" s="74">
        <v>0</v>
      </c>
      <c r="AI193" s="74">
        <v>0</v>
      </c>
      <c r="AJ193" s="74">
        <v>0</v>
      </c>
      <c r="AK193" s="74">
        <v>1</v>
      </c>
      <c r="AL193" s="74">
        <v>3697500</v>
      </c>
      <c r="AM193" s="77">
        <v>1</v>
      </c>
      <c r="AN193" s="74">
        <v>652500</v>
      </c>
      <c r="AO193" s="74">
        <v>0</v>
      </c>
      <c r="AP193" s="74">
        <v>0</v>
      </c>
      <c r="AQ193" s="74">
        <v>0</v>
      </c>
      <c r="AR193" s="74">
        <v>1</v>
      </c>
      <c r="AS193" s="74">
        <v>0</v>
      </c>
      <c r="AT193" s="77">
        <v>0</v>
      </c>
      <c r="AU193" s="74">
        <v>0</v>
      </c>
      <c r="AV193" s="74">
        <v>0</v>
      </c>
      <c r="AW193" s="74">
        <v>0</v>
      </c>
      <c r="AX193" s="74">
        <v>0</v>
      </c>
      <c r="AY193" s="74">
        <v>0</v>
      </c>
      <c r="AZ193" s="74">
        <v>2371254.61</v>
      </c>
      <c r="BA193" s="77">
        <v>0.64131294388100069</v>
      </c>
      <c r="BB193" s="74">
        <v>418456.70999999996</v>
      </c>
      <c r="BC193" s="74">
        <v>0</v>
      </c>
      <c r="BD193" s="74">
        <v>0</v>
      </c>
      <c r="BE193" s="74">
        <v>0</v>
      </c>
    </row>
    <row r="194" spans="1:57" ht="33.950000000000003" customHeight="1" x14ac:dyDescent="0.3">
      <c r="A194" s="34">
        <v>4</v>
      </c>
      <c r="B194" s="34" t="s">
        <v>392</v>
      </c>
      <c r="C194" s="34" t="s">
        <v>941</v>
      </c>
      <c r="D194" s="34" t="s">
        <v>701</v>
      </c>
      <c r="E194" s="34" t="s">
        <v>702</v>
      </c>
      <c r="F194" s="34" t="s">
        <v>763</v>
      </c>
      <c r="G194" s="34" t="s">
        <v>764</v>
      </c>
      <c r="H194" s="73" t="s">
        <v>771</v>
      </c>
      <c r="I194" s="39" t="s">
        <v>280</v>
      </c>
      <c r="J194" s="39" t="s">
        <v>1026</v>
      </c>
      <c r="K194" s="39" t="s">
        <v>429</v>
      </c>
      <c r="L194" s="36" t="s">
        <v>772</v>
      </c>
      <c r="M194" s="37">
        <v>1</v>
      </c>
      <c r="N194" s="38"/>
      <c r="O194" s="37" t="s">
        <v>38</v>
      </c>
      <c r="P194" s="37" t="s">
        <v>411</v>
      </c>
      <c r="Q194" s="74">
        <v>8035359</v>
      </c>
      <c r="R194" s="74" t="s">
        <v>429</v>
      </c>
      <c r="S194" s="74">
        <v>9453364</v>
      </c>
      <c r="T194" s="74"/>
      <c r="U194" s="75"/>
      <c r="V194" s="74"/>
      <c r="W194" s="80"/>
      <c r="X194" s="74">
        <v>8035359</v>
      </c>
      <c r="Y194" s="76">
        <v>1</v>
      </c>
      <c r="Z194" s="74">
        <v>1418005</v>
      </c>
      <c r="AA194" s="74">
        <v>0</v>
      </c>
      <c r="AB194" s="74">
        <v>0</v>
      </c>
      <c r="AC194" s="74">
        <v>0</v>
      </c>
      <c r="AD194" s="74">
        <v>1</v>
      </c>
      <c r="AE194" s="74">
        <v>8035359</v>
      </c>
      <c r="AF194" s="76">
        <v>1</v>
      </c>
      <c r="AG194" s="74">
        <v>1418005</v>
      </c>
      <c r="AH194" s="74">
        <v>0</v>
      </c>
      <c r="AI194" s="74">
        <v>0</v>
      </c>
      <c r="AJ194" s="74">
        <v>0</v>
      </c>
      <c r="AK194" s="74">
        <v>1</v>
      </c>
      <c r="AL194" s="74">
        <v>8035359</v>
      </c>
      <c r="AM194" s="77">
        <v>1</v>
      </c>
      <c r="AN194" s="74">
        <v>1418005</v>
      </c>
      <c r="AO194" s="74">
        <v>0</v>
      </c>
      <c r="AP194" s="74">
        <v>0</v>
      </c>
      <c r="AQ194" s="74">
        <v>0</v>
      </c>
      <c r="AR194" s="74">
        <v>1</v>
      </c>
      <c r="AS194" s="74">
        <v>0</v>
      </c>
      <c r="AT194" s="77">
        <v>0</v>
      </c>
      <c r="AU194" s="74">
        <v>0</v>
      </c>
      <c r="AV194" s="74">
        <v>0</v>
      </c>
      <c r="AW194" s="74">
        <v>0</v>
      </c>
      <c r="AX194" s="74">
        <v>0</v>
      </c>
      <c r="AY194" s="74">
        <v>0</v>
      </c>
      <c r="AZ194" s="74">
        <v>762436.10000000009</v>
      </c>
      <c r="BA194" s="77">
        <v>9.4885132076861792E-2</v>
      </c>
      <c r="BB194" s="74">
        <v>134547.53</v>
      </c>
      <c r="BC194" s="74">
        <v>0</v>
      </c>
      <c r="BD194" s="74">
        <v>0</v>
      </c>
      <c r="BE194" s="74">
        <v>0</v>
      </c>
    </row>
    <row r="195" spans="1:57" ht="33.950000000000003" customHeight="1" x14ac:dyDescent="0.3">
      <c r="A195" s="34">
        <v>4</v>
      </c>
      <c r="B195" s="34" t="s">
        <v>392</v>
      </c>
      <c r="C195" s="34" t="s">
        <v>941</v>
      </c>
      <c r="D195" s="34" t="s">
        <v>701</v>
      </c>
      <c r="E195" s="34" t="s">
        <v>702</v>
      </c>
      <c r="F195" s="34" t="s">
        <v>763</v>
      </c>
      <c r="G195" s="34" t="s">
        <v>764</v>
      </c>
      <c r="H195" s="73" t="s">
        <v>771</v>
      </c>
      <c r="I195" s="39" t="s">
        <v>281</v>
      </c>
      <c r="J195" s="39" t="s">
        <v>1027</v>
      </c>
      <c r="K195" s="39" t="s">
        <v>429</v>
      </c>
      <c r="L195" s="36" t="s">
        <v>773</v>
      </c>
      <c r="M195" s="37">
        <v>2</v>
      </c>
      <c r="N195" s="38"/>
      <c r="O195" s="37" t="s">
        <v>38</v>
      </c>
      <c r="P195" s="37" t="s">
        <v>411</v>
      </c>
      <c r="Q195" s="74">
        <v>1280641</v>
      </c>
      <c r="R195" s="74" t="s">
        <v>429</v>
      </c>
      <c r="S195" s="74">
        <v>1440949</v>
      </c>
      <c r="T195" s="74"/>
      <c r="U195" s="75"/>
      <c r="V195" s="74"/>
      <c r="W195" s="80"/>
      <c r="X195" s="74">
        <v>1224805.2</v>
      </c>
      <c r="Y195" s="76">
        <v>0.95640011525478252</v>
      </c>
      <c r="Z195" s="74">
        <v>216142.09</v>
      </c>
      <c r="AA195" s="74">
        <v>0</v>
      </c>
      <c r="AB195" s="74">
        <v>0</v>
      </c>
      <c r="AC195" s="74">
        <v>0</v>
      </c>
      <c r="AD195" s="74">
        <v>14</v>
      </c>
      <c r="AE195" s="74">
        <v>1224805.2</v>
      </c>
      <c r="AF195" s="76">
        <v>0.95640011525478252</v>
      </c>
      <c r="AG195" s="74">
        <v>216142.09</v>
      </c>
      <c r="AH195" s="74">
        <v>0</v>
      </c>
      <c r="AI195" s="74">
        <v>0</v>
      </c>
      <c r="AJ195" s="74">
        <v>0</v>
      </c>
      <c r="AK195" s="74">
        <v>14</v>
      </c>
      <c r="AL195" s="74">
        <v>1224805.2</v>
      </c>
      <c r="AM195" s="77">
        <v>0.95640011525478252</v>
      </c>
      <c r="AN195" s="74">
        <v>216142.09</v>
      </c>
      <c r="AO195" s="74">
        <v>0</v>
      </c>
      <c r="AP195" s="74">
        <v>0</v>
      </c>
      <c r="AQ195" s="74">
        <v>0</v>
      </c>
      <c r="AR195" s="74">
        <v>14</v>
      </c>
      <c r="AS195" s="74">
        <v>0</v>
      </c>
      <c r="AT195" s="77">
        <v>0</v>
      </c>
      <c r="AU195" s="74">
        <v>0</v>
      </c>
      <c r="AV195" s="74">
        <v>0</v>
      </c>
      <c r="AW195" s="74">
        <v>0</v>
      </c>
      <c r="AX195" s="74">
        <v>0</v>
      </c>
      <c r="AY195" s="74">
        <v>0</v>
      </c>
      <c r="AZ195" s="74">
        <v>719425.24999999977</v>
      </c>
      <c r="BA195" s="77">
        <v>0.56176965285353175</v>
      </c>
      <c r="BB195" s="74">
        <v>126957.41999999997</v>
      </c>
      <c r="BC195" s="74">
        <v>0</v>
      </c>
      <c r="BD195" s="74">
        <v>0</v>
      </c>
      <c r="BE195" s="74">
        <v>0</v>
      </c>
    </row>
    <row r="196" spans="1:57" ht="33.950000000000003" customHeight="1" x14ac:dyDescent="0.3">
      <c r="A196" s="34">
        <v>4</v>
      </c>
      <c r="B196" s="34" t="s">
        <v>392</v>
      </c>
      <c r="C196" s="34" t="s">
        <v>941</v>
      </c>
      <c r="D196" s="34" t="s">
        <v>701</v>
      </c>
      <c r="E196" s="34" t="s">
        <v>702</v>
      </c>
      <c r="F196" s="34" t="s">
        <v>763</v>
      </c>
      <c r="G196" s="34" t="s">
        <v>764</v>
      </c>
      <c r="H196" s="73" t="s">
        <v>774</v>
      </c>
      <c r="I196" s="39" t="s">
        <v>282</v>
      </c>
      <c r="J196" s="39" t="s">
        <v>1028</v>
      </c>
      <c r="K196" s="39" t="s">
        <v>429</v>
      </c>
      <c r="L196" s="36" t="s">
        <v>775</v>
      </c>
      <c r="M196" s="37" t="s">
        <v>440</v>
      </c>
      <c r="N196" s="38"/>
      <c r="O196" s="37" t="s">
        <v>38</v>
      </c>
      <c r="P196" s="37" t="s">
        <v>411</v>
      </c>
      <c r="Q196" s="74">
        <v>11092500</v>
      </c>
      <c r="R196" s="74" t="s">
        <v>429</v>
      </c>
      <c r="S196" s="74">
        <v>13050000</v>
      </c>
      <c r="T196" s="74"/>
      <c r="U196" s="75"/>
      <c r="V196" s="74"/>
      <c r="W196" s="80"/>
      <c r="X196" s="74">
        <v>11092500</v>
      </c>
      <c r="Y196" s="76">
        <v>1</v>
      </c>
      <c r="Z196" s="74">
        <v>1957500</v>
      </c>
      <c r="AA196" s="74">
        <v>0</v>
      </c>
      <c r="AB196" s="74">
        <v>0</v>
      </c>
      <c r="AC196" s="74">
        <v>0</v>
      </c>
      <c r="AD196" s="74">
        <v>1</v>
      </c>
      <c r="AE196" s="74">
        <v>11092500</v>
      </c>
      <c r="AF196" s="76">
        <v>1</v>
      </c>
      <c r="AG196" s="74">
        <v>1957500</v>
      </c>
      <c r="AH196" s="74">
        <v>0</v>
      </c>
      <c r="AI196" s="74">
        <v>0</v>
      </c>
      <c r="AJ196" s="74">
        <v>0</v>
      </c>
      <c r="AK196" s="74">
        <v>1</v>
      </c>
      <c r="AL196" s="74">
        <v>11092500</v>
      </c>
      <c r="AM196" s="77">
        <v>1</v>
      </c>
      <c r="AN196" s="74">
        <v>1957500</v>
      </c>
      <c r="AO196" s="74">
        <v>0</v>
      </c>
      <c r="AP196" s="74">
        <v>0</v>
      </c>
      <c r="AQ196" s="74">
        <v>0</v>
      </c>
      <c r="AR196" s="74">
        <v>1</v>
      </c>
      <c r="AS196" s="74">
        <v>0</v>
      </c>
      <c r="AT196" s="77">
        <v>0</v>
      </c>
      <c r="AU196" s="74">
        <v>0</v>
      </c>
      <c r="AV196" s="74">
        <v>0</v>
      </c>
      <c r="AW196" s="74">
        <v>0</v>
      </c>
      <c r="AX196" s="74">
        <v>0</v>
      </c>
      <c r="AY196" s="74">
        <v>0</v>
      </c>
      <c r="AZ196" s="74">
        <v>2090371.85</v>
      </c>
      <c r="BA196" s="77">
        <v>0.18844911877394638</v>
      </c>
      <c r="BB196" s="74">
        <v>368889.12</v>
      </c>
      <c r="BC196" s="74">
        <v>0</v>
      </c>
      <c r="BD196" s="74">
        <v>0</v>
      </c>
      <c r="BE196" s="74">
        <v>0</v>
      </c>
    </row>
    <row r="197" spans="1:57" ht="33.950000000000003" customHeight="1" x14ac:dyDescent="0.3">
      <c r="A197" s="34">
        <v>4</v>
      </c>
      <c r="B197" s="34" t="s">
        <v>392</v>
      </c>
      <c r="C197" s="34" t="s">
        <v>941</v>
      </c>
      <c r="D197" s="34" t="s">
        <v>701</v>
      </c>
      <c r="E197" s="34" t="s">
        <v>702</v>
      </c>
      <c r="F197" s="34" t="s">
        <v>763</v>
      </c>
      <c r="G197" s="34" t="s">
        <v>764</v>
      </c>
      <c r="H197" s="73" t="s">
        <v>776</v>
      </c>
      <c r="I197" s="39" t="s">
        <v>283</v>
      </c>
      <c r="J197" s="39" t="s">
        <v>1029</v>
      </c>
      <c r="K197" s="39" t="s">
        <v>429</v>
      </c>
      <c r="L197" s="36" t="s">
        <v>777</v>
      </c>
      <c r="M197" s="37" t="s">
        <v>440</v>
      </c>
      <c r="N197" s="38"/>
      <c r="O197" s="37" t="s">
        <v>38</v>
      </c>
      <c r="P197" s="37" t="s">
        <v>414</v>
      </c>
      <c r="Q197" s="74">
        <v>11341112</v>
      </c>
      <c r="R197" s="74" t="s">
        <v>429</v>
      </c>
      <c r="S197" s="74">
        <v>13342485</v>
      </c>
      <c r="T197" s="74"/>
      <c r="U197" s="75"/>
      <c r="V197" s="74"/>
      <c r="W197" s="80"/>
      <c r="X197" s="74">
        <v>11341111.4</v>
      </c>
      <c r="Y197" s="76">
        <v>0.99999994709513496</v>
      </c>
      <c r="Z197" s="74">
        <v>0</v>
      </c>
      <c r="AA197" s="74">
        <v>0</v>
      </c>
      <c r="AB197" s="74">
        <v>4977599.76</v>
      </c>
      <c r="AC197" s="74">
        <v>0</v>
      </c>
      <c r="AD197" s="74">
        <v>7</v>
      </c>
      <c r="AE197" s="74">
        <v>11341111.4</v>
      </c>
      <c r="AF197" s="76">
        <v>0.99999994709513496</v>
      </c>
      <c r="AG197" s="74">
        <v>0</v>
      </c>
      <c r="AH197" s="74">
        <v>0</v>
      </c>
      <c r="AI197" s="74">
        <v>4977599.76</v>
      </c>
      <c r="AJ197" s="74">
        <v>0</v>
      </c>
      <c r="AK197" s="74">
        <v>7</v>
      </c>
      <c r="AL197" s="74">
        <v>11341111.4</v>
      </c>
      <c r="AM197" s="77">
        <v>0.99999994709513496</v>
      </c>
      <c r="AN197" s="74">
        <v>0</v>
      </c>
      <c r="AO197" s="74">
        <v>0</v>
      </c>
      <c r="AP197" s="74">
        <v>4977599.76</v>
      </c>
      <c r="AQ197" s="74">
        <v>0</v>
      </c>
      <c r="AR197" s="74">
        <v>7</v>
      </c>
      <c r="AS197" s="74">
        <v>0</v>
      </c>
      <c r="AT197" s="77">
        <v>0</v>
      </c>
      <c r="AU197" s="74">
        <v>0</v>
      </c>
      <c r="AV197" s="74">
        <v>0</v>
      </c>
      <c r="AW197" s="74">
        <v>0</v>
      </c>
      <c r="AX197" s="74">
        <v>0</v>
      </c>
      <c r="AY197" s="74">
        <v>0</v>
      </c>
      <c r="AZ197" s="74">
        <v>6139362.7899999991</v>
      </c>
      <c r="BA197" s="77">
        <v>0.54133693327426791</v>
      </c>
      <c r="BB197" s="74">
        <v>0</v>
      </c>
      <c r="BC197" s="74">
        <v>0</v>
      </c>
      <c r="BD197" s="74">
        <v>1883369.9100000001</v>
      </c>
      <c r="BE197" s="74">
        <v>0</v>
      </c>
    </row>
    <row r="198" spans="1:57" ht="33.950000000000003" customHeight="1" x14ac:dyDescent="0.3">
      <c r="A198" s="34">
        <v>4</v>
      </c>
      <c r="B198" s="34" t="s">
        <v>392</v>
      </c>
      <c r="C198" s="34" t="s">
        <v>941</v>
      </c>
      <c r="D198" s="34" t="s">
        <v>701</v>
      </c>
      <c r="E198" s="34" t="s">
        <v>702</v>
      </c>
      <c r="F198" s="34" t="s">
        <v>763</v>
      </c>
      <c r="G198" s="34" t="s">
        <v>764</v>
      </c>
      <c r="H198" s="73" t="s">
        <v>778</v>
      </c>
      <c r="I198" s="39" t="s">
        <v>284</v>
      </c>
      <c r="J198" s="39" t="s">
        <v>1030</v>
      </c>
      <c r="K198" s="39" t="s">
        <v>429</v>
      </c>
      <c r="L198" s="36" t="s">
        <v>779</v>
      </c>
      <c r="M198" s="37">
        <v>1</v>
      </c>
      <c r="N198" s="38"/>
      <c r="O198" s="37" t="s">
        <v>38</v>
      </c>
      <c r="P198" s="37" t="s">
        <v>415</v>
      </c>
      <c r="Q198" s="74">
        <v>18716653</v>
      </c>
      <c r="R198" s="74" t="s">
        <v>429</v>
      </c>
      <c r="S198" s="74">
        <v>22019592</v>
      </c>
      <c r="T198" s="74"/>
      <c r="U198" s="75"/>
      <c r="V198" s="74"/>
      <c r="W198" s="80"/>
      <c r="X198" s="74">
        <v>18716653</v>
      </c>
      <c r="Y198" s="76">
        <v>1</v>
      </c>
      <c r="Z198" s="74">
        <v>3302939</v>
      </c>
      <c r="AA198" s="74">
        <v>0</v>
      </c>
      <c r="AB198" s="74">
        <v>0</v>
      </c>
      <c r="AC198" s="74">
        <v>0</v>
      </c>
      <c r="AD198" s="74">
        <v>1</v>
      </c>
      <c r="AE198" s="74">
        <v>18716653</v>
      </c>
      <c r="AF198" s="76">
        <v>1</v>
      </c>
      <c r="AG198" s="74">
        <v>3302939</v>
      </c>
      <c r="AH198" s="74">
        <v>0</v>
      </c>
      <c r="AI198" s="74">
        <v>0</v>
      </c>
      <c r="AJ198" s="74">
        <v>0</v>
      </c>
      <c r="AK198" s="74">
        <v>1</v>
      </c>
      <c r="AL198" s="74">
        <v>18716653</v>
      </c>
      <c r="AM198" s="77">
        <v>1</v>
      </c>
      <c r="AN198" s="74">
        <v>3302939</v>
      </c>
      <c r="AO198" s="74">
        <v>0</v>
      </c>
      <c r="AP198" s="74">
        <v>0</v>
      </c>
      <c r="AQ198" s="74">
        <v>0</v>
      </c>
      <c r="AR198" s="74">
        <v>1</v>
      </c>
      <c r="AS198" s="74">
        <v>0</v>
      </c>
      <c r="AT198" s="77">
        <v>0</v>
      </c>
      <c r="AU198" s="74">
        <v>0</v>
      </c>
      <c r="AV198" s="74">
        <v>0</v>
      </c>
      <c r="AW198" s="74">
        <v>0</v>
      </c>
      <c r="AX198" s="74">
        <v>0</v>
      </c>
      <c r="AY198" s="74">
        <v>0</v>
      </c>
      <c r="AZ198" s="74">
        <v>3952313.01</v>
      </c>
      <c r="BA198" s="77">
        <v>0.21116558660354498</v>
      </c>
      <c r="BB198" s="74">
        <v>697467.01</v>
      </c>
      <c r="BC198" s="74">
        <v>0</v>
      </c>
      <c r="BD198" s="74">
        <v>0</v>
      </c>
      <c r="BE198" s="74">
        <v>0</v>
      </c>
    </row>
    <row r="199" spans="1:57" ht="33.950000000000003" customHeight="1" x14ac:dyDescent="0.3">
      <c r="A199" s="34">
        <v>4</v>
      </c>
      <c r="B199" s="34" t="s">
        <v>392</v>
      </c>
      <c r="C199" s="34" t="s">
        <v>941</v>
      </c>
      <c r="D199" s="34" t="s">
        <v>701</v>
      </c>
      <c r="E199" s="34" t="s">
        <v>702</v>
      </c>
      <c r="F199" s="34" t="s">
        <v>763</v>
      </c>
      <c r="G199" s="34" t="s">
        <v>764</v>
      </c>
      <c r="H199" s="73" t="s">
        <v>778</v>
      </c>
      <c r="I199" s="39" t="s">
        <v>285</v>
      </c>
      <c r="J199" s="39" t="s">
        <v>1031</v>
      </c>
      <c r="K199" s="39" t="s">
        <v>429</v>
      </c>
      <c r="L199" s="36" t="s">
        <v>779</v>
      </c>
      <c r="M199" s="37">
        <v>2</v>
      </c>
      <c r="N199" s="38"/>
      <c r="O199" s="37" t="s">
        <v>38</v>
      </c>
      <c r="P199" s="37" t="s">
        <v>415</v>
      </c>
      <c r="Q199" s="74">
        <v>16081760</v>
      </c>
      <c r="R199" s="74" t="s">
        <v>429</v>
      </c>
      <c r="S199" s="74">
        <v>18919718</v>
      </c>
      <c r="T199" s="74"/>
      <c r="U199" s="75"/>
      <c r="V199" s="74"/>
      <c r="W199" s="80"/>
      <c r="X199" s="74">
        <v>16081760</v>
      </c>
      <c r="Y199" s="76">
        <v>1</v>
      </c>
      <c r="Z199" s="74">
        <v>2837958</v>
      </c>
      <c r="AA199" s="74">
        <v>0</v>
      </c>
      <c r="AB199" s="74">
        <v>0</v>
      </c>
      <c r="AC199" s="74">
        <v>0</v>
      </c>
      <c r="AD199" s="74">
        <v>1</v>
      </c>
      <c r="AE199" s="74">
        <v>0</v>
      </c>
      <c r="AF199" s="76">
        <v>0</v>
      </c>
      <c r="AG199" s="74">
        <v>0</v>
      </c>
      <c r="AH199" s="74">
        <v>0</v>
      </c>
      <c r="AI199" s="74">
        <v>0</v>
      </c>
      <c r="AJ199" s="74">
        <v>0</v>
      </c>
      <c r="AK199" s="74">
        <v>0</v>
      </c>
      <c r="AL199" s="74">
        <v>0</v>
      </c>
      <c r="AM199" s="77">
        <v>0</v>
      </c>
      <c r="AN199" s="74">
        <v>0</v>
      </c>
      <c r="AO199" s="74">
        <v>0</v>
      </c>
      <c r="AP199" s="74">
        <v>0</v>
      </c>
      <c r="AQ199" s="74">
        <v>0</v>
      </c>
      <c r="AR199" s="74">
        <v>0</v>
      </c>
      <c r="AS199" s="74">
        <v>0</v>
      </c>
      <c r="AT199" s="77">
        <v>0</v>
      </c>
      <c r="AU199" s="74">
        <v>0</v>
      </c>
      <c r="AV199" s="74">
        <v>0</v>
      </c>
      <c r="AW199" s="74">
        <v>0</v>
      </c>
      <c r="AX199" s="74">
        <v>0</v>
      </c>
      <c r="AY199" s="74">
        <v>0</v>
      </c>
      <c r="AZ199" s="74">
        <v>0</v>
      </c>
      <c r="BA199" s="77">
        <v>0</v>
      </c>
      <c r="BB199" s="74">
        <v>0</v>
      </c>
      <c r="BC199" s="74">
        <v>0</v>
      </c>
      <c r="BD199" s="74">
        <v>0</v>
      </c>
      <c r="BE199" s="74">
        <v>0</v>
      </c>
    </row>
    <row r="200" spans="1:57" ht="33.950000000000003" customHeight="1" x14ac:dyDescent="0.3">
      <c r="A200" s="34">
        <v>4</v>
      </c>
      <c r="B200" s="34" t="s">
        <v>392</v>
      </c>
      <c r="C200" s="34" t="s">
        <v>941</v>
      </c>
      <c r="D200" s="34" t="s">
        <v>701</v>
      </c>
      <c r="E200" s="34" t="s">
        <v>702</v>
      </c>
      <c r="F200" s="34" t="s">
        <v>763</v>
      </c>
      <c r="G200" s="34" t="s">
        <v>764</v>
      </c>
      <c r="H200" s="73" t="s">
        <v>780</v>
      </c>
      <c r="I200" s="39" t="s">
        <v>286</v>
      </c>
      <c r="J200" s="39" t="s">
        <v>1032</v>
      </c>
      <c r="K200" s="39" t="s">
        <v>429</v>
      </c>
      <c r="L200" s="36" t="s">
        <v>781</v>
      </c>
      <c r="M200" s="37" t="s">
        <v>440</v>
      </c>
      <c r="N200" s="38"/>
      <c r="O200" s="37" t="s">
        <v>38</v>
      </c>
      <c r="P200" s="37" t="s">
        <v>415</v>
      </c>
      <c r="Q200" s="74">
        <v>3621784</v>
      </c>
      <c r="R200" s="74" t="s">
        <v>429</v>
      </c>
      <c r="S200" s="74">
        <v>4260923</v>
      </c>
      <c r="T200" s="74"/>
      <c r="U200" s="75"/>
      <c r="V200" s="74"/>
      <c r="W200" s="80"/>
      <c r="X200" s="74">
        <v>3114127</v>
      </c>
      <c r="Y200" s="76">
        <v>0.85983233677104987</v>
      </c>
      <c r="Z200" s="74">
        <v>549552</v>
      </c>
      <c r="AA200" s="74">
        <v>0</v>
      </c>
      <c r="AB200" s="74">
        <v>0</v>
      </c>
      <c r="AC200" s="74">
        <v>0</v>
      </c>
      <c r="AD200" s="74">
        <v>1</v>
      </c>
      <c r="AE200" s="74">
        <v>3114127</v>
      </c>
      <c r="AF200" s="76">
        <v>0.85983233677104987</v>
      </c>
      <c r="AG200" s="74">
        <v>549552</v>
      </c>
      <c r="AH200" s="74">
        <v>0</v>
      </c>
      <c r="AI200" s="74">
        <v>0</v>
      </c>
      <c r="AJ200" s="74">
        <v>0</v>
      </c>
      <c r="AK200" s="74">
        <v>1</v>
      </c>
      <c r="AL200" s="74">
        <v>3114127</v>
      </c>
      <c r="AM200" s="77">
        <v>0.85983233677104987</v>
      </c>
      <c r="AN200" s="74">
        <v>549552</v>
      </c>
      <c r="AO200" s="74">
        <v>0</v>
      </c>
      <c r="AP200" s="74">
        <v>0</v>
      </c>
      <c r="AQ200" s="74">
        <v>0</v>
      </c>
      <c r="AR200" s="74">
        <v>1</v>
      </c>
      <c r="AS200" s="74">
        <v>0</v>
      </c>
      <c r="AT200" s="77">
        <v>0</v>
      </c>
      <c r="AU200" s="74">
        <v>0</v>
      </c>
      <c r="AV200" s="74">
        <v>0</v>
      </c>
      <c r="AW200" s="74">
        <v>0</v>
      </c>
      <c r="AX200" s="74">
        <v>0</v>
      </c>
      <c r="AY200" s="74">
        <v>0</v>
      </c>
      <c r="AZ200" s="74">
        <v>350348.65</v>
      </c>
      <c r="BA200" s="77">
        <v>9.6733722938750627E-2</v>
      </c>
      <c r="BB200" s="74">
        <v>61826.229999999996</v>
      </c>
      <c r="BC200" s="74">
        <v>0</v>
      </c>
      <c r="BD200" s="74">
        <v>0</v>
      </c>
      <c r="BE200" s="74">
        <v>0</v>
      </c>
    </row>
    <row r="201" spans="1:57" ht="33.950000000000003" customHeight="1" x14ac:dyDescent="0.3">
      <c r="A201" s="34">
        <v>4</v>
      </c>
      <c r="B201" s="34" t="s">
        <v>392</v>
      </c>
      <c r="C201" s="34" t="s">
        <v>941</v>
      </c>
      <c r="D201" s="34" t="s">
        <v>701</v>
      </c>
      <c r="E201" s="34" t="s">
        <v>702</v>
      </c>
      <c r="F201" s="34" t="s">
        <v>763</v>
      </c>
      <c r="G201" s="34" t="s">
        <v>764</v>
      </c>
      <c r="H201" s="73" t="s">
        <v>782</v>
      </c>
      <c r="I201" s="39" t="s">
        <v>287</v>
      </c>
      <c r="J201" s="39" t="s">
        <v>1033</v>
      </c>
      <c r="K201" s="39" t="s">
        <v>429</v>
      </c>
      <c r="L201" s="36" t="s">
        <v>783</v>
      </c>
      <c r="M201" s="37">
        <v>1</v>
      </c>
      <c r="N201" s="38"/>
      <c r="O201" s="37" t="s">
        <v>38</v>
      </c>
      <c r="P201" s="37" t="s">
        <v>415</v>
      </c>
      <c r="Q201" s="74">
        <v>7137915</v>
      </c>
      <c r="R201" s="74" t="s">
        <v>429</v>
      </c>
      <c r="S201" s="74">
        <v>8397548</v>
      </c>
      <c r="T201" s="74"/>
      <c r="U201" s="75"/>
      <c r="V201" s="74"/>
      <c r="W201" s="80"/>
      <c r="X201" s="74">
        <v>7137915</v>
      </c>
      <c r="Y201" s="76">
        <v>1</v>
      </c>
      <c r="Z201" s="74">
        <v>1259633</v>
      </c>
      <c r="AA201" s="74">
        <v>0</v>
      </c>
      <c r="AB201" s="74">
        <v>0</v>
      </c>
      <c r="AC201" s="74">
        <v>0</v>
      </c>
      <c r="AD201" s="74">
        <v>1</v>
      </c>
      <c r="AE201" s="74">
        <v>7137915</v>
      </c>
      <c r="AF201" s="76">
        <v>1</v>
      </c>
      <c r="AG201" s="74">
        <v>1259633</v>
      </c>
      <c r="AH201" s="74">
        <v>0</v>
      </c>
      <c r="AI201" s="74">
        <v>0</v>
      </c>
      <c r="AJ201" s="74">
        <v>0</v>
      </c>
      <c r="AK201" s="74">
        <v>1</v>
      </c>
      <c r="AL201" s="74">
        <v>7137915</v>
      </c>
      <c r="AM201" s="77">
        <v>1</v>
      </c>
      <c r="AN201" s="74">
        <v>1259633</v>
      </c>
      <c r="AO201" s="74">
        <v>0</v>
      </c>
      <c r="AP201" s="74">
        <v>0</v>
      </c>
      <c r="AQ201" s="74">
        <v>0</v>
      </c>
      <c r="AR201" s="74">
        <v>1</v>
      </c>
      <c r="AS201" s="74">
        <v>0</v>
      </c>
      <c r="AT201" s="77">
        <v>0</v>
      </c>
      <c r="AU201" s="74">
        <v>0</v>
      </c>
      <c r="AV201" s="74">
        <v>0</v>
      </c>
      <c r="AW201" s="74">
        <v>0</v>
      </c>
      <c r="AX201" s="74">
        <v>0</v>
      </c>
      <c r="AY201" s="74">
        <v>0</v>
      </c>
      <c r="AZ201" s="74">
        <v>741158.01</v>
      </c>
      <c r="BA201" s="77">
        <v>0.10383396411977447</v>
      </c>
      <c r="BB201" s="74">
        <v>130792.59999999999</v>
      </c>
      <c r="BC201" s="74">
        <v>0</v>
      </c>
      <c r="BD201" s="74">
        <v>0</v>
      </c>
      <c r="BE201" s="74">
        <v>0</v>
      </c>
    </row>
    <row r="202" spans="1:57" ht="33.950000000000003" customHeight="1" x14ac:dyDescent="0.3">
      <c r="A202" s="34">
        <v>4</v>
      </c>
      <c r="B202" s="34" t="s">
        <v>392</v>
      </c>
      <c r="C202" s="34" t="s">
        <v>941</v>
      </c>
      <c r="D202" s="34" t="s">
        <v>701</v>
      </c>
      <c r="E202" s="34" t="s">
        <v>702</v>
      </c>
      <c r="F202" s="34" t="s">
        <v>763</v>
      </c>
      <c r="G202" s="34" t="s">
        <v>764</v>
      </c>
      <c r="H202" s="73" t="s">
        <v>782</v>
      </c>
      <c r="I202" s="39" t="s">
        <v>288</v>
      </c>
      <c r="J202" s="39" t="s">
        <v>1034</v>
      </c>
      <c r="K202" s="39" t="s">
        <v>429</v>
      </c>
      <c r="L202" s="36" t="s">
        <v>783</v>
      </c>
      <c r="M202" s="37">
        <v>2</v>
      </c>
      <c r="N202" s="38"/>
      <c r="O202" s="37" t="s">
        <v>38</v>
      </c>
      <c r="P202" s="37" t="s">
        <v>415</v>
      </c>
      <c r="Q202" s="74">
        <v>4374723</v>
      </c>
      <c r="R202" s="74" t="s">
        <v>429</v>
      </c>
      <c r="S202" s="74">
        <v>5146733</v>
      </c>
      <c r="T202" s="74"/>
      <c r="U202" s="75"/>
      <c r="V202" s="74"/>
      <c r="W202" s="80"/>
      <c r="X202" s="74">
        <v>4374723</v>
      </c>
      <c r="Y202" s="76">
        <v>1</v>
      </c>
      <c r="Z202" s="74">
        <v>772010</v>
      </c>
      <c r="AA202" s="74">
        <v>0</v>
      </c>
      <c r="AB202" s="74">
        <v>0</v>
      </c>
      <c r="AC202" s="74">
        <v>0</v>
      </c>
      <c r="AD202" s="74">
        <v>1</v>
      </c>
      <c r="AE202" s="74">
        <v>4374723</v>
      </c>
      <c r="AF202" s="76">
        <v>1</v>
      </c>
      <c r="AG202" s="74">
        <v>772010</v>
      </c>
      <c r="AH202" s="74">
        <v>0</v>
      </c>
      <c r="AI202" s="74">
        <v>0</v>
      </c>
      <c r="AJ202" s="74">
        <v>0</v>
      </c>
      <c r="AK202" s="74">
        <v>1</v>
      </c>
      <c r="AL202" s="74">
        <v>4374723</v>
      </c>
      <c r="AM202" s="77">
        <v>1</v>
      </c>
      <c r="AN202" s="74">
        <v>772010</v>
      </c>
      <c r="AO202" s="74">
        <v>0</v>
      </c>
      <c r="AP202" s="74">
        <v>0</v>
      </c>
      <c r="AQ202" s="74">
        <v>0</v>
      </c>
      <c r="AR202" s="74">
        <v>1</v>
      </c>
      <c r="AS202" s="74">
        <v>0</v>
      </c>
      <c r="AT202" s="77">
        <v>0</v>
      </c>
      <c r="AU202" s="74">
        <v>0</v>
      </c>
      <c r="AV202" s="74">
        <v>0</v>
      </c>
      <c r="AW202" s="74">
        <v>0</v>
      </c>
      <c r="AX202" s="74">
        <v>0</v>
      </c>
      <c r="AY202" s="74">
        <v>0</v>
      </c>
      <c r="AZ202" s="74">
        <v>803408.52</v>
      </c>
      <c r="BA202" s="77">
        <v>0.1836478606759788</v>
      </c>
      <c r="BB202" s="74">
        <v>141777.97</v>
      </c>
      <c r="BC202" s="74">
        <v>0</v>
      </c>
      <c r="BD202" s="74">
        <v>0</v>
      </c>
      <c r="BE202" s="74">
        <v>0</v>
      </c>
    </row>
    <row r="203" spans="1:57" ht="33.950000000000003" customHeight="1" x14ac:dyDescent="0.3">
      <c r="A203" s="34">
        <v>4</v>
      </c>
      <c r="B203" s="34" t="s">
        <v>392</v>
      </c>
      <c r="C203" s="34" t="s">
        <v>941</v>
      </c>
      <c r="D203" s="34" t="s">
        <v>701</v>
      </c>
      <c r="E203" s="34" t="s">
        <v>702</v>
      </c>
      <c r="F203" s="34" t="s">
        <v>763</v>
      </c>
      <c r="G203" s="34" t="s">
        <v>764</v>
      </c>
      <c r="H203" s="73" t="s">
        <v>784</v>
      </c>
      <c r="I203" s="39" t="s">
        <v>289</v>
      </c>
      <c r="J203" s="39" t="s">
        <v>1035</v>
      </c>
      <c r="K203" s="39" t="s">
        <v>429</v>
      </c>
      <c r="L203" s="36" t="s">
        <v>838</v>
      </c>
      <c r="M203" s="37" t="s">
        <v>440</v>
      </c>
      <c r="N203" s="38"/>
      <c r="O203" s="37" t="s">
        <v>38</v>
      </c>
      <c r="P203" s="37" t="s">
        <v>415</v>
      </c>
      <c r="Q203" s="74">
        <v>1163605</v>
      </c>
      <c r="R203" s="74" t="s">
        <v>429</v>
      </c>
      <c r="S203" s="74">
        <v>1368948</v>
      </c>
      <c r="T203" s="74"/>
      <c r="U203" s="75"/>
      <c r="V203" s="74"/>
      <c r="W203" s="80"/>
      <c r="X203" s="74">
        <v>0</v>
      </c>
      <c r="Y203" s="76">
        <v>0</v>
      </c>
      <c r="Z203" s="74">
        <v>0</v>
      </c>
      <c r="AA203" s="74">
        <v>0</v>
      </c>
      <c r="AB203" s="74">
        <v>0</v>
      </c>
      <c r="AC203" s="74">
        <v>0</v>
      </c>
      <c r="AD203" s="74">
        <v>0</v>
      </c>
      <c r="AE203" s="74">
        <v>0</v>
      </c>
      <c r="AF203" s="76">
        <v>0</v>
      </c>
      <c r="AG203" s="74">
        <v>0</v>
      </c>
      <c r="AH203" s="74">
        <v>0</v>
      </c>
      <c r="AI203" s="74">
        <v>0</v>
      </c>
      <c r="AJ203" s="74">
        <v>0</v>
      </c>
      <c r="AK203" s="74">
        <v>0</v>
      </c>
      <c r="AL203" s="74">
        <v>0</v>
      </c>
      <c r="AM203" s="77">
        <v>0</v>
      </c>
      <c r="AN203" s="74">
        <v>0</v>
      </c>
      <c r="AO203" s="74">
        <v>0</v>
      </c>
      <c r="AP203" s="74">
        <v>0</v>
      </c>
      <c r="AQ203" s="74">
        <v>0</v>
      </c>
      <c r="AR203" s="74">
        <v>0</v>
      </c>
      <c r="AS203" s="74">
        <v>0</v>
      </c>
      <c r="AT203" s="77">
        <v>0</v>
      </c>
      <c r="AU203" s="74">
        <v>0</v>
      </c>
      <c r="AV203" s="74">
        <v>0</v>
      </c>
      <c r="AW203" s="74">
        <v>0</v>
      </c>
      <c r="AX203" s="74">
        <v>0</v>
      </c>
      <c r="AY203" s="74">
        <v>0</v>
      </c>
      <c r="AZ203" s="74">
        <v>0</v>
      </c>
      <c r="BA203" s="77">
        <v>0</v>
      </c>
      <c r="BB203" s="74">
        <v>0</v>
      </c>
      <c r="BC203" s="74">
        <v>0</v>
      </c>
      <c r="BD203" s="74">
        <v>0</v>
      </c>
      <c r="BE203" s="74">
        <v>0</v>
      </c>
    </row>
    <row r="204" spans="1:57" ht="33.950000000000003" customHeight="1" x14ac:dyDescent="0.3">
      <c r="A204" s="34">
        <v>4</v>
      </c>
      <c r="B204" s="34" t="s">
        <v>392</v>
      </c>
      <c r="C204" s="34" t="s">
        <v>941</v>
      </c>
      <c r="D204" s="34" t="s">
        <v>785</v>
      </c>
      <c r="E204" s="34" t="s">
        <v>786</v>
      </c>
      <c r="F204" s="34" t="s">
        <v>787</v>
      </c>
      <c r="G204" s="34" t="s">
        <v>786</v>
      </c>
      <c r="H204" s="73" t="s">
        <v>788</v>
      </c>
      <c r="I204" s="39" t="s">
        <v>290</v>
      </c>
      <c r="J204" s="39" t="s">
        <v>1036</v>
      </c>
      <c r="K204" s="39" t="s">
        <v>429</v>
      </c>
      <c r="L204" s="36" t="s">
        <v>789</v>
      </c>
      <c r="M204" s="37" t="s">
        <v>440</v>
      </c>
      <c r="N204" s="38"/>
      <c r="O204" s="37" t="s">
        <v>38</v>
      </c>
      <c r="P204" s="37" t="s">
        <v>411</v>
      </c>
      <c r="Q204" s="74">
        <v>8671931</v>
      </c>
      <c r="R204" s="74" t="s">
        <v>429</v>
      </c>
      <c r="S204" s="74">
        <v>10202272</v>
      </c>
      <c r="T204" s="74"/>
      <c r="U204" s="75"/>
      <c r="V204" s="74"/>
      <c r="W204" s="80"/>
      <c r="X204" s="74">
        <v>8671931</v>
      </c>
      <c r="Y204" s="76">
        <v>1</v>
      </c>
      <c r="Z204" s="74">
        <v>1530341</v>
      </c>
      <c r="AA204" s="74">
        <v>0</v>
      </c>
      <c r="AB204" s="74">
        <v>0</v>
      </c>
      <c r="AC204" s="74">
        <v>0</v>
      </c>
      <c r="AD204" s="74">
        <v>1</v>
      </c>
      <c r="AE204" s="74">
        <v>8671931</v>
      </c>
      <c r="AF204" s="76">
        <v>1</v>
      </c>
      <c r="AG204" s="74">
        <v>1530341</v>
      </c>
      <c r="AH204" s="74">
        <v>0</v>
      </c>
      <c r="AI204" s="74">
        <v>0</v>
      </c>
      <c r="AJ204" s="74">
        <v>0</v>
      </c>
      <c r="AK204" s="74">
        <v>1</v>
      </c>
      <c r="AL204" s="74">
        <v>8671931</v>
      </c>
      <c r="AM204" s="77">
        <v>1</v>
      </c>
      <c r="AN204" s="74">
        <v>1530341</v>
      </c>
      <c r="AO204" s="74">
        <v>0</v>
      </c>
      <c r="AP204" s="74">
        <v>0</v>
      </c>
      <c r="AQ204" s="74">
        <v>0</v>
      </c>
      <c r="AR204" s="74">
        <v>1</v>
      </c>
      <c r="AS204" s="74">
        <v>0</v>
      </c>
      <c r="AT204" s="77">
        <v>0</v>
      </c>
      <c r="AU204" s="74">
        <v>0</v>
      </c>
      <c r="AV204" s="74">
        <v>0</v>
      </c>
      <c r="AW204" s="74">
        <v>0</v>
      </c>
      <c r="AX204" s="74">
        <v>0</v>
      </c>
      <c r="AY204" s="74">
        <v>0</v>
      </c>
      <c r="AZ204" s="74">
        <v>923239.71</v>
      </c>
      <c r="BA204" s="77">
        <v>0.10646299076872268</v>
      </c>
      <c r="BB204" s="74">
        <v>162924.65</v>
      </c>
      <c r="BC204" s="74">
        <v>0</v>
      </c>
      <c r="BD204" s="74">
        <v>0</v>
      </c>
      <c r="BE204" s="74">
        <v>0</v>
      </c>
    </row>
    <row r="205" spans="1:57" ht="33.950000000000003" customHeight="1" x14ac:dyDescent="0.3">
      <c r="A205" s="34">
        <v>5</v>
      </c>
      <c r="B205" s="34" t="s">
        <v>393</v>
      </c>
      <c r="C205" s="34" t="s">
        <v>1037</v>
      </c>
      <c r="D205" s="34" t="s">
        <v>790</v>
      </c>
      <c r="E205" s="34" t="s">
        <v>791</v>
      </c>
      <c r="F205" s="34" t="s">
        <v>792</v>
      </c>
      <c r="G205" s="34" t="s">
        <v>793</v>
      </c>
      <c r="H205" s="73" t="s">
        <v>794</v>
      </c>
      <c r="I205" s="39" t="s">
        <v>291</v>
      </c>
      <c r="J205" s="39" t="s">
        <v>1038</v>
      </c>
      <c r="K205" s="39" t="s">
        <v>429</v>
      </c>
      <c r="L205" s="36" t="s">
        <v>795</v>
      </c>
      <c r="M205" s="37">
        <v>1</v>
      </c>
      <c r="N205" s="38"/>
      <c r="O205" s="37" t="s">
        <v>39</v>
      </c>
      <c r="P205" s="37" t="s">
        <v>414</v>
      </c>
      <c r="Q205" s="74">
        <v>34554003</v>
      </c>
      <c r="R205" s="74" t="s">
        <v>429</v>
      </c>
      <c r="S205" s="74">
        <v>40651771</v>
      </c>
      <c r="T205" s="74"/>
      <c r="U205" s="75"/>
      <c r="V205" s="74"/>
      <c r="W205" s="80"/>
      <c r="X205" s="74">
        <v>34498712.059999995</v>
      </c>
      <c r="Y205" s="76">
        <v>0.99839986875037301</v>
      </c>
      <c r="Z205" s="74">
        <v>0</v>
      </c>
      <c r="AA205" s="74">
        <v>0</v>
      </c>
      <c r="AB205" s="74">
        <v>11415132.85</v>
      </c>
      <c r="AC205" s="74">
        <v>909153.83</v>
      </c>
      <c r="AD205" s="74">
        <v>24</v>
      </c>
      <c r="AE205" s="74">
        <v>34498712.059999995</v>
      </c>
      <c r="AF205" s="76">
        <v>0.99839986875037301</v>
      </c>
      <c r="AG205" s="74">
        <v>0</v>
      </c>
      <c r="AH205" s="74">
        <v>0</v>
      </c>
      <c r="AI205" s="74">
        <v>11415132.85</v>
      </c>
      <c r="AJ205" s="74">
        <v>909153.83</v>
      </c>
      <c r="AK205" s="74">
        <v>24</v>
      </c>
      <c r="AL205" s="74">
        <v>34498712.059999995</v>
      </c>
      <c r="AM205" s="77">
        <v>0.99839986875037301</v>
      </c>
      <c r="AN205" s="74">
        <v>0</v>
      </c>
      <c r="AO205" s="74">
        <v>0</v>
      </c>
      <c r="AP205" s="74">
        <v>11415132.85</v>
      </c>
      <c r="AQ205" s="74">
        <v>909153.83</v>
      </c>
      <c r="AR205" s="74">
        <v>24</v>
      </c>
      <c r="AS205" s="74">
        <v>5042246.32</v>
      </c>
      <c r="AT205" s="77">
        <v>0.1459236523189513</v>
      </c>
      <c r="AU205" s="74">
        <v>0</v>
      </c>
      <c r="AV205" s="74">
        <v>0</v>
      </c>
      <c r="AW205" s="74">
        <v>1899788.0399999998</v>
      </c>
      <c r="AX205" s="74">
        <v>176819.19</v>
      </c>
      <c r="AY205" s="74">
        <v>5</v>
      </c>
      <c r="AZ205" s="74">
        <v>17409494.209999997</v>
      </c>
      <c r="BA205" s="77">
        <v>0.50383436645531332</v>
      </c>
      <c r="BB205" s="74">
        <v>0</v>
      </c>
      <c r="BC205" s="74">
        <v>0</v>
      </c>
      <c r="BD205" s="74">
        <v>4213704.1900000004</v>
      </c>
      <c r="BE205" s="74">
        <v>407807.79000000004</v>
      </c>
    </row>
    <row r="206" spans="1:57" ht="33.950000000000003" customHeight="1" x14ac:dyDescent="0.3">
      <c r="A206" s="34">
        <v>5</v>
      </c>
      <c r="B206" s="34" t="s">
        <v>393</v>
      </c>
      <c r="C206" s="34" t="s">
        <v>1037</v>
      </c>
      <c r="D206" s="34" t="s">
        <v>790</v>
      </c>
      <c r="E206" s="34" t="s">
        <v>791</v>
      </c>
      <c r="F206" s="34" t="s">
        <v>792</v>
      </c>
      <c r="G206" s="34" t="s">
        <v>793</v>
      </c>
      <c r="H206" s="73" t="s">
        <v>794</v>
      </c>
      <c r="I206" s="39" t="s">
        <v>292</v>
      </c>
      <c r="J206" s="39" t="s">
        <v>1039</v>
      </c>
      <c r="K206" s="39" t="s">
        <v>429</v>
      </c>
      <c r="L206" s="36" t="s">
        <v>795</v>
      </c>
      <c r="M206" s="37">
        <v>2</v>
      </c>
      <c r="N206" s="38"/>
      <c r="O206" s="37" t="s">
        <v>39</v>
      </c>
      <c r="P206" s="37" t="s">
        <v>414</v>
      </c>
      <c r="Q206" s="74">
        <v>48453250</v>
      </c>
      <c r="R206" s="74" t="s">
        <v>429</v>
      </c>
      <c r="S206" s="74">
        <v>57003826</v>
      </c>
      <c r="T206" s="74"/>
      <c r="U206" s="75"/>
      <c r="V206" s="74"/>
      <c r="W206" s="80"/>
      <c r="X206" s="74">
        <v>48145636.499999993</v>
      </c>
      <c r="Y206" s="76">
        <v>0.99365133401784178</v>
      </c>
      <c r="Z206" s="74">
        <v>0</v>
      </c>
      <c r="AA206" s="74">
        <v>0</v>
      </c>
      <c r="AB206" s="74">
        <v>10569642</v>
      </c>
      <c r="AC206" s="74">
        <v>1860811.3299999998</v>
      </c>
      <c r="AD206" s="74">
        <v>32</v>
      </c>
      <c r="AE206" s="74">
        <v>48145636.499999993</v>
      </c>
      <c r="AF206" s="76">
        <v>0.99365133401784178</v>
      </c>
      <c r="AG206" s="74">
        <v>0</v>
      </c>
      <c r="AH206" s="74">
        <v>0</v>
      </c>
      <c r="AI206" s="74">
        <v>10569642</v>
      </c>
      <c r="AJ206" s="74">
        <v>1860811.3299999998</v>
      </c>
      <c r="AK206" s="74">
        <v>32</v>
      </c>
      <c r="AL206" s="74">
        <v>48145636.499999993</v>
      </c>
      <c r="AM206" s="77">
        <v>0.99365133401784178</v>
      </c>
      <c r="AN206" s="74">
        <v>0</v>
      </c>
      <c r="AO206" s="74">
        <v>0</v>
      </c>
      <c r="AP206" s="74">
        <v>10569642</v>
      </c>
      <c r="AQ206" s="74">
        <v>1860811.3299999998</v>
      </c>
      <c r="AR206" s="74">
        <v>32</v>
      </c>
      <c r="AS206" s="74">
        <v>5298770.97</v>
      </c>
      <c r="AT206" s="77">
        <v>0.10935842219046193</v>
      </c>
      <c r="AU206" s="74">
        <v>0</v>
      </c>
      <c r="AV206" s="74">
        <v>0</v>
      </c>
      <c r="AW206" s="74">
        <v>1074340.1200000001</v>
      </c>
      <c r="AX206" s="74">
        <v>136987.51999999999</v>
      </c>
      <c r="AY206" s="74">
        <v>8</v>
      </c>
      <c r="AZ206" s="74">
        <v>21403137.929999992</v>
      </c>
      <c r="BA206" s="77">
        <v>0.44172760196684419</v>
      </c>
      <c r="BB206" s="74">
        <v>0</v>
      </c>
      <c r="BC206" s="74">
        <v>0</v>
      </c>
      <c r="BD206" s="74">
        <v>4659848.3000000017</v>
      </c>
      <c r="BE206" s="74">
        <v>453124.75</v>
      </c>
    </row>
    <row r="207" spans="1:57" ht="33.950000000000003" customHeight="1" x14ac:dyDescent="0.3">
      <c r="A207" s="34">
        <v>5</v>
      </c>
      <c r="B207" s="34" t="s">
        <v>393</v>
      </c>
      <c r="C207" s="34" t="s">
        <v>1037</v>
      </c>
      <c r="D207" s="34" t="s">
        <v>790</v>
      </c>
      <c r="E207" s="34" t="s">
        <v>791</v>
      </c>
      <c r="F207" s="34" t="s">
        <v>792</v>
      </c>
      <c r="G207" s="34" t="s">
        <v>793</v>
      </c>
      <c r="H207" s="73" t="s">
        <v>794</v>
      </c>
      <c r="I207" s="39" t="s">
        <v>293</v>
      </c>
      <c r="J207" s="39" t="s">
        <v>1040</v>
      </c>
      <c r="K207" s="39" t="s">
        <v>429</v>
      </c>
      <c r="L207" s="36" t="s">
        <v>795</v>
      </c>
      <c r="M207" s="37">
        <v>3</v>
      </c>
      <c r="N207" s="38"/>
      <c r="O207" s="37" t="s">
        <v>39</v>
      </c>
      <c r="P207" s="37" t="s">
        <v>414</v>
      </c>
      <c r="Q207" s="74">
        <v>56231280</v>
      </c>
      <c r="R207" s="74" t="s">
        <v>429</v>
      </c>
      <c r="S207" s="74">
        <v>68539744</v>
      </c>
      <c r="T207" s="74"/>
      <c r="U207" s="75"/>
      <c r="V207" s="74"/>
      <c r="W207" s="80"/>
      <c r="X207" s="74">
        <v>78894750.700000003</v>
      </c>
      <c r="Y207" s="76">
        <v>1.4030402775821571</v>
      </c>
      <c r="Z207" s="74">
        <v>0</v>
      </c>
      <c r="AA207" s="74">
        <v>0</v>
      </c>
      <c r="AB207" s="74">
        <v>13888579</v>
      </c>
      <c r="AC207" s="74">
        <v>7403098.8399999999</v>
      </c>
      <c r="AD207" s="74">
        <v>35</v>
      </c>
      <c r="AE207" s="74">
        <v>0</v>
      </c>
      <c r="AF207" s="76">
        <v>0</v>
      </c>
      <c r="AG207" s="74">
        <v>0</v>
      </c>
      <c r="AH207" s="74">
        <v>0</v>
      </c>
      <c r="AI207" s="74">
        <v>0</v>
      </c>
      <c r="AJ207" s="74">
        <v>0</v>
      </c>
      <c r="AK207" s="74">
        <v>0</v>
      </c>
      <c r="AL207" s="74">
        <v>0</v>
      </c>
      <c r="AM207" s="77">
        <v>0</v>
      </c>
      <c r="AN207" s="74">
        <v>0</v>
      </c>
      <c r="AO207" s="74">
        <v>0</v>
      </c>
      <c r="AP207" s="74">
        <v>0</v>
      </c>
      <c r="AQ207" s="74">
        <v>0</v>
      </c>
      <c r="AR207" s="74">
        <v>0</v>
      </c>
      <c r="AS207" s="74">
        <v>0</v>
      </c>
      <c r="AT207" s="77">
        <v>0</v>
      </c>
      <c r="AU207" s="74">
        <v>0</v>
      </c>
      <c r="AV207" s="74">
        <v>0</v>
      </c>
      <c r="AW207" s="74">
        <v>0</v>
      </c>
      <c r="AX207" s="74">
        <v>0</v>
      </c>
      <c r="AY207" s="74">
        <v>0</v>
      </c>
      <c r="AZ207" s="74">
        <v>0</v>
      </c>
      <c r="BA207" s="77">
        <v>0</v>
      </c>
      <c r="BB207" s="74">
        <v>0</v>
      </c>
      <c r="BC207" s="74">
        <v>0</v>
      </c>
      <c r="BD207" s="74">
        <v>0</v>
      </c>
      <c r="BE207" s="74">
        <v>0</v>
      </c>
    </row>
    <row r="208" spans="1:57" ht="33.950000000000003" customHeight="1" x14ac:dyDescent="0.3">
      <c r="A208" s="34">
        <v>5</v>
      </c>
      <c r="B208" s="34" t="s">
        <v>393</v>
      </c>
      <c r="C208" s="34" t="s">
        <v>1037</v>
      </c>
      <c r="D208" s="34" t="s">
        <v>790</v>
      </c>
      <c r="E208" s="34" t="s">
        <v>791</v>
      </c>
      <c r="F208" s="34" t="s">
        <v>792</v>
      </c>
      <c r="G208" s="34" t="s">
        <v>793</v>
      </c>
      <c r="H208" s="73" t="s">
        <v>796</v>
      </c>
      <c r="I208" s="39" t="s">
        <v>294</v>
      </c>
      <c r="J208" s="39" t="s">
        <v>1041</v>
      </c>
      <c r="K208" s="39" t="s">
        <v>429</v>
      </c>
      <c r="L208" s="36" t="s">
        <v>797</v>
      </c>
      <c r="M208" s="37" t="s">
        <v>440</v>
      </c>
      <c r="N208" s="38"/>
      <c r="O208" s="37" t="s">
        <v>39</v>
      </c>
      <c r="P208" s="37" t="s">
        <v>414</v>
      </c>
      <c r="Q208" s="74">
        <v>377295</v>
      </c>
      <c r="R208" s="74" t="s">
        <v>429</v>
      </c>
      <c r="S208" s="74">
        <v>443877</v>
      </c>
      <c r="T208" s="74"/>
      <c r="U208" s="75"/>
      <c r="V208" s="74"/>
      <c r="W208" s="80"/>
      <c r="X208" s="74">
        <v>377295</v>
      </c>
      <c r="Y208" s="76">
        <v>1</v>
      </c>
      <c r="Z208" s="74">
        <v>66582</v>
      </c>
      <c r="AA208" s="74">
        <v>0</v>
      </c>
      <c r="AB208" s="74">
        <v>0</v>
      </c>
      <c r="AC208" s="74">
        <v>0</v>
      </c>
      <c r="AD208" s="74">
        <v>1</v>
      </c>
      <c r="AE208" s="74">
        <v>377295</v>
      </c>
      <c r="AF208" s="76">
        <v>1</v>
      </c>
      <c r="AG208" s="74">
        <v>66582</v>
      </c>
      <c r="AH208" s="74">
        <v>0</v>
      </c>
      <c r="AI208" s="74">
        <v>0</v>
      </c>
      <c r="AJ208" s="74">
        <v>0</v>
      </c>
      <c r="AK208" s="74">
        <v>1</v>
      </c>
      <c r="AL208" s="74">
        <v>377295</v>
      </c>
      <c r="AM208" s="77">
        <v>1</v>
      </c>
      <c r="AN208" s="74">
        <v>66582</v>
      </c>
      <c r="AO208" s="74">
        <v>0</v>
      </c>
      <c r="AP208" s="74">
        <v>0</v>
      </c>
      <c r="AQ208" s="74">
        <v>0</v>
      </c>
      <c r="AR208" s="74">
        <v>1</v>
      </c>
      <c r="AS208" s="74">
        <v>0</v>
      </c>
      <c r="AT208" s="77">
        <v>0</v>
      </c>
      <c r="AU208" s="74">
        <v>0</v>
      </c>
      <c r="AV208" s="74">
        <v>0</v>
      </c>
      <c r="AW208" s="74">
        <v>0</v>
      </c>
      <c r="AX208" s="74">
        <v>0</v>
      </c>
      <c r="AY208" s="74">
        <v>0</v>
      </c>
      <c r="AZ208" s="74">
        <v>163359.46000000002</v>
      </c>
      <c r="BA208" s="77">
        <v>0.43297541711392945</v>
      </c>
      <c r="BB208" s="74">
        <v>28828.14</v>
      </c>
      <c r="BC208" s="74">
        <v>0</v>
      </c>
      <c r="BD208" s="74">
        <v>0</v>
      </c>
      <c r="BE208" s="74">
        <v>0</v>
      </c>
    </row>
    <row r="209" spans="1:57" ht="33.950000000000003" customHeight="1" x14ac:dyDescent="0.3">
      <c r="A209" s="34">
        <v>5</v>
      </c>
      <c r="B209" s="34" t="s">
        <v>393</v>
      </c>
      <c r="C209" s="34" t="s">
        <v>1037</v>
      </c>
      <c r="D209" s="34" t="s">
        <v>790</v>
      </c>
      <c r="E209" s="34" t="s">
        <v>791</v>
      </c>
      <c r="F209" s="34" t="s">
        <v>792</v>
      </c>
      <c r="G209" s="34" t="s">
        <v>793</v>
      </c>
      <c r="H209" s="73" t="s">
        <v>798</v>
      </c>
      <c r="I209" s="39" t="s">
        <v>295</v>
      </c>
      <c r="J209" s="39" t="s">
        <v>1042</v>
      </c>
      <c r="K209" s="39" t="s">
        <v>429</v>
      </c>
      <c r="L209" s="36" t="s">
        <v>799</v>
      </c>
      <c r="M209" s="37" t="s">
        <v>440</v>
      </c>
      <c r="N209" s="38"/>
      <c r="O209" s="37" t="s">
        <v>39</v>
      </c>
      <c r="P209" s="37" t="s">
        <v>414</v>
      </c>
      <c r="Q209" s="74">
        <v>26525957</v>
      </c>
      <c r="R209" s="74" t="s">
        <v>429</v>
      </c>
      <c r="S209" s="74">
        <v>30790278</v>
      </c>
      <c r="T209" s="74"/>
      <c r="U209" s="75"/>
      <c r="V209" s="74"/>
      <c r="W209" s="80"/>
      <c r="X209" s="74">
        <v>26148002.34</v>
      </c>
      <c r="Y209" s="76">
        <v>0.98575151652398441</v>
      </c>
      <c r="Z209" s="74">
        <v>0</v>
      </c>
      <c r="AA209" s="74">
        <v>0</v>
      </c>
      <c r="AB209" s="74">
        <v>21288176.440000001</v>
      </c>
      <c r="AC209" s="74">
        <v>178200.59</v>
      </c>
      <c r="AD209" s="74">
        <v>48</v>
      </c>
      <c r="AE209" s="74">
        <v>26148002.34</v>
      </c>
      <c r="AF209" s="76">
        <v>0.98575151652398441</v>
      </c>
      <c r="AG209" s="74">
        <v>0</v>
      </c>
      <c r="AH209" s="74">
        <v>0</v>
      </c>
      <c r="AI209" s="74">
        <v>21288176.440000001</v>
      </c>
      <c r="AJ209" s="74">
        <v>178200.59</v>
      </c>
      <c r="AK209" s="74">
        <v>48</v>
      </c>
      <c r="AL209" s="74">
        <v>26148002.34</v>
      </c>
      <c r="AM209" s="77">
        <v>0.98575151652398441</v>
      </c>
      <c r="AN209" s="74">
        <v>0</v>
      </c>
      <c r="AO209" s="74">
        <v>0</v>
      </c>
      <c r="AP209" s="74">
        <v>21288176.440000001</v>
      </c>
      <c r="AQ209" s="74">
        <v>178200.59</v>
      </c>
      <c r="AR209" s="74">
        <v>48</v>
      </c>
      <c r="AS209" s="74">
        <v>10388232.16</v>
      </c>
      <c r="AT209" s="77">
        <v>0.3916251602157087</v>
      </c>
      <c r="AU209" s="74">
        <v>0</v>
      </c>
      <c r="AV209" s="74">
        <v>0</v>
      </c>
      <c r="AW209" s="74">
        <v>4713184.13</v>
      </c>
      <c r="AX209" s="74">
        <v>22511.089999999997</v>
      </c>
      <c r="AY209" s="74">
        <v>19</v>
      </c>
      <c r="AZ209" s="74">
        <v>19982115.649999987</v>
      </c>
      <c r="BA209" s="77">
        <v>0.75330423139870084</v>
      </c>
      <c r="BB209" s="74">
        <v>0</v>
      </c>
      <c r="BC209" s="74">
        <v>0</v>
      </c>
      <c r="BD209" s="74">
        <v>9559822.8300000019</v>
      </c>
      <c r="BE209" s="74">
        <v>43159.149999999994</v>
      </c>
    </row>
    <row r="210" spans="1:57" ht="33.950000000000003" customHeight="1" x14ac:dyDescent="0.3">
      <c r="A210" s="34">
        <v>5</v>
      </c>
      <c r="B210" s="34" t="s">
        <v>393</v>
      </c>
      <c r="C210" s="34" t="s">
        <v>1037</v>
      </c>
      <c r="D210" s="34" t="s">
        <v>790</v>
      </c>
      <c r="E210" s="34" t="s">
        <v>791</v>
      </c>
      <c r="F210" s="34" t="s">
        <v>792</v>
      </c>
      <c r="G210" s="34" t="s">
        <v>793</v>
      </c>
      <c r="H210" s="73" t="s">
        <v>800</v>
      </c>
      <c r="I210" s="39" t="s">
        <v>296</v>
      </c>
      <c r="J210" s="39" t="s">
        <v>1043</v>
      </c>
      <c r="K210" s="39" t="s">
        <v>429</v>
      </c>
      <c r="L210" s="36" t="s">
        <v>801</v>
      </c>
      <c r="M210" s="37" t="s">
        <v>440</v>
      </c>
      <c r="N210" s="38"/>
      <c r="O210" s="37" t="s">
        <v>39</v>
      </c>
      <c r="P210" s="37" t="s">
        <v>414</v>
      </c>
      <c r="Q210" s="74">
        <v>15529500</v>
      </c>
      <c r="R210" s="74" t="s">
        <v>429</v>
      </c>
      <c r="S210" s="74">
        <v>18270000</v>
      </c>
      <c r="T210" s="74"/>
      <c r="U210" s="75"/>
      <c r="V210" s="74"/>
      <c r="W210" s="80"/>
      <c r="X210" s="74">
        <v>15527014</v>
      </c>
      <c r="Y210" s="76">
        <v>0.99983991757622592</v>
      </c>
      <c r="Z210" s="74">
        <v>0</v>
      </c>
      <c r="AA210" s="74">
        <v>0</v>
      </c>
      <c r="AB210" s="74">
        <v>2636332.35</v>
      </c>
      <c r="AC210" s="74">
        <v>100234.23000000001</v>
      </c>
      <c r="AD210" s="74">
        <v>10</v>
      </c>
      <c r="AE210" s="74">
        <v>15527014</v>
      </c>
      <c r="AF210" s="76">
        <v>0.99983991757622592</v>
      </c>
      <c r="AG210" s="74">
        <v>0</v>
      </c>
      <c r="AH210" s="74">
        <v>0</v>
      </c>
      <c r="AI210" s="74">
        <v>2636332.35</v>
      </c>
      <c r="AJ210" s="74">
        <v>100234.23000000001</v>
      </c>
      <c r="AK210" s="74">
        <v>10</v>
      </c>
      <c r="AL210" s="74">
        <v>15527014</v>
      </c>
      <c r="AM210" s="77">
        <v>0.99983991757622592</v>
      </c>
      <c r="AN210" s="74">
        <v>0</v>
      </c>
      <c r="AO210" s="74">
        <v>0</v>
      </c>
      <c r="AP210" s="74">
        <v>2636332.35</v>
      </c>
      <c r="AQ210" s="74">
        <v>100234.23000000001</v>
      </c>
      <c r="AR210" s="74">
        <v>10</v>
      </c>
      <c r="AS210" s="74">
        <v>0</v>
      </c>
      <c r="AT210" s="77">
        <v>0</v>
      </c>
      <c r="AU210" s="74">
        <v>0</v>
      </c>
      <c r="AV210" s="74">
        <v>0</v>
      </c>
      <c r="AW210" s="74">
        <v>0</v>
      </c>
      <c r="AX210" s="74">
        <v>0</v>
      </c>
      <c r="AY210" s="74">
        <v>0</v>
      </c>
      <c r="AZ210" s="74">
        <v>2228011.62</v>
      </c>
      <c r="BA210" s="77">
        <v>0.14346963005892013</v>
      </c>
      <c r="BB210" s="74">
        <v>0</v>
      </c>
      <c r="BC210" s="74">
        <v>0</v>
      </c>
      <c r="BD210" s="74">
        <v>111926.95999999999</v>
      </c>
      <c r="BE210" s="74">
        <v>14520.15</v>
      </c>
    </row>
    <row r="211" spans="1:57" ht="33.950000000000003" customHeight="1" x14ac:dyDescent="0.3">
      <c r="A211" s="34">
        <v>5</v>
      </c>
      <c r="B211" s="34" t="s">
        <v>393</v>
      </c>
      <c r="C211" s="34" t="s">
        <v>1037</v>
      </c>
      <c r="D211" s="34" t="s">
        <v>790</v>
      </c>
      <c r="E211" s="34" t="s">
        <v>791</v>
      </c>
      <c r="F211" s="34" t="s">
        <v>792</v>
      </c>
      <c r="G211" s="34" t="s">
        <v>793</v>
      </c>
      <c r="H211" s="73" t="s">
        <v>802</v>
      </c>
      <c r="I211" s="39" t="s">
        <v>297</v>
      </c>
      <c r="J211" s="39" t="s">
        <v>1044</v>
      </c>
      <c r="K211" s="39" t="s">
        <v>434</v>
      </c>
      <c r="L211" s="36" t="s">
        <v>803</v>
      </c>
      <c r="M211" s="37">
        <v>1</v>
      </c>
      <c r="N211" s="38"/>
      <c r="O211" s="37" t="s">
        <v>39</v>
      </c>
      <c r="P211" s="37" t="s">
        <v>410</v>
      </c>
      <c r="Q211" s="74">
        <v>20082491</v>
      </c>
      <c r="R211" s="74">
        <v>2365577</v>
      </c>
      <c r="S211" s="74">
        <v>26558771</v>
      </c>
      <c r="T211" s="74"/>
      <c r="U211" s="75"/>
      <c r="V211" s="74"/>
      <c r="W211" s="80"/>
      <c r="X211" s="74">
        <v>22448069.300000001</v>
      </c>
      <c r="Y211" s="76">
        <v>1.1177930715865876</v>
      </c>
      <c r="Z211" s="74">
        <v>2939089.05</v>
      </c>
      <c r="AA211" s="74">
        <v>0</v>
      </c>
      <c r="AB211" s="74">
        <v>3781707</v>
      </c>
      <c r="AC211" s="74">
        <v>0</v>
      </c>
      <c r="AD211" s="74">
        <v>4</v>
      </c>
      <c r="AE211" s="74">
        <v>22448069.300000001</v>
      </c>
      <c r="AF211" s="76">
        <v>1.1177930715865876</v>
      </c>
      <c r="AG211" s="74">
        <v>2939089.05</v>
      </c>
      <c r="AH211" s="74">
        <v>0</v>
      </c>
      <c r="AI211" s="74">
        <v>3781707</v>
      </c>
      <c r="AJ211" s="74">
        <v>0</v>
      </c>
      <c r="AK211" s="74">
        <v>4</v>
      </c>
      <c r="AL211" s="74">
        <v>22448069.300000001</v>
      </c>
      <c r="AM211" s="77">
        <v>1.1177930715865876</v>
      </c>
      <c r="AN211" s="74">
        <v>2939089.05</v>
      </c>
      <c r="AO211" s="74">
        <v>0</v>
      </c>
      <c r="AP211" s="74">
        <v>3781707</v>
      </c>
      <c r="AQ211" s="74">
        <v>0</v>
      </c>
      <c r="AR211" s="74">
        <v>4</v>
      </c>
      <c r="AS211" s="74">
        <v>1085171.2</v>
      </c>
      <c r="AT211" s="77">
        <v>5.4035687106743877E-2</v>
      </c>
      <c r="AU211" s="74">
        <v>191500.79999999999</v>
      </c>
      <c r="AV211" s="74">
        <v>0</v>
      </c>
      <c r="AW211" s="74">
        <v>0</v>
      </c>
      <c r="AX211" s="74">
        <v>0</v>
      </c>
      <c r="AY211" s="74">
        <v>1</v>
      </c>
      <c r="AZ211" s="74">
        <v>10982887.340000002</v>
      </c>
      <c r="BA211" s="77">
        <v>0.54688869722386535</v>
      </c>
      <c r="BB211" s="74">
        <v>1877196</v>
      </c>
      <c r="BC211" s="74">
        <v>0</v>
      </c>
      <c r="BD211" s="74">
        <v>51422.83</v>
      </c>
      <c r="BE211" s="74">
        <v>0</v>
      </c>
    </row>
    <row r="212" spans="1:57" ht="33.950000000000003" customHeight="1" x14ac:dyDescent="0.3">
      <c r="A212" s="34">
        <v>5</v>
      </c>
      <c r="B212" s="34" t="s">
        <v>393</v>
      </c>
      <c r="C212" s="34" t="s">
        <v>1037</v>
      </c>
      <c r="D212" s="34" t="s">
        <v>790</v>
      </c>
      <c r="E212" s="34" t="s">
        <v>791</v>
      </c>
      <c r="F212" s="34" t="s">
        <v>792</v>
      </c>
      <c r="G212" s="34" t="s">
        <v>793</v>
      </c>
      <c r="H212" s="73" t="s">
        <v>802</v>
      </c>
      <c r="I212" s="39" t="s">
        <v>298</v>
      </c>
      <c r="J212" s="39" t="s">
        <v>1045</v>
      </c>
      <c r="K212" s="39" t="s">
        <v>434</v>
      </c>
      <c r="L212" s="36" t="s">
        <v>803</v>
      </c>
      <c r="M212" s="37">
        <v>2</v>
      </c>
      <c r="N212" s="38"/>
      <c r="O212" s="37" t="s">
        <v>39</v>
      </c>
      <c r="P212" s="37" t="s">
        <v>410</v>
      </c>
      <c r="Q212" s="74">
        <v>8573134</v>
      </c>
      <c r="R212" s="74">
        <v>160869</v>
      </c>
      <c r="S212" s="74">
        <v>12271199</v>
      </c>
      <c r="T212" s="74"/>
      <c r="U212" s="75"/>
      <c r="V212" s="74"/>
      <c r="W212" s="80"/>
      <c r="X212" s="74">
        <v>8734001</v>
      </c>
      <c r="Y212" s="76">
        <v>1.0187640832395715</v>
      </c>
      <c r="Z212" s="74">
        <v>1541295</v>
      </c>
      <c r="AA212" s="74">
        <v>0</v>
      </c>
      <c r="AB212" s="74">
        <v>0</v>
      </c>
      <c r="AC212" s="74">
        <v>0</v>
      </c>
      <c r="AD212" s="74">
        <v>1</v>
      </c>
      <c r="AE212" s="74">
        <v>8734001</v>
      </c>
      <c r="AF212" s="76">
        <v>1.0187640832395715</v>
      </c>
      <c r="AG212" s="74">
        <v>1541295</v>
      </c>
      <c r="AH212" s="74">
        <v>0</v>
      </c>
      <c r="AI212" s="74">
        <v>0</v>
      </c>
      <c r="AJ212" s="74">
        <v>0</v>
      </c>
      <c r="AK212" s="74">
        <v>1</v>
      </c>
      <c r="AL212" s="74">
        <v>8734001</v>
      </c>
      <c r="AM212" s="77">
        <v>1.0187640832395715</v>
      </c>
      <c r="AN212" s="74">
        <v>1541295</v>
      </c>
      <c r="AO212" s="74">
        <v>0</v>
      </c>
      <c r="AP212" s="74">
        <v>0</v>
      </c>
      <c r="AQ212" s="74">
        <v>0</v>
      </c>
      <c r="AR212" s="74">
        <v>1</v>
      </c>
      <c r="AS212" s="74">
        <v>0</v>
      </c>
      <c r="AT212" s="77">
        <v>0</v>
      </c>
      <c r="AU212" s="74">
        <v>0</v>
      </c>
      <c r="AV212" s="74">
        <v>0</v>
      </c>
      <c r="AW212" s="74">
        <v>0</v>
      </c>
      <c r="AX212" s="74">
        <v>0</v>
      </c>
      <c r="AY212" s="74">
        <v>0</v>
      </c>
      <c r="AZ212" s="74">
        <v>3798028.67</v>
      </c>
      <c r="BA212" s="77">
        <v>0.44301519957579105</v>
      </c>
      <c r="BB212" s="74">
        <v>670240.36</v>
      </c>
      <c r="BC212" s="74">
        <v>0</v>
      </c>
      <c r="BD212" s="74">
        <v>0</v>
      </c>
      <c r="BE212" s="74">
        <v>0</v>
      </c>
    </row>
    <row r="213" spans="1:57" ht="33.950000000000003" customHeight="1" x14ac:dyDescent="0.3">
      <c r="A213" s="34">
        <v>5</v>
      </c>
      <c r="B213" s="34" t="s">
        <v>393</v>
      </c>
      <c r="C213" s="34" t="s">
        <v>1037</v>
      </c>
      <c r="D213" s="34" t="s">
        <v>790</v>
      </c>
      <c r="E213" s="34" t="s">
        <v>791</v>
      </c>
      <c r="F213" s="34" t="s">
        <v>792</v>
      </c>
      <c r="G213" s="34" t="s">
        <v>793</v>
      </c>
      <c r="H213" s="73" t="s">
        <v>804</v>
      </c>
      <c r="I213" s="39" t="s">
        <v>299</v>
      </c>
      <c r="J213" s="39" t="s">
        <v>1046</v>
      </c>
      <c r="K213" s="39" t="s">
        <v>429</v>
      </c>
      <c r="L213" s="36" t="s">
        <v>805</v>
      </c>
      <c r="M213" s="37" t="s">
        <v>440</v>
      </c>
      <c r="N213" s="38"/>
      <c r="O213" s="37" t="s">
        <v>39</v>
      </c>
      <c r="P213" s="37" t="s">
        <v>410</v>
      </c>
      <c r="Q213" s="74">
        <v>7395000</v>
      </c>
      <c r="R213" s="74" t="s">
        <v>429</v>
      </c>
      <c r="S213" s="74">
        <v>8700000</v>
      </c>
      <c r="T213" s="74"/>
      <c r="U213" s="75"/>
      <c r="V213" s="74"/>
      <c r="W213" s="80"/>
      <c r="X213" s="74">
        <v>7124045.5499999998</v>
      </c>
      <c r="Y213" s="76">
        <v>0.96335977687626773</v>
      </c>
      <c r="Z213" s="74">
        <v>0</v>
      </c>
      <c r="AA213" s="74">
        <v>0</v>
      </c>
      <c r="AB213" s="74">
        <v>2010361.23</v>
      </c>
      <c r="AC213" s="74">
        <v>0</v>
      </c>
      <c r="AD213" s="74">
        <v>10</v>
      </c>
      <c r="AE213" s="74">
        <v>7124045.5499999998</v>
      </c>
      <c r="AF213" s="76">
        <v>0.96335977687626773</v>
      </c>
      <c r="AG213" s="74">
        <v>0</v>
      </c>
      <c r="AH213" s="74">
        <v>0</v>
      </c>
      <c r="AI213" s="74">
        <v>2010361.23</v>
      </c>
      <c r="AJ213" s="74">
        <v>0</v>
      </c>
      <c r="AK213" s="74">
        <v>10</v>
      </c>
      <c r="AL213" s="74">
        <v>7124045.5499999998</v>
      </c>
      <c r="AM213" s="77">
        <v>0.96335977687626773</v>
      </c>
      <c r="AN213" s="74">
        <v>0</v>
      </c>
      <c r="AO213" s="74">
        <v>0</v>
      </c>
      <c r="AP213" s="74">
        <v>2010361.23</v>
      </c>
      <c r="AQ213" s="74">
        <v>0</v>
      </c>
      <c r="AR213" s="74">
        <v>10</v>
      </c>
      <c r="AS213" s="74">
        <v>0</v>
      </c>
      <c r="AT213" s="77">
        <v>0</v>
      </c>
      <c r="AU213" s="74">
        <v>0</v>
      </c>
      <c r="AV213" s="74">
        <v>0</v>
      </c>
      <c r="AW213" s="74">
        <v>0</v>
      </c>
      <c r="AX213" s="74">
        <v>0</v>
      </c>
      <c r="AY213" s="74">
        <v>0</v>
      </c>
      <c r="AZ213" s="74">
        <v>665743.61999999988</v>
      </c>
      <c r="BA213" s="77">
        <v>9.0026182555780918E-2</v>
      </c>
      <c r="BB213" s="74">
        <v>0</v>
      </c>
      <c r="BC213" s="74">
        <v>0</v>
      </c>
      <c r="BD213" s="74">
        <v>12956.4</v>
      </c>
      <c r="BE213" s="74">
        <v>0</v>
      </c>
    </row>
    <row r="214" spans="1:57" ht="33.950000000000003" customHeight="1" x14ac:dyDescent="0.3">
      <c r="A214" s="34">
        <v>5</v>
      </c>
      <c r="B214" s="34" t="s">
        <v>393</v>
      </c>
      <c r="C214" s="34" t="s">
        <v>1037</v>
      </c>
      <c r="D214" s="34" t="s">
        <v>790</v>
      </c>
      <c r="E214" s="34" t="s">
        <v>791</v>
      </c>
      <c r="F214" s="34" t="s">
        <v>792</v>
      </c>
      <c r="G214" s="34" t="s">
        <v>793</v>
      </c>
      <c r="H214" s="73" t="s">
        <v>806</v>
      </c>
      <c r="I214" s="39" t="s">
        <v>300</v>
      </c>
      <c r="J214" s="39" t="s">
        <v>1047</v>
      </c>
      <c r="K214" s="39" t="s">
        <v>429</v>
      </c>
      <c r="L214" s="36" t="s">
        <v>807</v>
      </c>
      <c r="M214" s="37" t="s">
        <v>440</v>
      </c>
      <c r="N214" s="38"/>
      <c r="O214" s="37" t="s">
        <v>39</v>
      </c>
      <c r="P214" s="37" t="s">
        <v>410</v>
      </c>
      <c r="Q214" s="74">
        <v>14790000</v>
      </c>
      <c r="R214" s="74" t="s">
        <v>429</v>
      </c>
      <c r="S214" s="74">
        <v>17400000</v>
      </c>
      <c r="T214" s="74"/>
      <c r="U214" s="75"/>
      <c r="V214" s="74"/>
      <c r="W214" s="80"/>
      <c r="X214" s="74">
        <v>12457223.280000001</v>
      </c>
      <c r="Y214" s="76">
        <v>0.84227337931034496</v>
      </c>
      <c r="Z214" s="74">
        <v>749996.52</v>
      </c>
      <c r="AA214" s="74">
        <v>0</v>
      </c>
      <c r="AB214" s="74">
        <v>9722757</v>
      </c>
      <c r="AC214" s="74">
        <v>0</v>
      </c>
      <c r="AD214" s="74">
        <v>2</v>
      </c>
      <c r="AE214" s="74">
        <v>12457223.280000001</v>
      </c>
      <c r="AF214" s="76">
        <v>0.84227337931034496</v>
      </c>
      <c r="AG214" s="74">
        <v>749996.52</v>
      </c>
      <c r="AH214" s="74">
        <v>0</v>
      </c>
      <c r="AI214" s="74">
        <v>9722757</v>
      </c>
      <c r="AJ214" s="74">
        <v>0</v>
      </c>
      <c r="AK214" s="74">
        <v>2</v>
      </c>
      <c r="AL214" s="74">
        <v>12457223.280000001</v>
      </c>
      <c r="AM214" s="77">
        <v>0.84227337931034496</v>
      </c>
      <c r="AN214" s="74">
        <v>749996.52</v>
      </c>
      <c r="AO214" s="74">
        <v>0</v>
      </c>
      <c r="AP214" s="74">
        <v>9722757</v>
      </c>
      <c r="AQ214" s="74">
        <v>0</v>
      </c>
      <c r="AR214" s="74">
        <v>2</v>
      </c>
      <c r="AS214" s="74">
        <v>4249980.28</v>
      </c>
      <c r="AT214" s="77">
        <v>0.28735498850574714</v>
      </c>
      <c r="AU214" s="74">
        <v>749996.52</v>
      </c>
      <c r="AV214" s="74">
        <v>0</v>
      </c>
      <c r="AW214" s="74">
        <v>0</v>
      </c>
      <c r="AX214" s="74">
        <v>0</v>
      </c>
      <c r="AY214" s="74">
        <v>1</v>
      </c>
      <c r="AZ214" s="74">
        <v>5094805.54</v>
      </c>
      <c r="BA214" s="77">
        <v>0.3444763718728871</v>
      </c>
      <c r="BB214" s="74">
        <v>749996.52</v>
      </c>
      <c r="BC214" s="74">
        <v>0</v>
      </c>
      <c r="BD214" s="74">
        <v>349549.12</v>
      </c>
      <c r="BE214" s="74">
        <v>0</v>
      </c>
    </row>
    <row r="215" spans="1:57" ht="33.950000000000003" customHeight="1" x14ac:dyDescent="0.3">
      <c r="A215" s="34">
        <v>5</v>
      </c>
      <c r="B215" s="34" t="s">
        <v>393</v>
      </c>
      <c r="C215" s="34" t="s">
        <v>1037</v>
      </c>
      <c r="D215" s="34" t="s">
        <v>808</v>
      </c>
      <c r="E215" s="34" t="s">
        <v>809</v>
      </c>
      <c r="F215" s="34" t="s">
        <v>810</v>
      </c>
      <c r="G215" s="34" t="s">
        <v>809</v>
      </c>
      <c r="H215" s="73" t="s">
        <v>811</v>
      </c>
      <c r="I215" s="39" t="s">
        <v>301</v>
      </c>
      <c r="J215" s="39" t="s">
        <v>1048</v>
      </c>
      <c r="K215" s="39" t="s">
        <v>429</v>
      </c>
      <c r="L215" s="36" t="s">
        <v>812</v>
      </c>
      <c r="M215" s="37" t="s">
        <v>440</v>
      </c>
      <c r="N215" s="38"/>
      <c r="O215" s="37" t="s">
        <v>39</v>
      </c>
      <c r="P215" s="37" t="s">
        <v>414</v>
      </c>
      <c r="Q215" s="74">
        <v>22196492</v>
      </c>
      <c r="R215" s="74" t="s">
        <v>429</v>
      </c>
      <c r="S215" s="74">
        <v>26113520</v>
      </c>
      <c r="T215" s="74"/>
      <c r="U215" s="75"/>
      <c r="V215" s="74"/>
      <c r="W215" s="80"/>
      <c r="X215" s="74">
        <v>19590122.740000002</v>
      </c>
      <c r="Y215" s="76">
        <v>0.88257742439661191</v>
      </c>
      <c r="Z215" s="74">
        <v>446012.27</v>
      </c>
      <c r="AA215" s="74">
        <v>0</v>
      </c>
      <c r="AB215" s="74">
        <v>9272493.0800000019</v>
      </c>
      <c r="AC215" s="74">
        <v>150255.59</v>
      </c>
      <c r="AD215" s="74">
        <v>64</v>
      </c>
      <c r="AE215" s="74">
        <v>19590122.740000002</v>
      </c>
      <c r="AF215" s="76">
        <v>0.88257742439661191</v>
      </c>
      <c r="AG215" s="74">
        <v>446012.27</v>
      </c>
      <c r="AH215" s="74">
        <v>0</v>
      </c>
      <c r="AI215" s="74">
        <v>9272493.0800000019</v>
      </c>
      <c r="AJ215" s="74">
        <v>150255.59</v>
      </c>
      <c r="AK215" s="74">
        <v>64</v>
      </c>
      <c r="AL215" s="74">
        <v>19590122.740000002</v>
      </c>
      <c r="AM215" s="77">
        <v>0.88257742439661191</v>
      </c>
      <c r="AN215" s="74">
        <v>446012.27</v>
      </c>
      <c r="AO215" s="74">
        <v>0</v>
      </c>
      <c r="AP215" s="74">
        <v>9272493.0800000019</v>
      </c>
      <c r="AQ215" s="74">
        <v>150255.59</v>
      </c>
      <c r="AR215" s="74">
        <v>64</v>
      </c>
      <c r="AS215" s="74">
        <v>23445.48</v>
      </c>
      <c r="AT215" s="77">
        <v>1.0562696123333363E-3</v>
      </c>
      <c r="AU215" s="74">
        <v>4137.4399999999996</v>
      </c>
      <c r="AV215" s="74">
        <v>0</v>
      </c>
      <c r="AW215" s="74">
        <v>0</v>
      </c>
      <c r="AX215" s="74">
        <v>0</v>
      </c>
      <c r="AY215" s="74">
        <v>1</v>
      </c>
      <c r="AZ215" s="74">
        <v>795524.44</v>
      </c>
      <c r="BA215" s="77">
        <v>3.584009761542499E-2</v>
      </c>
      <c r="BB215" s="74">
        <v>7915.66</v>
      </c>
      <c r="BC215" s="74">
        <v>0</v>
      </c>
      <c r="BD215" s="74">
        <v>2403.13</v>
      </c>
      <c r="BE215" s="74">
        <v>0</v>
      </c>
    </row>
    <row r="216" spans="1:57" ht="33.950000000000003" customHeight="1" x14ac:dyDescent="0.3">
      <c r="A216" s="34">
        <v>6</v>
      </c>
      <c r="B216" s="34" t="s">
        <v>395</v>
      </c>
      <c r="C216" s="34" t="s">
        <v>1049</v>
      </c>
      <c r="D216" s="34" t="s">
        <v>813</v>
      </c>
      <c r="E216" s="34" t="s">
        <v>814</v>
      </c>
      <c r="F216" s="34" t="s">
        <v>815</v>
      </c>
      <c r="G216" s="34" t="s">
        <v>816</v>
      </c>
      <c r="H216" s="73" t="s">
        <v>817</v>
      </c>
      <c r="I216" s="39" t="s">
        <v>302</v>
      </c>
      <c r="J216" s="39" t="s">
        <v>1050</v>
      </c>
      <c r="K216" s="39" t="s">
        <v>429</v>
      </c>
      <c r="L216" s="36" t="s">
        <v>818</v>
      </c>
      <c r="M216" s="37">
        <v>1</v>
      </c>
      <c r="N216" s="38"/>
      <c r="O216" s="37" t="s">
        <v>41</v>
      </c>
      <c r="P216" s="37" t="s">
        <v>414</v>
      </c>
      <c r="Q216" s="74">
        <v>1908656</v>
      </c>
      <c r="R216" s="74" t="s">
        <v>429</v>
      </c>
      <c r="S216" s="74">
        <v>1130743</v>
      </c>
      <c r="T216" s="74"/>
      <c r="U216" s="75"/>
      <c r="V216" s="74"/>
      <c r="W216" s="80"/>
      <c r="X216" s="74">
        <v>1908655.62</v>
      </c>
      <c r="Y216" s="76">
        <v>0.99999980090702578</v>
      </c>
      <c r="Z216" s="74">
        <v>336821.58</v>
      </c>
      <c r="AA216" s="74">
        <v>0</v>
      </c>
      <c r="AB216" s="74">
        <v>0</v>
      </c>
      <c r="AC216" s="74">
        <v>0</v>
      </c>
      <c r="AD216" s="74">
        <v>1</v>
      </c>
      <c r="AE216" s="74">
        <v>1908655.62</v>
      </c>
      <c r="AF216" s="76">
        <v>0.99999980090702578</v>
      </c>
      <c r="AG216" s="74">
        <v>336821.58</v>
      </c>
      <c r="AH216" s="74">
        <v>0</v>
      </c>
      <c r="AI216" s="74">
        <v>0</v>
      </c>
      <c r="AJ216" s="74">
        <v>0</v>
      </c>
      <c r="AK216" s="74">
        <v>1</v>
      </c>
      <c r="AL216" s="74">
        <v>1908655.62</v>
      </c>
      <c r="AM216" s="77">
        <v>0.99999980090702578</v>
      </c>
      <c r="AN216" s="74">
        <v>336821.58</v>
      </c>
      <c r="AO216" s="74">
        <v>0</v>
      </c>
      <c r="AP216" s="74">
        <v>0</v>
      </c>
      <c r="AQ216" s="74">
        <v>0</v>
      </c>
      <c r="AR216" s="74">
        <v>1</v>
      </c>
      <c r="AS216" s="74">
        <v>0</v>
      </c>
      <c r="AT216" s="77">
        <v>0</v>
      </c>
      <c r="AU216" s="74">
        <v>0</v>
      </c>
      <c r="AV216" s="74">
        <v>0</v>
      </c>
      <c r="AW216" s="74">
        <v>0</v>
      </c>
      <c r="AX216" s="74">
        <v>0</v>
      </c>
      <c r="AY216" s="74">
        <v>0</v>
      </c>
      <c r="AZ216" s="74">
        <v>163749.66</v>
      </c>
      <c r="BA216" s="77">
        <v>8.5793175931126411E-2</v>
      </c>
      <c r="BB216" s="74">
        <v>28896.99</v>
      </c>
      <c r="BC216" s="74">
        <v>0</v>
      </c>
      <c r="BD216" s="74">
        <v>0</v>
      </c>
      <c r="BE216" s="74">
        <v>0</v>
      </c>
    </row>
    <row r="217" spans="1:57" ht="33.950000000000003" customHeight="1" x14ac:dyDescent="0.3">
      <c r="A217" s="34">
        <v>6</v>
      </c>
      <c r="B217" s="34" t="s">
        <v>395</v>
      </c>
      <c r="C217" s="34" t="s">
        <v>1049</v>
      </c>
      <c r="D217" s="34" t="s">
        <v>813</v>
      </c>
      <c r="E217" s="34" t="s">
        <v>814</v>
      </c>
      <c r="F217" s="34" t="s">
        <v>815</v>
      </c>
      <c r="G217" s="34" t="s">
        <v>816</v>
      </c>
      <c r="H217" s="73" t="s">
        <v>817</v>
      </c>
      <c r="I217" s="39" t="s">
        <v>303</v>
      </c>
      <c r="J217" s="39" t="s">
        <v>1051</v>
      </c>
      <c r="K217" s="39" t="s">
        <v>429</v>
      </c>
      <c r="L217" s="36" t="s">
        <v>818</v>
      </c>
      <c r="M217" s="37">
        <v>2</v>
      </c>
      <c r="N217" s="38"/>
      <c r="O217" s="37" t="s">
        <v>41</v>
      </c>
      <c r="P217" s="37" t="s">
        <v>414</v>
      </c>
      <c r="Q217" s="74">
        <v>871328</v>
      </c>
      <c r="R217" s="74" t="s">
        <v>429</v>
      </c>
      <c r="S217" s="74">
        <v>1025092</v>
      </c>
      <c r="T217" s="74"/>
      <c r="U217" s="75"/>
      <c r="V217" s="74"/>
      <c r="W217" s="80"/>
      <c r="X217" s="74">
        <v>425143.85</v>
      </c>
      <c r="Y217" s="76">
        <v>0.48792630329795433</v>
      </c>
      <c r="Z217" s="74">
        <v>0</v>
      </c>
      <c r="AA217" s="74">
        <v>0</v>
      </c>
      <c r="AB217" s="74">
        <v>75025.38</v>
      </c>
      <c r="AC217" s="74">
        <v>0</v>
      </c>
      <c r="AD217" s="74">
        <v>1</v>
      </c>
      <c r="AE217" s="74">
        <v>425143.85</v>
      </c>
      <c r="AF217" s="76">
        <v>0.48792630329795433</v>
      </c>
      <c r="AG217" s="74">
        <v>0</v>
      </c>
      <c r="AH217" s="74">
        <v>0</v>
      </c>
      <c r="AI217" s="74">
        <v>75025.38</v>
      </c>
      <c r="AJ217" s="74">
        <v>0</v>
      </c>
      <c r="AK217" s="74">
        <v>1</v>
      </c>
      <c r="AL217" s="74">
        <v>425143.85</v>
      </c>
      <c r="AM217" s="77">
        <v>0.48792630329795433</v>
      </c>
      <c r="AN217" s="74">
        <v>0</v>
      </c>
      <c r="AO217" s="74">
        <v>0</v>
      </c>
      <c r="AP217" s="74">
        <v>75025.38</v>
      </c>
      <c r="AQ217" s="74">
        <v>0</v>
      </c>
      <c r="AR217" s="74">
        <v>1</v>
      </c>
      <c r="AS217" s="74">
        <v>0</v>
      </c>
      <c r="AT217" s="77">
        <v>0</v>
      </c>
      <c r="AU217" s="74">
        <v>0</v>
      </c>
      <c r="AV217" s="74">
        <v>0</v>
      </c>
      <c r="AW217" s="74">
        <v>0</v>
      </c>
      <c r="AX217" s="74">
        <v>0</v>
      </c>
      <c r="AY217" s="74">
        <v>0</v>
      </c>
      <c r="AZ217" s="74">
        <v>0</v>
      </c>
      <c r="BA217" s="77">
        <v>0</v>
      </c>
      <c r="BB217" s="74">
        <v>0</v>
      </c>
      <c r="BC217" s="74">
        <v>0</v>
      </c>
      <c r="BD217" s="74">
        <v>0</v>
      </c>
      <c r="BE217" s="74">
        <v>0</v>
      </c>
    </row>
    <row r="218" spans="1:57" ht="33.950000000000003" customHeight="1" x14ac:dyDescent="0.3">
      <c r="A218" s="34">
        <v>6</v>
      </c>
      <c r="B218" s="34" t="s">
        <v>395</v>
      </c>
      <c r="C218" s="34" t="s">
        <v>1049</v>
      </c>
      <c r="D218" s="34" t="s">
        <v>813</v>
      </c>
      <c r="E218" s="34" t="s">
        <v>814</v>
      </c>
      <c r="F218" s="34" t="s">
        <v>815</v>
      </c>
      <c r="G218" s="34" t="s">
        <v>816</v>
      </c>
      <c r="H218" s="73" t="s">
        <v>817</v>
      </c>
      <c r="I218" s="39" t="s">
        <v>304</v>
      </c>
      <c r="J218" s="39" t="s">
        <v>1052</v>
      </c>
      <c r="K218" s="39" t="s">
        <v>429</v>
      </c>
      <c r="L218" s="36" t="s">
        <v>818</v>
      </c>
      <c r="M218" s="37">
        <v>3</v>
      </c>
      <c r="N218" s="38"/>
      <c r="O218" s="37" t="s">
        <v>41</v>
      </c>
      <c r="P218" s="37" t="s">
        <v>414</v>
      </c>
      <c r="Q218" s="74">
        <v>30005000</v>
      </c>
      <c r="R218" s="74" t="s">
        <v>429</v>
      </c>
      <c r="S218" s="74">
        <v>13710550</v>
      </c>
      <c r="T218" s="74"/>
      <c r="U218" s="75"/>
      <c r="V218" s="74"/>
      <c r="W218" s="80"/>
      <c r="X218" s="74">
        <v>5939173.0099999998</v>
      </c>
      <c r="Y218" s="76">
        <v>0.19793944375937342</v>
      </c>
      <c r="Z218" s="74">
        <v>364384.75</v>
      </c>
      <c r="AA218" s="74">
        <v>0</v>
      </c>
      <c r="AB218" s="74">
        <v>0</v>
      </c>
      <c r="AC218" s="74">
        <v>1840791.96</v>
      </c>
      <c r="AD218" s="74">
        <v>1</v>
      </c>
      <c r="AE218" s="74">
        <v>5939173.0099999998</v>
      </c>
      <c r="AF218" s="76">
        <v>0.19793944375937342</v>
      </c>
      <c r="AG218" s="74">
        <v>364384.75</v>
      </c>
      <c r="AH218" s="74">
        <v>0</v>
      </c>
      <c r="AI218" s="74">
        <v>0</v>
      </c>
      <c r="AJ218" s="74">
        <v>1840791.96</v>
      </c>
      <c r="AK218" s="74">
        <v>1</v>
      </c>
      <c r="AL218" s="74">
        <v>5939173.0099999998</v>
      </c>
      <c r="AM218" s="77">
        <v>0.19793944375937342</v>
      </c>
      <c r="AN218" s="74">
        <v>364384.75</v>
      </c>
      <c r="AO218" s="74">
        <v>0</v>
      </c>
      <c r="AP218" s="74">
        <v>0</v>
      </c>
      <c r="AQ218" s="74">
        <v>1840791.96</v>
      </c>
      <c r="AR218" s="74">
        <v>1</v>
      </c>
      <c r="AS218" s="74">
        <v>0</v>
      </c>
      <c r="AT218" s="77">
        <v>0</v>
      </c>
      <c r="AU218" s="74">
        <v>0</v>
      </c>
      <c r="AV218" s="74">
        <v>0</v>
      </c>
      <c r="AW218" s="74">
        <v>0</v>
      </c>
      <c r="AX218" s="74">
        <v>0</v>
      </c>
      <c r="AY218" s="74">
        <v>0</v>
      </c>
      <c r="AZ218" s="74">
        <v>0</v>
      </c>
      <c r="BA218" s="77">
        <v>0</v>
      </c>
      <c r="BB218" s="74">
        <v>0</v>
      </c>
      <c r="BC218" s="74">
        <v>0</v>
      </c>
      <c r="BD218" s="74">
        <v>0</v>
      </c>
      <c r="BE218" s="74">
        <v>0</v>
      </c>
    </row>
    <row r="219" spans="1:57" ht="33.950000000000003" customHeight="1" x14ac:dyDescent="0.3">
      <c r="A219" s="34">
        <v>6</v>
      </c>
      <c r="B219" s="34" t="s">
        <v>395</v>
      </c>
      <c r="C219" s="34" t="s">
        <v>1049</v>
      </c>
      <c r="D219" s="34" t="s">
        <v>813</v>
      </c>
      <c r="E219" s="34" t="s">
        <v>814</v>
      </c>
      <c r="F219" s="34" t="s">
        <v>815</v>
      </c>
      <c r="G219" s="34" t="s">
        <v>816</v>
      </c>
      <c r="H219" s="73" t="s">
        <v>817</v>
      </c>
      <c r="I219" s="39" t="s">
        <v>305</v>
      </c>
      <c r="J219" s="39" t="s">
        <v>1053</v>
      </c>
      <c r="K219" s="39" t="s">
        <v>429</v>
      </c>
      <c r="L219" s="36" t="s">
        <v>818</v>
      </c>
      <c r="M219" s="37">
        <v>4</v>
      </c>
      <c r="N219" s="38"/>
      <c r="O219" s="37" t="s">
        <v>41</v>
      </c>
      <c r="P219" s="37" t="s">
        <v>414</v>
      </c>
      <c r="Q219" s="74">
        <v>2007407</v>
      </c>
      <c r="R219" s="74" t="s">
        <v>429</v>
      </c>
      <c r="S219" s="74">
        <v>2361656</v>
      </c>
      <c r="T219" s="74"/>
      <c r="U219" s="75"/>
      <c r="V219" s="74"/>
      <c r="W219" s="80"/>
      <c r="X219" s="74">
        <v>0</v>
      </c>
      <c r="Y219" s="76">
        <v>0</v>
      </c>
      <c r="Z219" s="74">
        <v>0</v>
      </c>
      <c r="AA219" s="74">
        <v>0</v>
      </c>
      <c r="AB219" s="74">
        <v>0</v>
      </c>
      <c r="AC219" s="74">
        <v>0</v>
      </c>
      <c r="AD219" s="74">
        <v>0</v>
      </c>
      <c r="AE219" s="74">
        <v>0</v>
      </c>
      <c r="AF219" s="76">
        <v>0</v>
      </c>
      <c r="AG219" s="74">
        <v>0</v>
      </c>
      <c r="AH219" s="74">
        <v>0</v>
      </c>
      <c r="AI219" s="74">
        <v>0</v>
      </c>
      <c r="AJ219" s="74">
        <v>0</v>
      </c>
      <c r="AK219" s="74">
        <v>0</v>
      </c>
      <c r="AL219" s="74">
        <v>0</v>
      </c>
      <c r="AM219" s="77">
        <v>0</v>
      </c>
      <c r="AN219" s="74">
        <v>0</v>
      </c>
      <c r="AO219" s="74">
        <v>0</v>
      </c>
      <c r="AP219" s="74">
        <v>0</v>
      </c>
      <c r="AQ219" s="74">
        <v>0</v>
      </c>
      <c r="AR219" s="74">
        <v>0</v>
      </c>
      <c r="AS219" s="74">
        <v>0</v>
      </c>
      <c r="AT219" s="77">
        <v>0</v>
      </c>
      <c r="AU219" s="74">
        <v>0</v>
      </c>
      <c r="AV219" s="74">
        <v>0</v>
      </c>
      <c r="AW219" s="74">
        <v>0</v>
      </c>
      <c r="AX219" s="74">
        <v>0</v>
      </c>
      <c r="AY219" s="74">
        <v>0</v>
      </c>
      <c r="AZ219" s="74">
        <v>0</v>
      </c>
      <c r="BA219" s="77">
        <v>0</v>
      </c>
      <c r="BB219" s="74">
        <v>0</v>
      </c>
      <c r="BC219" s="74">
        <v>0</v>
      </c>
      <c r="BD219" s="74">
        <v>0</v>
      </c>
      <c r="BE219" s="74">
        <v>0</v>
      </c>
    </row>
    <row r="220" spans="1:57" ht="33.950000000000003" customHeight="1" x14ac:dyDescent="0.3">
      <c r="A220" s="34">
        <v>6</v>
      </c>
      <c r="B220" s="34" t="s">
        <v>395</v>
      </c>
      <c r="C220" s="34" t="s">
        <v>1049</v>
      </c>
      <c r="D220" s="34" t="s">
        <v>813</v>
      </c>
      <c r="E220" s="34" t="s">
        <v>814</v>
      </c>
      <c r="F220" s="34" t="s">
        <v>815</v>
      </c>
      <c r="G220" s="34" t="s">
        <v>816</v>
      </c>
      <c r="H220" s="73" t="s">
        <v>817</v>
      </c>
      <c r="I220" s="39" t="s">
        <v>306</v>
      </c>
      <c r="J220" s="39" t="s">
        <v>1054</v>
      </c>
      <c r="K220" s="39" t="s">
        <v>429</v>
      </c>
      <c r="L220" s="36" t="s">
        <v>818</v>
      </c>
      <c r="M220" s="37">
        <v>5</v>
      </c>
      <c r="N220" s="38"/>
      <c r="O220" s="37" t="s">
        <v>41</v>
      </c>
      <c r="P220" s="37" t="s">
        <v>414</v>
      </c>
      <c r="Q220" s="74">
        <v>14123672</v>
      </c>
      <c r="R220" s="74" t="s">
        <v>429</v>
      </c>
      <c r="S220" s="74">
        <v>17730820</v>
      </c>
      <c r="T220" s="74"/>
      <c r="U220" s="75"/>
      <c r="V220" s="74"/>
      <c r="W220" s="80"/>
      <c r="X220" s="74">
        <v>0</v>
      </c>
      <c r="Y220" s="76">
        <v>0</v>
      </c>
      <c r="Z220" s="74">
        <v>0</v>
      </c>
      <c r="AA220" s="74">
        <v>0</v>
      </c>
      <c r="AB220" s="74">
        <v>0</v>
      </c>
      <c r="AC220" s="74">
        <v>0</v>
      </c>
      <c r="AD220" s="74">
        <v>0</v>
      </c>
      <c r="AE220" s="74">
        <v>0</v>
      </c>
      <c r="AF220" s="76">
        <v>0</v>
      </c>
      <c r="AG220" s="74">
        <v>0</v>
      </c>
      <c r="AH220" s="74">
        <v>0</v>
      </c>
      <c r="AI220" s="74">
        <v>0</v>
      </c>
      <c r="AJ220" s="74">
        <v>0</v>
      </c>
      <c r="AK220" s="74">
        <v>0</v>
      </c>
      <c r="AL220" s="74">
        <v>0</v>
      </c>
      <c r="AM220" s="77">
        <v>0</v>
      </c>
      <c r="AN220" s="74">
        <v>0</v>
      </c>
      <c r="AO220" s="74">
        <v>0</v>
      </c>
      <c r="AP220" s="74">
        <v>0</v>
      </c>
      <c r="AQ220" s="74">
        <v>0</v>
      </c>
      <c r="AR220" s="74">
        <v>0</v>
      </c>
      <c r="AS220" s="74">
        <v>0</v>
      </c>
      <c r="AT220" s="77">
        <v>0</v>
      </c>
      <c r="AU220" s="74">
        <v>0</v>
      </c>
      <c r="AV220" s="74">
        <v>0</v>
      </c>
      <c r="AW220" s="74">
        <v>0</v>
      </c>
      <c r="AX220" s="74">
        <v>0</v>
      </c>
      <c r="AY220" s="74">
        <v>0</v>
      </c>
      <c r="AZ220" s="74">
        <v>0</v>
      </c>
      <c r="BA220" s="77">
        <v>0</v>
      </c>
      <c r="BB220" s="74">
        <v>0</v>
      </c>
      <c r="BC220" s="74">
        <v>0</v>
      </c>
      <c r="BD220" s="74">
        <v>0</v>
      </c>
      <c r="BE220" s="74">
        <v>0</v>
      </c>
    </row>
    <row r="221" spans="1:57" ht="33.950000000000003" customHeight="1" x14ac:dyDescent="0.3">
      <c r="A221" s="34">
        <v>6</v>
      </c>
      <c r="B221" s="34" t="s">
        <v>395</v>
      </c>
      <c r="C221" s="34" t="s">
        <v>1049</v>
      </c>
      <c r="D221" s="34" t="s">
        <v>813</v>
      </c>
      <c r="E221" s="34" t="s">
        <v>814</v>
      </c>
      <c r="F221" s="34" t="s">
        <v>815</v>
      </c>
      <c r="G221" s="34" t="s">
        <v>816</v>
      </c>
      <c r="H221" s="73" t="s">
        <v>819</v>
      </c>
      <c r="I221" s="39" t="s">
        <v>307</v>
      </c>
      <c r="J221" s="39" t="s">
        <v>1055</v>
      </c>
      <c r="K221" s="39" t="s">
        <v>429</v>
      </c>
      <c r="L221" s="36" t="s">
        <v>820</v>
      </c>
      <c r="M221" s="37" t="s">
        <v>440</v>
      </c>
      <c r="N221" s="38"/>
      <c r="O221" s="37" t="s">
        <v>41</v>
      </c>
      <c r="P221" s="37" t="s">
        <v>408</v>
      </c>
      <c r="Q221" s="74">
        <v>5083937</v>
      </c>
      <c r="R221" s="74" t="s">
        <v>429</v>
      </c>
      <c r="S221" s="74">
        <v>5981103</v>
      </c>
      <c r="T221" s="74"/>
      <c r="U221" s="75"/>
      <c r="V221" s="74"/>
      <c r="W221" s="80"/>
      <c r="X221" s="74">
        <v>4750025</v>
      </c>
      <c r="Y221" s="76">
        <v>0.93432019318886128</v>
      </c>
      <c r="Z221" s="74">
        <v>838240</v>
      </c>
      <c r="AA221" s="74">
        <v>0</v>
      </c>
      <c r="AB221" s="74">
        <v>0</v>
      </c>
      <c r="AC221" s="74">
        <v>0</v>
      </c>
      <c r="AD221" s="74">
        <v>1</v>
      </c>
      <c r="AE221" s="74">
        <v>4750025</v>
      </c>
      <c r="AF221" s="76">
        <v>0.93432019318886128</v>
      </c>
      <c r="AG221" s="74">
        <v>838240</v>
      </c>
      <c r="AH221" s="74">
        <v>0</v>
      </c>
      <c r="AI221" s="74">
        <v>0</v>
      </c>
      <c r="AJ221" s="74">
        <v>0</v>
      </c>
      <c r="AK221" s="74">
        <v>1</v>
      </c>
      <c r="AL221" s="74">
        <v>4750025</v>
      </c>
      <c r="AM221" s="77">
        <v>0.93432019318886128</v>
      </c>
      <c r="AN221" s="74">
        <v>838240</v>
      </c>
      <c r="AO221" s="74">
        <v>0</v>
      </c>
      <c r="AP221" s="74">
        <v>0</v>
      </c>
      <c r="AQ221" s="74">
        <v>0</v>
      </c>
      <c r="AR221" s="74">
        <v>1</v>
      </c>
      <c r="AS221" s="74">
        <v>0</v>
      </c>
      <c r="AT221" s="77">
        <v>0</v>
      </c>
      <c r="AU221" s="74">
        <v>0</v>
      </c>
      <c r="AV221" s="74">
        <v>0</v>
      </c>
      <c r="AW221" s="74">
        <v>0</v>
      </c>
      <c r="AX221" s="74">
        <v>0</v>
      </c>
      <c r="AY221" s="74">
        <v>0</v>
      </c>
      <c r="AZ221" s="74">
        <v>1108634.32</v>
      </c>
      <c r="BA221" s="77">
        <v>0.21806610113382602</v>
      </c>
      <c r="BB221" s="74">
        <v>195641.34999999998</v>
      </c>
      <c r="BC221" s="74">
        <v>0</v>
      </c>
      <c r="BD221" s="74">
        <v>0</v>
      </c>
      <c r="BE221" s="74">
        <v>0</v>
      </c>
    </row>
    <row r="222" spans="1:57" ht="33.950000000000003" customHeight="1" x14ac:dyDescent="0.3">
      <c r="A222" s="34">
        <v>6</v>
      </c>
      <c r="B222" s="34" t="s">
        <v>395</v>
      </c>
      <c r="C222" s="34" t="s">
        <v>1049</v>
      </c>
      <c r="D222" s="34" t="s">
        <v>813</v>
      </c>
      <c r="E222" s="34" t="s">
        <v>814</v>
      </c>
      <c r="F222" s="34" t="s">
        <v>815</v>
      </c>
      <c r="G222" s="34" t="s">
        <v>816</v>
      </c>
      <c r="H222" s="73" t="s">
        <v>821</v>
      </c>
      <c r="I222" s="39" t="s">
        <v>308</v>
      </c>
      <c r="J222" s="39" t="s">
        <v>1056</v>
      </c>
      <c r="K222" s="39" t="s">
        <v>429</v>
      </c>
      <c r="L222" s="36" t="s">
        <v>822</v>
      </c>
      <c r="M222" s="37">
        <v>1</v>
      </c>
      <c r="N222" s="38"/>
      <c r="O222" s="37" t="s">
        <v>41</v>
      </c>
      <c r="P222" s="37" t="s">
        <v>414</v>
      </c>
      <c r="Q222" s="74">
        <v>42376501</v>
      </c>
      <c r="R222" s="74" t="s">
        <v>429</v>
      </c>
      <c r="S222" s="74">
        <v>49854708</v>
      </c>
      <c r="T222" s="74"/>
      <c r="U222" s="75"/>
      <c r="V222" s="74"/>
      <c r="W222" s="80"/>
      <c r="X222" s="74">
        <v>41558838.43</v>
      </c>
      <c r="Y222" s="76">
        <v>0.98070481161245471</v>
      </c>
      <c r="Z222" s="74">
        <v>0</v>
      </c>
      <c r="AA222" s="74">
        <v>0</v>
      </c>
      <c r="AB222" s="74">
        <v>7116793.9799999995</v>
      </c>
      <c r="AC222" s="74">
        <v>3567996.27</v>
      </c>
      <c r="AD222" s="74">
        <v>20</v>
      </c>
      <c r="AE222" s="74">
        <v>41558838.43</v>
      </c>
      <c r="AF222" s="76">
        <v>0.98070481161245471</v>
      </c>
      <c r="AG222" s="74">
        <v>0</v>
      </c>
      <c r="AH222" s="74">
        <v>0</v>
      </c>
      <c r="AI222" s="74">
        <v>7116793.9799999995</v>
      </c>
      <c r="AJ222" s="74">
        <v>3567996.27</v>
      </c>
      <c r="AK222" s="74">
        <v>20</v>
      </c>
      <c r="AL222" s="74">
        <v>41558838.43</v>
      </c>
      <c r="AM222" s="77">
        <v>0.98070481161245471</v>
      </c>
      <c r="AN222" s="74">
        <v>0</v>
      </c>
      <c r="AO222" s="74">
        <v>0</v>
      </c>
      <c r="AP222" s="74">
        <v>7116793.9799999995</v>
      </c>
      <c r="AQ222" s="74">
        <v>3567996.27</v>
      </c>
      <c r="AR222" s="74">
        <v>20</v>
      </c>
      <c r="AS222" s="74">
        <v>10001812.040000001</v>
      </c>
      <c r="AT222" s="77">
        <v>0.236022602243635</v>
      </c>
      <c r="AU222" s="74">
        <v>0</v>
      </c>
      <c r="AV222" s="74">
        <v>0</v>
      </c>
      <c r="AW222" s="74">
        <v>1694938.09</v>
      </c>
      <c r="AX222" s="74">
        <v>117668.90000000001</v>
      </c>
      <c r="AY222" s="74">
        <v>6</v>
      </c>
      <c r="AZ222" s="74">
        <v>27154326.039999999</v>
      </c>
      <c r="BA222" s="77">
        <v>0.64078735618120053</v>
      </c>
      <c r="BB222" s="74">
        <v>0</v>
      </c>
      <c r="BC222" s="74">
        <v>0</v>
      </c>
      <c r="BD222" s="74">
        <v>3719606.3100000015</v>
      </c>
      <c r="BE222" s="74">
        <v>1588415.56</v>
      </c>
    </row>
    <row r="223" spans="1:57" ht="33.950000000000003" customHeight="1" x14ac:dyDescent="0.3">
      <c r="A223" s="34">
        <v>6</v>
      </c>
      <c r="B223" s="34" t="s">
        <v>395</v>
      </c>
      <c r="C223" s="34" t="s">
        <v>1049</v>
      </c>
      <c r="D223" s="34" t="s">
        <v>813</v>
      </c>
      <c r="E223" s="34" t="s">
        <v>814</v>
      </c>
      <c r="F223" s="34" t="s">
        <v>815</v>
      </c>
      <c r="G223" s="34" t="s">
        <v>816</v>
      </c>
      <c r="H223" s="73" t="s">
        <v>821</v>
      </c>
      <c r="I223" s="39" t="s">
        <v>309</v>
      </c>
      <c r="J223" s="39" t="s">
        <v>1057</v>
      </c>
      <c r="K223" s="39" t="s">
        <v>429</v>
      </c>
      <c r="L223" s="36" t="s">
        <v>822</v>
      </c>
      <c r="M223" s="37">
        <v>2</v>
      </c>
      <c r="N223" s="38"/>
      <c r="O223" s="37" t="s">
        <v>41</v>
      </c>
      <c r="P223" s="37" t="s">
        <v>414</v>
      </c>
      <c r="Q223" s="74">
        <v>21602496</v>
      </c>
      <c r="R223" s="74" t="s">
        <v>429</v>
      </c>
      <c r="S223" s="74">
        <v>25414702</v>
      </c>
      <c r="T223" s="74"/>
      <c r="U223" s="75"/>
      <c r="V223" s="74"/>
      <c r="W223" s="80"/>
      <c r="X223" s="74">
        <v>21894148.889999997</v>
      </c>
      <c r="Y223" s="76">
        <v>1.0135008885084389</v>
      </c>
      <c r="Z223" s="74">
        <v>0</v>
      </c>
      <c r="AA223" s="74">
        <v>0</v>
      </c>
      <c r="AB223" s="74">
        <v>3915427.14</v>
      </c>
      <c r="AC223" s="74">
        <v>6567033.9699999997</v>
      </c>
      <c r="AD223" s="74">
        <v>10</v>
      </c>
      <c r="AE223" s="74">
        <v>0</v>
      </c>
      <c r="AF223" s="76">
        <v>0</v>
      </c>
      <c r="AG223" s="74">
        <v>0</v>
      </c>
      <c r="AH223" s="74">
        <v>0</v>
      </c>
      <c r="AI223" s="74">
        <v>0</v>
      </c>
      <c r="AJ223" s="74">
        <v>0</v>
      </c>
      <c r="AK223" s="74">
        <v>0</v>
      </c>
      <c r="AL223" s="74">
        <v>0</v>
      </c>
      <c r="AM223" s="77">
        <v>0</v>
      </c>
      <c r="AN223" s="74">
        <v>0</v>
      </c>
      <c r="AO223" s="74">
        <v>0</v>
      </c>
      <c r="AP223" s="74">
        <v>0</v>
      </c>
      <c r="AQ223" s="74">
        <v>0</v>
      </c>
      <c r="AR223" s="74">
        <v>0</v>
      </c>
      <c r="AS223" s="74">
        <v>0</v>
      </c>
      <c r="AT223" s="77">
        <v>0</v>
      </c>
      <c r="AU223" s="74">
        <v>0</v>
      </c>
      <c r="AV223" s="74">
        <v>0</v>
      </c>
      <c r="AW223" s="74">
        <v>0</v>
      </c>
      <c r="AX223" s="74">
        <v>0</v>
      </c>
      <c r="AY223" s="74">
        <v>0</v>
      </c>
      <c r="AZ223" s="74">
        <v>0</v>
      </c>
      <c r="BA223" s="77">
        <v>0</v>
      </c>
      <c r="BB223" s="74">
        <v>0</v>
      </c>
      <c r="BC223" s="74">
        <v>0</v>
      </c>
      <c r="BD223" s="74">
        <v>0</v>
      </c>
      <c r="BE223" s="74">
        <v>0</v>
      </c>
    </row>
    <row r="224" spans="1:57" ht="33.950000000000003" customHeight="1" x14ac:dyDescent="0.3">
      <c r="A224" s="34">
        <v>6</v>
      </c>
      <c r="B224" s="34" t="s">
        <v>395</v>
      </c>
      <c r="C224" s="34" t="s">
        <v>1049</v>
      </c>
      <c r="D224" s="34" t="s">
        <v>813</v>
      </c>
      <c r="E224" s="34" t="s">
        <v>814</v>
      </c>
      <c r="F224" s="34" t="s">
        <v>815</v>
      </c>
      <c r="G224" s="34" t="s">
        <v>816</v>
      </c>
      <c r="H224" s="73" t="s">
        <v>823</v>
      </c>
      <c r="I224" s="39" t="s">
        <v>310</v>
      </c>
      <c r="J224" s="39" t="s">
        <v>1058</v>
      </c>
      <c r="K224" s="39" t="s">
        <v>422</v>
      </c>
      <c r="L224" s="36" t="s">
        <v>433</v>
      </c>
      <c r="M224" s="37" t="s">
        <v>440</v>
      </c>
      <c r="N224" s="38"/>
      <c r="O224" s="37" t="s">
        <v>41</v>
      </c>
      <c r="P224" s="37" t="s">
        <v>406</v>
      </c>
      <c r="Q224" s="74">
        <v>35298850</v>
      </c>
      <c r="R224" s="74" t="s">
        <v>429</v>
      </c>
      <c r="S224" s="74">
        <v>41528059</v>
      </c>
      <c r="T224" s="74"/>
      <c r="U224" s="75"/>
      <c r="V224" s="74"/>
      <c r="W224" s="80"/>
      <c r="X224" s="74">
        <v>35298850</v>
      </c>
      <c r="Y224" s="76">
        <v>1</v>
      </c>
      <c r="Z224" s="74">
        <v>6229209</v>
      </c>
      <c r="AA224" s="74">
        <v>0</v>
      </c>
      <c r="AB224" s="74">
        <v>0</v>
      </c>
      <c r="AC224" s="74">
        <v>0</v>
      </c>
      <c r="AD224" s="74">
        <v>1</v>
      </c>
      <c r="AE224" s="74">
        <v>35298850</v>
      </c>
      <c r="AF224" s="76">
        <v>1</v>
      </c>
      <c r="AG224" s="74">
        <v>6229209</v>
      </c>
      <c r="AH224" s="74">
        <v>0</v>
      </c>
      <c r="AI224" s="74">
        <v>0</v>
      </c>
      <c r="AJ224" s="74">
        <v>0</v>
      </c>
      <c r="AK224" s="74">
        <v>1</v>
      </c>
      <c r="AL224" s="74">
        <v>35298850</v>
      </c>
      <c r="AM224" s="77">
        <v>1</v>
      </c>
      <c r="AN224" s="74">
        <v>6229209</v>
      </c>
      <c r="AO224" s="74">
        <v>0</v>
      </c>
      <c r="AP224" s="74">
        <v>0</v>
      </c>
      <c r="AQ224" s="74">
        <v>0</v>
      </c>
      <c r="AR224" s="74">
        <v>1</v>
      </c>
      <c r="AS224" s="74">
        <v>0</v>
      </c>
      <c r="AT224" s="77">
        <v>0</v>
      </c>
      <c r="AU224" s="74">
        <v>0</v>
      </c>
      <c r="AV224" s="74">
        <v>0</v>
      </c>
      <c r="AW224" s="74">
        <v>0</v>
      </c>
      <c r="AX224" s="74">
        <v>0</v>
      </c>
      <c r="AY224" s="74">
        <v>0</v>
      </c>
      <c r="AZ224" s="74">
        <v>10589655.039999999</v>
      </c>
      <c r="BA224" s="77">
        <v>0.30000000113318137</v>
      </c>
      <c r="BB224" s="74">
        <v>1868762.66</v>
      </c>
      <c r="BC224" s="74">
        <v>0</v>
      </c>
      <c r="BD224" s="74">
        <v>0</v>
      </c>
      <c r="BE224" s="74">
        <v>0</v>
      </c>
    </row>
    <row r="225" spans="1:57" ht="33.950000000000003" customHeight="1" x14ac:dyDescent="0.3">
      <c r="A225" s="34">
        <v>6</v>
      </c>
      <c r="B225" s="34" t="s">
        <v>395</v>
      </c>
      <c r="C225" s="34" t="s">
        <v>1049</v>
      </c>
      <c r="D225" s="34" t="s">
        <v>813</v>
      </c>
      <c r="E225" s="34" t="s">
        <v>814</v>
      </c>
      <c r="F225" s="34" t="s">
        <v>815</v>
      </c>
      <c r="G225" s="34" t="s">
        <v>816</v>
      </c>
      <c r="H225" s="73" t="s">
        <v>824</v>
      </c>
      <c r="I225" s="39" t="s">
        <v>311</v>
      </c>
      <c r="J225" s="39" t="s">
        <v>1059</v>
      </c>
      <c r="K225" s="39" t="s">
        <v>429</v>
      </c>
      <c r="L225" s="36" t="s">
        <v>825</v>
      </c>
      <c r="M225" s="37" t="s">
        <v>440</v>
      </c>
      <c r="N225" s="38"/>
      <c r="O225" s="37" t="s">
        <v>41</v>
      </c>
      <c r="P225" s="37" t="s">
        <v>408</v>
      </c>
      <c r="Q225" s="74">
        <v>16946467</v>
      </c>
      <c r="R225" s="74" t="s">
        <v>429</v>
      </c>
      <c r="S225" s="74">
        <v>19937020</v>
      </c>
      <c r="T225" s="74"/>
      <c r="U225" s="75"/>
      <c r="V225" s="74"/>
      <c r="W225" s="80"/>
      <c r="X225" s="74">
        <v>15833426</v>
      </c>
      <c r="Y225" s="76">
        <v>0.93432017422864599</v>
      </c>
      <c r="Z225" s="74">
        <v>2794134</v>
      </c>
      <c r="AA225" s="74">
        <v>0</v>
      </c>
      <c r="AB225" s="74">
        <v>0</v>
      </c>
      <c r="AC225" s="74">
        <v>0</v>
      </c>
      <c r="AD225" s="74">
        <v>1</v>
      </c>
      <c r="AE225" s="74">
        <v>15833426</v>
      </c>
      <c r="AF225" s="76">
        <v>0.93432017422864599</v>
      </c>
      <c r="AG225" s="74">
        <v>2794134</v>
      </c>
      <c r="AH225" s="74">
        <v>0</v>
      </c>
      <c r="AI225" s="74">
        <v>0</v>
      </c>
      <c r="AJ225" s="74">
        <v>0</v>
      </c>
      <c r="AK225" s="74">
        <v>1</v>
      </c>
      <c r="AL225" s="74">
        <v>15833426</v>
      </c>
      <c r="AM225" s="77">
        <v>0.93432017422864599</v>
      </c>
      <c r="AN225" s="74">
        <v>2794134</v>
      </c>
      <c r="AO225" s="74">
        <v>0</v>
      </c>
      <c r="AP225" s="74">
        <v>0</v>
      </c>
      <c r="AQ225" s="74">
        <v>0</v>
      </c>
      <c r="AR225" s="74">
        <v>1</v>
      </c>
      <c r="AS225" s="74">
        <v>0</v>
      </c>
      <c r="AT225" s="77">
        <v>0</v>
      </c>
      <c r="AU225" s="74">
        <v>0</v>
      </c>
      <c r="AV225" s="74">
        <v>0</v>
      </c>
      <c r="AW225" s="74">
        <v>0</v>
      </c>
      <c r="AX225" s="74">
        <v>0</v>
      </c>
      <c r="AY225" s="74">
        <v>0</v>
      </c>
      <c r="AZ225" s="74">
        <v>12550.830000000002</v>
      </c>
      <c r="BA225" s="77">
        <v>7.4061631843380703E-4</v>
      </c>
      <c r="BB225" s="74">
        <v>2214.85</v>
      </c>
      <c r="BC225" s="74">
        <v>0</v>
      </c>
      <c r="BD225" s="74">
        <v>0</v>
      </c>
      <c r="BE225" s="74">
        <v>0</v>
      </c>
    </row>
    <row r="226" spans="1:57" ht="33.950000000000003" customHeight="1" x14ac:dyDescent="0.3">
      <c r="A226" s="34">
        <v>6</v>
      </c>
      <c r="B226" s="34" t="s">
        <v>395</v>
      </c>
      <c r="C226" s="34" t="s">
        <v>1049</v>
      </c>
      <c r="D226" s="34" t="s">
        <v>813</v>
      </c>
      <c r="E226" s="34" t="s">
        <v>814</v>
      </c>
      <c r="F226" s="34" t="s">
        <v>815</v>
      </c>
      <c r="G226" s="34" t="s">
        <v>816</v>
      </c>
      <c r="H226" s="73" t="s">
        <v>826</v>
      </c>
      <c r="I226" s="39" t="s">
        <v>312</v>
      </c>
      <c r="J226" s="39" t="s">
        <v>1060</v>
      </c>
      <c r="K226" s="39" t="s">
        <v>429</v>
      </c>
      <c r="L226" s="36" t="s">
        <v>827</v>
      </c>
      <c r="M226" s="37">
        <v>1</v>
      </c>
      <c r="N226" s="38"/>
      <c r="O226" s="37" t="s">
        <v>41</v>
      </c>
      <c r="P226" s="37" t="s">
        <v>414</v>
      </c>
      <c r="Q226" s="74">
        <v>6480093</v>
      </c>
      <c r="R226" s="74" t="s">
        <v>429</v>
      </c>
      <c r="S226" s="74">
        <v>7623639</v>
      </c>
      <c r="T226" s="74"/>
      <c r="U226" s="75"/>
      <c r="V226" s="74"/>
      <c r="W226" s="80"/>
      <c r="X226" s="74">
        <v>6195538.6399999997</v>
      </c>
      <c r="Y226" s="76">
        <v>0.95608792034311851</v>
      </c>
      <c r="Z226" s="74">
        <v>0</v>
      </c>
      <c r="AA226" s="74">
        <v>0</v>
      </c>
      <c r="AB226" s="74">
        <v>1101540.06</v>
      </c>
      <c r="AC226" s="74">
        <v>0</v>
      </c>
      <c r="AD226" s="74">
        <v>12</v>
      </c>
      <c r="AE226" s="74">
        <v>5910780.9900000002</v>
      </c>
      <c r="AF226" s="76">
        <v>0.91214446922289549</v>
      </c>
      <c r="AG226" s="74">
        <v>0</v>
      </c>
      <c r="AH226" s="74">
        <v>0</v>
      </c>
      <c r="AI226" s="74">
        <v>1051288.71</v>
      </c>
      <c r="AJ226" s="74">
        <v>0</v>
      </c>
      <c r="AK226" s="74">
        <v>11</v>
      </c>
      <c r="AL226" s="74">
        <v>6195538.6399999997</v>
      </c>
      <c r="AM226" s="77">
        <v>0.95608792034311851</v>
      </c>
      <c r="AN226" s="74">
        <v>0</v>
      </c>
      <c r="AO226" s="74">
        <v>0</v>
      </c>
      <c r="AP226" s="74">
        <v>1101540.06</v>
      </c>
      <c r="AQ226" s="74">
        <v>0</v>
      </c>
      <c r="AR226" s="74">
        <v>12</v>
      </c>
      <c r="AS226" s="74">
        <v>2083992.2200000002</v>
      </c>
      <c r="AT226" s="77">
        <v>0.32159912211136477</v>
      </c>
      <c r="AU226" s="74">
        <v>0</v>
      </c>
      <c r="AV226" s="74">
        <v>0</v>
      </c>
      <c r="AW226" s="74">
        <v>369936.81000000006</v>
      </c>
      <c r="AX226" s="74">
        <v>0</v>
      </c>
      <c r="AY226" s="74">
        <v>6</v>
      </c>
      <c r="AZ226" s="74">
        <v>5000891.7300000014</v>
      </c>
      <c r="BA226" s="77">
        <v>0.77173147515012541</v>
      </c>
      <c r="BB226" s="74">
        <v>0</v>
      </c>
      <c r="BC226" s="74">
        <v>0</v>
      </c>
      <c r="BD226" s="74">
        <v>432080.41</v>
      </c>
      <c r="BE226" s="74">
        <v>0</v>
      </c>
    </row>
    <row r="227" spans="1:57" ht="33.950000000000003" customHeight="1" x14ac:dyDescent="0.3">
      <c r="A227" s="34">
        <v>6</v>
      </c>
      <c r="B227" s="34" t="s">
        <v>395</v>
      </c>
      <c r="C227" s="34" t="s">
        <v>1049</v>
      </c>
      <c r="D227" s="34" t="s">
        <v>813</v>
      </c>
      <c r="E227" s="34" t="s">
        <v>814</v>
      </c>
      <c r="F227" s="34" t="s">
        <v>815</v>
      </c>
      <c r="G227" s="34" t="s">
        <v>816</v>
      </c>
      <c r="H227" s="73" t="s">
        <v>828</v>
      </c>
      <c r="I227" s="39" t="s">
        <v>313</v>
      </c>
      <c r="J227" s="39" t="s">
        <v>1061</v>
      </c>
      <c r="K227" s="39" t="s">
        <v>429</v>
      </c>
      <c r="L227" s="36" t="s">
        <v>829</v>
      </c>
      <c r="M227" s="37" t="s">
        <v>440</v>
      </c>
      <c r="N227" s="38"/>
      <c r="O227" s="37" t="s">
        <v>41</v>
      </c>
      <c r="P227" s="37" t="s">
        <v>414</v>
      </c>
      <c r="Q227" s="74">
        <v>6000000</v>
      </c>
      <c r="R227" s="74" t="s">
        <v>429</v>
      </c>
      <c r="S227" s="74">
        <v>28648274</v>
      </c>
      <c r="T227" s="74"/>
      <c r="U227" s="75"/>
      <c r="V227" s="74"/>
      <c r="W227" s="80"/>
      <c r="X227" s="74">
        <v>6000000</v>
      </c>
      <c r="Y227" s="76">
        <v>1</v>
      </c>
      <c r="Z227" s="74">
        <v>1058824</v>
      </c>
      <c r="AA227" s="74">
        <v>0</v>
      </c>
      <c r="AB227" s="74">
        <v>0</v>
      </c>
      <c r="AC227" s="74">
        <v>0</v>
      </c>
      <c r="AD227" s="74">
        <v>1</v>
      </c>
      <c r="AE227" s="74">
        <v>6000000</v>
      </c>
      <c r="AF227" s="76">
        <v>1</v>
      </c>
      <c r="AG227" s="74">
        <v>1058824</v>
      </c>
      <c r="AH227" s="74">
        <v>0</v>
      </c>
      <c r="AI227" s="74">
        <v>0</v>
      </c>
      <c r="AJ227" s="74">
        <v>0</v>
      </c>
      <c r="AK227" s="74">
        <v>1</v>
      </c>
      <c r="AL227" s="74">
        <v>6000000</v>
      </c>
      <c r="AM227" s="77">
        <v>1</v>
      </c>
      <c r="AN227" s="74">
        <v>1058824</v>
      </c>
      <c r="AO227" s="74">
        <v>0</v>
      </c>
      <c r="AP227" s="74">
        <v>0</v>
      </c>
      <c r="AQ227" s="74">
        <v>0</v>
      </c>
      <c r="AR227" s="74">
        <v>1</v>
      </c>
      <c r="AS227" s="74">
        <v>0</v>
      </c>
      <c r="AT227" s="77">
        <v>0</v>
      </c>
      <c r="AU227" s="74">
        <v>0</v>
      </c>
      <c r="AV227" s="74">
        <v>0</v>
      </c>
      <c r="AW227" s="74">
        <v>0</v>
      </c>
      <c r="AX227" s="74">
        <v>0</v>
      </c>
      <c r="AY227" s="74">
        <v>0</v>
      </c>
      <c r="AZ227" s="74">
        <v>589252.69999999995</v>
      </c>
      <c r="BA227" s="77">
        <v>9.8208783333333327E-2</v>
      </c>
      <c r="BB227" s="74">
        <v>103985.76999999999</v>
      </c>
      <c r="BC227" s="74">
        <v>0</v>
      </c>
      <c r="BD227" s="74">
        <v>0</v>
      </c>
      <c r="BE227" s="74">
        <v>0</v>
      </c>
    </row>
    <row r="228" spans="1:57" ht="33.950000000000003" customHeight="1" x14ac:dyDescent="0.3">
      <c r="A228" s="34">
        <v>6</v>
      </c>
      <c r="B228" s="34" t="s">
        <v>395</v>
      </c>
      <c r="C228" s="34" t="s">
        <v>1049</v>
      </c>
      <c r="D228" s="34" t="s">
        <v>813</v>
      </c>
      <c r="E228" s="34" t="s">
        <v>814</v>
      </c>
      <c r="F228" s="34" t="s">
        <v>815</v>
      </c>
      <c r="G228" s="34" t="s">
        <v>816</v>
      </c>
      <c r="H228" s="73" t="s">
        <v>830</v>
      </c>
      <c r="I228" s="39" t="s">
        <v>314</v>
      </c>
      <c r="J228" s="39" t="s">
        <v>1062</v>
      </c>
      <c r="K228" s="39" t="s">
        <v>429</v>
      </c>
      <c r="L228" s="36" t="s">
        <v>831</v>
      </c>
      <c r="M228" s="37" t="s">
        <v>440</v>
      </c>
      <c r="N228" s="38"/>
      <c r="O228" s="37" t="s">
        <v>41</v>
      </c>
      <c r="P228" s="37" t="s">
        <v>414</v>
      </c>
      <c r="Q228" s="74">
        <v>1532920</v>
      </c>
      <c r="R228" s="74" t="s">
        <v>429</v>
      </c>
      <c r="S228" s="74">
        <v>1803436</v>
      </c>
      <c r="T228" s="74"/>
      <c r="U228" s="75"/>
      <c r="V228" s="74"/>
      <c r="W228" s="80"/>
      <c r="X228" s="74">
        <v>1432238</v>
      </c>
      <c r="Y228" s="76">
        <v>0.93432012107611617</v>
      </c>
      <c r="Z228" s="74">
        <v>252749</v>
      </c>
      <c r="AA228" s="74">
        <v>0</v>
      </c>
      <c r="AB228" s="74">
        <v>0</v>
      </c>
      <c r="AC228" s="74">
        <v>0</v>
      </c>
      <c r="AD228" s="74">
        <v>1</v>
      </c>
      <c r="AE228" s="74">
        <v>1432238</v>
      </c>
      <c r="AF228" s="76">
        <v>0.93432012107611617</v>
      </c>
      <c r="AG228" s="74">
        <v>252749</v>
      </c>
      <c r="AH228" s="74">
        <v>0</v>
      </c>
      <c r="AI228" s="74">
        <v>0</v>
      </c>
      <c r="AJ228" s="74">
        <v>0</v>
      </c>
      <c r="AK228" s="74">
        <v>1</v>
      </c>
      <c r="AL228" s="74">
        <v>1432238</v>
      </c>
      <c r="AM228" s="77">
        <v>0.93432012107611617</v>
      </c>
      <c r="AN228" s="74">
        <v>252749</v>
      </c>
      <c r="AO228" s="74">
        <v>0</v>
      </c>
      <c r="AP228" s="74">
        <v>0</v>
      </c>
      <c r="AQ228" s="74">
        <v>0</v>
      </c>
      <c r="AR228" s="74">
        <v>1</v>
      </c>
      <c r="AS228" s="74">
        <v>0</v>
      </c>
      <c r="AT228" s="77">
        <v>0</v>
      </c>
      <c r="AU228" s="74">
        <v>0</v>
      </c>
      <c r="AV228" s="74">
        <v>0</v>
      </c>
      <c r="AW228" s="74">
        <v>0</v>
      </c>
      <c r="AX228" s="74">
        <v>0</v>
      </c>
      <c r="AY228" s="74">
        <v>0</v>
      </c>
      <c r="AZ228" s="74">
        <v>82803.649999999994</v>
      </c>
      <c r="BA228" s="77">
        <v>5.4016941523367168E-2</v>
      </c>
      <c r="BB228" s="74">
        <v>14612.41</v>
      </c>
      <c r="BC228" s="74">
        <v>0</v>
      </c>
      <c r="BD228" s="74">
        <v>0</v>
      </c>
      <c r="BE228" s="74">
        <v>0</v>
      </c>
    </row>
    <row r="229" spans="1:57" ht="33.950000000000003" customHeight="1" x14ac:dyDescent="0.3">
      <c r="A229" s="34">
        <v>7</v>
      </c>
      <c r="B229" s="34" t="s">
        <v>397</v>
      </c>
      <c r="C229" s="34" t="s">
        <v>1063</v>
      </c>
      <c r="D229" s="34" t="s">
        <v>832</v>
      </c>
      <c r="E229" s="34" t="s">
        <v>833</v>
      </c>
      <c r="F229" s="34" t="s">
        <v>834</v>
      </c>
      <c r="G229" s="34" t="s">
        <v>440</v>
      </c>
      <c r="H229" s="73" t="s">
        <v>835</v>
      </c>
      <c r="I229" s="39" t="s">
        <v>315</v>
      </c>
      <c r="J229" s="39" t="s">
        <v>1064</v>
      </c>
      <c r="K229" s="39" t="s">
        <v>429</v>
      </c>
      <c r="L229" s="36" t="s">
        <v>440</v>
      </c>
      <c r="M229" s="37" t="s">
        <v>440</v>
      </c>
      <c r="N229" s="38"/>
      <c r="O229" s="37" t="s">
        <v>38</v>
      </c>
      <c r="P229" s="37" t="s">
        <v>321</v>
      </c>
      <c r="Q229" s="74">
        <v>1643848</v>
      </c>
      <c r="R229" s="74" t="s">
        <v>429</v>
      </c>
      <c r="S229" s="74">
        <v>1933939</v>
      </c>
      <c r="T229" s="74"/>
      <c r="U229" s="75"/>
      <c r="V229" s="74"/>
      <c r="W229" s="80"/>
      <c r="X229" s="74">
        <v>1643848</v>
      </c>
      <c r="Y229" s="76">
        <v>1</v>
      </c>
      <c r="Z229" s="74">
        <v>290091</v>
      </c>
      <c r="AA229" s="74">
        <v>0</v>
      </c>
      <c r="AB229" s="74">
        <v>0</v>
      </c>
      <c r="AC229" s="74">
        <v>0</v>
      </c>
      <c r="AD229" s="74">
        <v>1</v>
      </c>
      <c r="AE229" s="74">
        <v>1643848</v>
      </c>
      <c r="AF229" s="76">
        <v>1</v>
      </c>
      <c r="AG229" s="74">
        <v>290091</v>
      </c>
      <c r="AH229" s="74">
        <v>0</v>
      </c>
      <c r="AI229" s="74">
        <v>0</v>
      </c>
      <c r="AJ229" s="74">
        <v>0</v>
      </c>
      <c r="AK229" s="74">
        <v>1</v>
      </c>
      <c r="AL229" s="74">
        <v>1643848</v>
      </c>
      <c r="AM229" s="77">
        <v>1</v>
      </c>
      <c r="AN229" s="74">
        <v>290091</v>
      </c>
      <c r="AO229" s="74">
        <v>0</v>
      </c>
      <c r="AP229" s="74">
        <v>0</v>
      </c>
      <c r="AQ229" s="74">
        <v>0</v>
      </c>
      <c r="AR229" s="74">
        <v>1</v>
      </c>
      <c r="AS229" s="74">
        <v>0</v>
      </c>
      <c r="AT229" s="77">
        <v>0</v>
      </c>
      <c r="AU229" s="74">
        <v>0</v>
      </c>
      <c r="AV229" s="74">
        <v>0</v>
      </c>
      <c r="AW229" s="74">
        <v>0</v>
      </c>
      <c r="AX229" s="74">
        <v>0</v>
      </c>
      <c r="AY229" s="74">
        <v>0</v>
      </c>
      <c r="AZ229" s="74">
        <v>630632.85</v>
      </c>
      <c r="BA229" s="77">
        <v>0.3836320937215606</v>
      </c>
      <c r="BB229" s="74">
        <v>111288.15</v>
      </c>
      <c r="BC229" s="74">
        <v>0</v>
      </c>
      <c r="BD229" s="74">
        <v>0</v>
      </c>
      <c r="BE229" s="74">
        <v>0</v>
      </c>
    </row>
    <row r="230" spans="1:57" ht="33.950000000000003" customHeight="1" x14ac:dyDescent="0.3">
      <c r="A230" s="34">
        <v>7</v>
      </c>
      <c r="B230" s="34" t="s">
        <v>397</v>
      </c>
      <c r="C230" s="34" t="s">
        <v>1063</v>
      </c>
      <c r="D230" s="34" t="s">
        <v>832</v>
      </c>
      <c r="E230" s="34" t="s">
        <v>833</v>
      </c>
      <c r="F230" s="34" t="s">
        <v>836</v>
      </c>
      <c r="G230" s="34" t="s">
        <v>440</v>
      </c>
      <c r="H230" s="73" t="s">
        <v>837</v>
      </c>
      <c r="I230" s="39" t="s">
        <v>316</v>
      </c>
      <c r="J230" s="39" t="s">
        <v>1065</v>
      </c>
      <c r="K230" s="39" t="s">
        <v>429</v>
      </c>
      <c r="L230" s="36" t="s">
        <v>440</v>
      </c>
      <c r="M230" s="37" t="s">
        <v>440</v>
      </c>
      <c r="N230" s="38"/>
      <c r="O230" s="37" t="s">
        <v>39</v>
      </c>
      <c r="P230" s="37" t="s">
        <v>321</v>
      </c>
      <c r="Q230" s="74">
        <v>3000000</v>
      </c>
      <c r="R230" s="74" t="s">
        <v>429</v>
      </c>
      <c r="S230" s="74">
        <v>3529412</v>
      </c>
      <c r="T230" s="74"/>
      <c r="U230" s="75"/>
      <c r="V230" s="74"/>
      <c r="W230" s="80"/>
      <c r="X230" s="74">
        <v>3000000</v>
      </c>
      <c r="Y230" s="76">
        <v>1</v>
      </c>
      <c r="Z230" s="74">
        <v>529412</v>
      </c>
      <c r="AA230" s="74">
        <v>0</v>
      </c>
      <c r="AB230" s="74">
        <v>0</v>
      </c>
      <c r="AC230" s="74">
        <v>0</v>
      </c>
      <c r="AD230" s="74">
        <v>1</v>
      </c>
      <c r="AE230" s="74">
        <v>3000000</v>
      </c>
      <c r="AF230" s="76">
        <v>1</v>
      </c>
      <c r="AG230" s="74">
        <v>529412</v>
      </c>
      <c r="AH230" s="74">
        <v>0</v>
      </c>
      <c r="AI230" s="74">
        <v>0</v>
      </c>
      <c r="AJ230" s="74">
        <v>0</v>
      </c>
      <c r="AK230" s="74">
        <v>1</v>
      </c>
      <c r="AL230" s="74">
        <v>3000000</v>
      </c>
      <c r="AM230" s="77">
        <v>1</v>
      </c>
      <c r="AN230" s="74">
        <v>529412</v>
      </c>
      <c r="AO230" s="74">
        <v>0</v>
      </c>
      <c r="AP230" s="74">
        <v>0</v>
      </c>
      <c r="AQ230" s="74">
        <v>0</v>
      </c>
      <c r="AR230" s="74">
        <v>1</v>
      </c>
      <c r="AS230" s="74">
        <v>0</v>
      </c>
      <c r="AT230" s="77">
        <v>0</v>
      </c>
      <c r="AU230" s="74">
        <v>0</v>
      </c>
      <c r="AV230" s="74">
        <v>0</v>
      </c>
      <c r="AW230" s="74">
        <v>0</v>
      </c>
      <c r="AX230" s="74">
        <v>0</v>
      </c>
      <c r="AY230" s="74">
        <v>0</v>
      </c>
      <c r="AZ230" s="74">
        <v>1345014.5</v>
      </c>
      <c r="BA230" s="77">
        <v>0.44833816666666665</v>
      </c>
      <c r="BB230" s="74">
        <v>237355.5</v>
      </c>
      <c r="BC230" s="74">
        <v>0</v>
      </c>
      <c r="BD230" s="74">
        <v>0</v>
      </c>
      <c r="BE230" s="74">
        <v>0</v>
      </c>
    </row>
    <row r="231" spans="1:57" s="92" customFormat="1" ht="33.950000000000003" hidden="1" customHeight="1" x14ac:dyDescent="0.3">
      <c r="A231" s="83"/>
      <c r="B231" s="83"/>
      <c r="C231" s="34" t="s">
        <v>317</v>
      </c>
      <c r="D231" s="83"/>
      <c r="E231" s="83"/>
      <c r="F231" s="83"/>
      <c r="G231" s="83"/>
      <c r="H231" s="84"/>
      <c r="I231" s="85"/>
      <c r="J231" s="39"/>
      <c r="K231" s="39" t="s">
        <v>429</v>
      </c>
      <c r="L231" s="41"/>
      <c r="M231" s="86"/>
      <c r="N231" s="86"/>
      <c r="O231" s="87"/>
      <c r="P231" s="87"/>
      <c r="Q231" s="88"/>
      <c r="R231" s="88"/>
      <c r="S231" s="88"/>
      <c r="T231" s="88"/>
      <c r="U231" s="89"/>
      <c r="V231" s="88"/>
      <c r="W231" s="177"/>
      <c r="X231" s="88"/>
      <c r="Y231" s="90"/>
      <c r="Z231" s="88"/>
      <c r="AA231" s="88"/>
      <c r="AB231" s="88"/>
      <c r="AC231" s="88"/>
      <c r="AD231" s="88"/>
      <c r="AE231" s="88"/>
      <c r="AF231" s="90"/>
      <c r="AG231" s="88"/>
      <c r="AH231" s="88"/>
      <c r="AI231" s="88"/>
      <c r="AJ231" s="88"/>
      <c r="AK231" s="88"/>
      <c r="AL231" s="74"/>
      <c r="AM231" s="91"/>
      <c r="AN231" s="88"/>
      <c r="AO231" s="88"/>
      <c r="AP231" s="88"/>
      <c r="AQ231" s="88"/>
      <c r="AR231" s="88"/>
      <c r="AS231" s="88"/>
      <c r="AT231" s="91"/>
      <c r="AU231" s="88"/>
      <c r="AV231" s="88"/>
      <c r="AW231" s="88"/>
      <c r="AX231" s="88"/>
      <c r="AY231" s="88"/>
      <c r="AZ231" s="88"/>
      <c r="BA231" s="91"/>
      <c r="BB231" s="88"/>
      <c r="BC231" s="88"/>
      <c r="BD231" s="88"/>
      <c r="BE231" s="88"/>
    </row>
    <row r="232" spans="1:57" ht="33.950000000000003" customHeight="1" x14ac:dyDescent="0.3">
      <c r="A232" s="34" t="s">
        <v>318</v>
      </c>
      <c r="B232" s="34" t="s">
        <v>319</v>
      </c>
      <c r="C232" s="34" t="s">
        <v>319</v>
      </c>
      <c r="D232" s="34" t="s">
        <v>318</v>
      </c>
      <c r="E232" s="34" t="s">
        <v>319</v>
      </c>
      <c r="F232" s="34" t="s">
        <v>318</v>
      </c>
      <c r="G232" s="34" t="s">
        <v>319</v>
      </c>
      <c r="H232" s="35"/>
      <c r="I232" s="39" t="s">
        <v>318</v>
      </c>
      <c r="J232" s="39" t="s">
        <v>320</v>
      </c>
      <c r="K232" s="39" t="s">
        <v>422</v>
      </c>
      <c r="L232" s="34" t="s">
        <v>319</v>
      </c>
      <c r="M232" s="37"/>
      <c r="N232" s="38"/>
      <c r="O232" s="37" t="s">
        <v>39</v>
      </c>
      <c r="P232" s="38" t="s">
        <v>321</v>
      </c>
      <c r="Q232" s="74">
        <v>90169498.925000012</v>
      </c>
      <c r="R232" s="74"/>
      <c r="S232" s="80">
        <v>90169498.925000012</v>
      </c>
      <c r="T232" s="74"/>
      <c r="U232" s="75"/>
      <c r="V232" s="74"/>
      <c r="W232" s="80"/>
      <c r="X232" s="74">
        <v>90169498.925000012</v>
      </c>
      <c r="Y232" s="76">
        <v>1</v>
      </c>
      <c r="Z232" s="74">
        <v>0</v>
      </c>
      <c r="AA232" s="74">
        <v>0</v>
      </c>
      <c r="AB232" s="74">
        <v>0</v>
      </c>
      <c r="AC232" s="74">
        <v>0</v>
      </c>
      <c r="AD232" s="74">
        <v>0</v>
      </c>
      <c r="AE232" s="74">
        <v>90169498.925000012</v>
      </c>
      <c r="AF232" s="76">
        <v>0</v>
      </c>
      <c r="AG232" s="74">
        <v>0</v>
      </c>
      <c r="AH232" s="74">
        <v>0</v>
      </c>
      <c r="AI232" s="74">
        <v>0</v>
      </c>
      <c r="AJ232" s="74">
        <v>0</v>
      </c>
      <c r="AK232" s="74">
        <v>0</v>
      </c>
      <c r="AL232" s="74">
        <v>90169498.925000012</v>
      </c>
      <c r="AM232" s="77">
        <v>1</v>
      </c>
      <c r="AN232" s="74">
        <v>0</v>
      </c>
      <c r="AO232" s="74">
        <v>0</v>
      </c>
      <c r="AP232" s="74">
        <v>0</v>
      </c>
      <c r="AQ232" s="74">
        <v>0</v>
      </c>
      <c r="AR232" s="74">
        <v>0</v>
      </c>
      <c r="AS232" s="74">
        <v>0</v>
      </c>
      <c r="AT232" s="77">
        <v>0</v>
      </c>
      <c r="AU232" s="74">
        <v>0</v>
      </c>
      <c r="AV232" s="74">
        <v>0</v>
      </c>
      <c r="AW232" s="74">
        <v>0</v>
      </c>
      <c r="AX232" s="74">
        <v>0</v>
      </c>
      <c r="AY232" s="74">
        <v>0</v>
      </c>
      <c r="AZ232" s="74">
        <v>23545502.008000009</v>
      </c>
      <c r="BA232" s="77">
        <v>0.2611249068555252</v>
      </c>
      <c r="BB232" s="74">
        <v>0</v>
      </c>
      <c r="BC232" s="74">
        <v>0</v>
      </c>
      <c r="BD232" s="74">
        <v>0</v>
      </c>
      <c r="BE232" s="74">
        <v>0</v>
      </c>
    </row>
    <row r="233" spans="1:57" ht="33.950000000000003" customHeight="1" x14ac:dyDescent="0.3">
      <c r="A233" s="34" t="s">
        <v>318</v>
      </c>
      <c r="B233" s="34" t="s">
        <v>319</v>
      </c>
      <c r="C233" s="34" t="s">
        <v>319</v>
      </c>
      <c r="D233" s="34" t="s">
        <v>318</v>
      </c>
      <c r="E233" s="34" t="s">
        <v>319</v>
      </c>
      <c r="F233" s="34" t="s">
        <v>318</v>
      </c>
      <c r="G233" s="34" t="s">
        <v>319</v>
      </c>
      <c r="H233" s="35"/>
      <c r="I233" s="39" t="s">
        <v>318</v>
      </c>
      <c r="J233" s="39" t="s">
        <v>320</v>
      </c>
      <c r="K233" s="39" t="s">
        <v>422</v>
      </c>
      <c r="L233" s="34" t="s">
        <v>319</v>
      </c>
      <c r="M233" s="37"/>
      <c r="N233" s="38"/>
      <c r="O233" s="37" t="s">
        <v>40</v>
      </c>
      <c r="P233" s="38" t="s">
        <v>321</v>
      </c>
      <c r="Q233" s="74">
        <v>21084433.800000001</v>
      </c>
      <c r="R233" s="74"/>
      <c r="S233" s="80">
        <v>21084433.800000001</v>
      </c>
      <c r="T233" s="74"/>
      <c r="U233" s="75"/>
      <c r="V233" s="74"/>
      <c r="W233" s="80"/>
      <c r="X233" s="74">
        <v>21084433.800000001</v>
      </c>
      <c r="Y233" s="76">
        <v>1</v>
      </c>
      <c r="Z233" s="74">
        <v>0</v>
      </c>
      <c r="AA233" s="74">
        <v>0</v>
      </c>
      <c r="AB233" s="74">
        <v>0</v>
      </c>
      <c r="AC233" s="74">
        <v>0</v>
      </c>
      <c r="AD233" s="74">
        <v>0</v>
      </c>
      <c r="AE233" s="74">
        <v>21084433.800000001</v>
      </c>
      <c r="AF233" s="76">
        <v>0</v>
      </c>
      <c r="AG233" s="74">
        <v>0</v>
      </c>
      <c r="AH233" s="74">
        <v>0</v>
      </c>
      <c r="AI233" s="74">
        <v>0</v>
      </c>
      <c r="AJ233" s="74">
        <v>0</v>
      </c>
      <c r="AK233" s="74">
        <v>0</v>
      </c>
      <c r="AL233" s="74">
        <v>21084433.800000001</v>
      </c>
      <c r="AM233" s="77">
        <v>1</v>
      </c>
      <c r="AN233" s="74">
        <v>0</v>
      </c>
      <c r="AO233" s="74">
        <v>0</v>
      </c>
      <c r="AP233" s="74">
        <v>0</v>
      </c>
      <c r="AQ233" s="74">
        <v>0</v>
      </c>
      <c r="AR233" s="74">
        <v>0</v>
      </c>
      <c r="AS233" s="74">
        <v>0</v>
      </c>
      <c r="AT233" s="77">
        <v>0</v>
      </c>
      <c r="AU233" s="74">
        <v>0</v>
      </c>
      <c r="AV233" s="74">
        <v>0</v>
      </c>
      <c r="AW233" s="74">
        <v>0</v>
      </c>
      <c r="AX233" s="74">
        <v>0</v>
      </c>
      <c r="AY233" s="74">
        <v>0</v>
      </c>
      <c r="AZ233" s="74">
        <v>4220324.9879999999</v>
      </c>
      <c r="BA233" s="77">
        <v>0.20016306949632195</v>
      </c>
      <c r="BB233" s="74">
        <v>0</v>
      </c>
      <c r="BC233" s="74">
        <v>0</v>
      </c>
      <c r="BD233" s="74">
        <v>0</v>
      </c>
      <c r="BE233" s="74">
        <v>0</v>
      </c>
    </row>
    <row r="234" spans="1:57" ht="33.950000000000003" customHeight="1" x14ac:dyDescent="0.3">
      <c r="A234" s="34" t="s">
        <v>318</v>
      </c>
      <c r="B234" s="34" t="s">
        <v>319</v>
      </c>
      <c r="C234" s="34" t="s">
        <v>319</v>
      </c>
      <c r="D234" s="34" t="s">
        <v>318</v>
      </c>
      <c r="E234" s="34" t="s">
        <v>319</v>
      </c>
      <c r="F234" s="34" t="s">
        <v>318</v>
      </c>
      <c r="G234" s="34" t="s">
        <v>319</v>
      </c>
      <c r="H234" s="35"/>
      <c r="I234" s="39" t="s">
        <v>318</v>
      </c>
      <c r="J234" s="39" t="s">
        <v>320</v>
      </c>
      <c r="K234" s="39" t="s">
        <v>422</v>
      </c>
      <c r="L234" s="34" t="s">
        <v>319</v>
      </c>
      <c r="M234" s="37"/>
      <c r="N234" s="38"/>
      <c r="O234" s="73" t="s">
        <v>38</v>
      </c>
      <c r="P234" s="38" t="s">
        <v>321</v>
      </c>
      <c r="Q234" s="74">
        <v>25073359.800000001</v>
      </c>
      <c r="R234" s="74"/>
      <c r="S234" s="80">
        <v>25073359.800000001</v>
      </c>
      <c r="T234" s="74"/>
      <c r="U234" s="75"/>
      <c r="V234" s="74"/>
      <c r="W234" s="80"/>
      <c r="X234" s="74">
        <v>25073359.800000001</v>
      </c>
      <c r="Y234" s="76">
        <v>1</v>
      </c>
      <c r="Z234" s="74">
        <v>0</v>
      </c>
      <c r="AA234" s="74">
        <v>0</v>
      </c>
      <c r="AB234" s="74">
        <v>0</v>
      </c>
      <c r="AC234" s="74">
        <v>0</v>
      </c>
      <c r="AD234" s="74">
        <v>0</v>
      </c>
      <c r="AE234" s="74">
        <v>25073359.800000001</v>
      </c>
      <c r="AF234" s="76">
        <v>0</v>
      </c>
      <c r="AG234" s="74">
        <v>0</v>
      </c>
      <c r="AH234" s="74">
        <v>0</v>
      </c>
      <c r="AI234" s="74">
        <v>0</v>
      </c>
      <c r="AJ234" s="74">
        <v>0</v>
      </c>
      <c r="AK234" s="74">
        <v>0</v>
      </c>
      <c r="AL234" s="74">
        <v>25073359.800000001</v>
      </c>
      <c r="AM234" s="77">
        <v>1</v>
      </c>
      <c r="AN234" s="74">
        <v>0</v>
      </c>
      <c r="AO234" s="74">
        <v>0</v>
      </c>
      <c r="AP234" s="74">
        <v>0</v>
      </c>
      <c r="AQ234" s="74">
        <v>0</v>
      </c>
      <c r="AR234" s="74">
        <v>0</v>
      </c>
      <c r="AS234" s="74">
        <v>0</v>
      </c>
      <c r="AT234" s="77">
        <v>0</v>
      </c>
      <c r="AU234" s="74">
        <v>0</v>
      </c>
      <c r="AV234" s="74">
        <v>0</v>
      </c>
      <c r="AW234" s="74">
        <v>0</v>
      </c>
      <c r="AX234" s="74">
        <v>0</v>
      </c>
      <c r="AY234" s="74">
        <v>0</v>
      </c>
      <c r="AZ234" s="74">
        <v>4411734.0688000005</v>
      </c>
      <c r="BA234" s="77">
        <v>0.17595304753693203</v>
      </c>
      <c r="BB234" s="74">
        <v>0</v>
      </c>
      <c r="BC234" s="74">
        <v>0</v>
      </c>
      <c r="BD234" s="74">
        <v>0</v>
      </c>
      <c r="BE234" s="74">
        <v>0</v>
      </c>
    </row>
    <row r="235" spans="1:57" ht="33.950000000000003" customHeight="1" x14ac:dyDescent="0.3">
      <c r="A235" s="34" t="s">
        <v>318</v>
      </c>
      <c r="B235" s="34" t="s">
        <v>319</v>
      </c>
      <c r="C235" s="34" t="s">
        <v>319</v>
      </c>
      <c r="D235" s="34" t="s">
        <v>318</v>
      </c>
      <c r="E235" s="34" t="s">
        <v>319</v>
      </c>
      <c r="F235" s="34" t="s">
        <v>318</v>
      </c>
      <c r="G235" s="34" t="s">
        <v>319</v>
      </c>
      <c r="H235" s="35"/>
      <c r="I235" s="39" t="s">
        <v>318</v>
      </c>
      <c r="J235" s="39" t="s">
        <v>320</v>
      </c>
      <c r="K235" s="39" t="s">
        <v>422</v>
      </c>
      <c r="L235" s="34" t="s">
        <v>319</v>
      </c>
      <c r="M235" s="37"/>
      <c r="N235" s="38"/>
      <c r="O235" s="37" t="s">
        <v>41</v>
      </c>
      <c r="P235" s="38" t="s">
        <v>321</v>
      </c>
      <c r="Q235" s="74">
        <v>7369493.0800000001</v>
      </c>
      <c r="R235" s="74"/>
      <c r="S235" s="80">
        <v>7369493.0800000001</v>
      </c>
      <c r="T235" s="74"/>
      <c r="U235" s="75"/>
      <c r="V235" s="74"/>
      <c r="W235" s="80"/>
      <c r="X235" s="74">
        <v>7369493.0800000001</v>
      </c>
      <c r="Y235" s="76">
        <v>1</v>
      </c>
      <c r="Z235" s="74">
        <v>0</v>
      </c>
      <c r="AA235" s="74">
        <v>0</v>
      </c>
      <c r="AB235" s="74">
        <v>0</v>
      </c>
      <c r="AC235" s="74">
        <v>0</v>
      </c>
      <c r="AD235" s="74">
        <v>0</v>
      </c>
      <c r="AE235" s="74">
        <v>7369493.0800000001</v>
      </c>
      <c r="AF235" s="76">
        <v>0</v>
      </c>
      <c r="AG235" s="74">
        <v>0</v>
      </c>
      <c r="AH235" s="74">
        <v>0</v>
      </c>
      <c r="AI235" s="74">
        <v>0</v>
      </c>
      <c r="AJ235" s="74">
        <v>0</v>
      </c>
      <c r="AK235" s="74">
        <v>0</v>
      </c>
      <c r="AL235" s="74">
        <v>7369493.0800000001</v>
      </c>
      <c r="AM235" s="77">
        <v>1</v>
      </c>
      <c r="AN235" s="74">
        <v>0</v>
      </c>
      <c r="AO235" s="74">
        <v>0</v>
      </c>
      <c r="AP235" s="74">
        <v>0</v>
      </c>
      <c r="AQ235" s="74">
        <v>0</v>
      </c>
      <c r="AR235" s="74">
        <v>0</v>
      </c>
      <c r="AS235" s="74">
        <v>0</v>
      </c>
      <c r="AT235" s="77">
        <v>0</v>
      </c>
      <c r="AU235" s="74">
        <v>0</v>
      </c>
      <c r="AV235" s="74">
        <v>0</v>
      </c>
      <c r="AW235" s="74">
        <v>0</v>
      </c>
      <c r="AX235" s="74">
        <v>0</v>
      </c>
      <c r="AY235" s="74">
        <v>0</v>
      </c>
      <c r="AZ235" s="74">
        <v>1788074.5588000002</v>
      </c>
      <c r="BA235" s="77">
        <v>0.24263196116604538</v>
      </c>
      <c r="BB235" s="74">
        <v>0</v>
      </c>
      <c r="BC235" s="74">
        <v>0</v>
      </c>
      <c r="BD235" s="74">
        <v>0</v>
      </c>
      <c r="BE235" s="74">
        <v>0</v>
      </c>
    </row>
    <row r="236" spans="1:57" x14ac:dyDescent="0.3">
      <c r="A236" s="7" t="s">
        <v>322</v>
      </c>
      <c r="S236" s="11"/>
    </row>
    <row r="237" spans="1:57" ht="91.5" customHeight="1" x14ac:dyDescent="0.3">
      <c r="A237" s="161" t="s">
        <v>323</v>
      </c>
      <c r="B237" s="161"/>
      <c r="C237" s="161"/>
      <c r="D237" s="161"/>
      <c r="E237" s="161"/>
      <c r="F237" s="161"/>
      <c r="G237" s="161"/>
      <c r="H237" s="161"/>
      <c r="I237" s="161"/>
      <c r="J237" s="159"/>
      <c r="K237" s="159"/>
      <c r="L237" s="159"/>
      <c r="M237" s="159"/>
      <c r="N237" s="159"/>
      <c r="O237" s="159"/>
      <c r="P237" s="159"/>
      <c r="Q237" s="159"/>
      <c r="R237" s="159"/>
      <c r="S237" s="159"/>
      <c r="T237" s="159"/>
      <c r="U237" s="159"/>
      <c r="V237" s="159"/>
      <c r="W237" s="178"/>
      <c r="X237" s="159"/>
      <c r="Y237" s="159"/>
      <c r="Z237" s="159"/>
      <c r="AA237" s="159"/>
      <c r="AB237" s="159"/>
      <c r="AC237" s="159"/>
      <c r="AD237" s="159"/>
      <c r="AE237" s="159"/>
      <c r="AF237" s="159"/>
      <c r="AG237" s="159"/>
      <c r="AH237" s="159"/>
      <c r="AI237" s="159"/>
      <c r="AJ237" s="159"/>
      <c r="AK237" s="159"/>
      <c r="AL237" s="159"/>
      <c r="AM237" s="159"/>
      <c r="AN237" s="159"/>
      <c r="AO237" s="159"/>
      <c r="AP237" s="159"/>
      <c r="AQ237" s="159"/>
      <c r="AR237" s="159"/>
      <c r="AS237" s="159"/>
      <c r="AT237" s="159"/>
      <c r="AU237" s="159"/>
      <c r="AV237" s="159"/>
      <c r="AW237" s="159"/>
      <c r="AX237" s="159"/>
      <c r="AY237" s="159"/>
      <c r="AZ237" s="159"/>
      <c r="BA237" s="159"/>
    </row>
    <row r="238" spans="1:57" x14ac:dyDescent="0.3">
      <c r="S238" s="11"/>
    </row>
    <row r="239" spans="1:57" x14ac:dyDescent="0.3">
      <c r="A239" s="7" t="s">
        <v>324</v>
      </c>
    </row>
    <row r="240" spans="1:57" x14ac:dyDescent="0.3">
      <c r="A240" s="7" t="s">
        <v>325</v>
      </c>
    </row>
    <row r="241" spans="1:9" x14ac:dyDescent="0.3">
      <c r="A241" s="7" t="s">
        <v>326</v>
      </c>
      <c r="I241" s="110"/>
    </row>
    <row r="242" spans="1:9" ht="18" customHeight="1" x14ac:dyDescent="0.3">
      <c r="A242" s="7" t="s">
        <v>327</v>
      </c>
    </row>
    <row r="244" spans="1:9" x14ac:dyDescent="0.3">
      <c r="A244" s="7" t="s">
        <v>328</v>
      </c>
    </row>
  </sheetData>
  <autoFilter ref="A10:BE242" xr:uid="{00000000-0001-0000-0000-000000000000}"/>
  <sortState xmlns:xlrd2="http://schemas.microsoft.com/office/spreadsheetml/2017/richdata2" ref="I11:I158">
    <sortCondition ref="I11:I158"/>
  </sortState>
  <mergeCells count="18">
    <mergeCell ref="AZ3:BE3"/>
    <mergeCell ref="AE3:AK3"/>
    <mergeCell ref="AS3:AY3"/>
    <mergeCell ref="Q3:S3"/>
    <mergeCell ref="X3:AD3"/>
    <mergeCell ref="AL3:AR3"/>
    <mergeCell ref="T3:W3"/>
    <mergeCell ref="A3:P3"/>
    <mergeCell ref="A4:A9"/>
    <mergeCell ref="B4:B9"/>
    <mergeCell ref="D4:D9"/>
    <mergeCell ref="E4:E9"/>
    <mergeCell ref="F4:F9"/>
    <mergeCell ref="G4:G9"/>
    <mergeCell ref="H4:H9"/>
    <mergeCell ref="I4:I9"/>
    <mergeCell ref="K4:K9"/>
    <mergeCell ref="C4:C9"/>
  </mergeCells>
  <phoneticPr fontId="8" type="noConversion"/>
  <conditionalFormatting sqref="I238:I1048576 I1:I236">
    <cfRule type="duplicateValues" dxfId="1" priority="1"/>
  </conditionalFormatting>
  <conditionalFormatting sqref="I238:I1048576">
    <cfRule type="duplicateValues" dxfId="0" priority="5"/>
  </conditionalFormatting>
  <pageMargins left="0.25" right="0.25" top="0.75" bottom="0.75" header="0.3" footer="0.3"/>
  <pageSetup paperSize="9" scale="31"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F901-D806-4FD9-9154-5DE3830E7465}">
  <sheetPr codeName="Sheet1">
    <tabColor theme="6" tint="0.59999389629810485"/>
  </sheetPr>
  <dimension ref="A1:BC89"/>
  <sheetViews>
    <sheetView topLeftCell="C21" zoomScale="50" zoomScaleNormal="50" workbookViewId="0">
      <selection activeCell="C51" sqref="C51:X51"/>
    </sheetView>
  </sheetViews>
  <sheetFormatPr defaultRowHeight="15" x14ac:dyDescent="0.25"/>
  <cols>
    <col min="1" max="1" width="0" style="160" hidden="1" customWidth="1"/>
    <col min="2" max="2" width="38.85546875" style="160" hidden="1" customWidth="1"/>
    <col min="3" max="4" width="9.140625" style="160"/>
    <col min="5" max="5" width="11" style="149" customWidth="1"/>
    <col min="6" max="6" width="7.7109375" style="149" customWidth="1"/>
    <col min="7" max="7" width="31" style="149" customWidth="1"/>
    <col min="8" max="8" width="14.7109375" style="149" customWidth="1"/>
    <col min="9" max="9" width="38" style="149" customWidth="1"/>
    <col min="10" max="10" width="12.5703125" style="149" customWidth="1"/>
    <col min="11" max="11" width="13.140625" style="149" customWidth="1"/>
    <col min="12" max="12" width="32.85546875" style="149" customWidth="1"/>
    <col min="13" max="13" width="8.5703125" style="149" customWidth="1"/>
    <col min="14" max="14" width="21.85546875" style="149" customWidth="1"/>
    <col min="15" max="15" width="18.140625" style="149" customWidth="1"/>
    <col min="16" max="20" width="9.140625" style="149"/>
    <col min="21" max="21" width="14.7109375" style="149" customWidth="1"/>
    <col min="22" max="22" width="9.140625" style="149"/>
    <col min="23" max="23" width="18.85546875" style="149" customWidth="1"/>
    <col min="24" max="24" width="18.28515625" style="149" customWidth="1"/>
    <col min="25" max="25" width="13.140625" style="149" customWidth="1"/>
    <col min="26" max="26" width="25" style="180" customWidth="1"/>
    <col min="27" max="27" width="18.85546875" style="149" customWidth="1"/>
    <col min="28" max="29" width="15.7109375" style="149" customWidth="1"/>
    <col min="30" max="30" width="13.42578125" style="149" bestFit="1" customWidth="1"/>
    <col min="31" max="32" width="9.140625" style="149"/>
    <col min="33" max="33" width="13.85546875" style="149" bestFit="1" customWidth="1"/>
    <col min="34" max="35" width="9.140625" style="149"/>
    <col min="36" max="55" width="9.140625" style="179"/>
    <col min="56" max="16384" width="9.140625" style="149"/>
  </cols>
  <sheetData>
    <row r="1" spans="1:27" ht="35.25" customHeight="1" thickBot="1" x14ac:dyDescent="0.35">
      <c r="A1" s="112"/>
      <c r="B1" s="112"/>
      <c r="C1" s="204" t="s">
        <v>1082</v>
      </c>
      <c r="D1" s="204"/>
      <c r="E1" s="204"/>
      <c r="F1" s="204"/>
      <c r="G1" s="204"/>
      <c r="H1" s="204"/>
      <c r="I1" s="204"/>
      <c r="J1" s="204"/>
      <c r="K1" s="204"/>
      <c r="L1" s="204"/>
      <c r="M1" s="204"/>
      <c r="N1" s="204"/>
      <c r="O1" s="204"/>
      <c r="P1" s="204"/>
      <c r="Q1" s="204"/>
      <c r="R1" s="204"/>
      <c r="S1" s="204"/>
      <c r="T1" s="204"/>
      <c r="U1" s="204"/>
      <c r="V1" s="204"/>
      <c r="W1" s="204"/>
      <c r="X1" s="204"/>
    </row>
    <row r="2" spans="1:27" ht="27.75" customHeight="1" thickBot="1" x14ac:dyDescent="0.4">
      <c r="A2" s="112"/>
      <c r="B2" s="112"/>
      <c r="C2" s="174"/>
      <c r="D2" s="174"/>
      <c r="E2" s="174"/>
      <c r="F2" s="174"/>
      <c r="G2" s="174"/>
      <c r="H2" s="174"/>
      <c r="I2" s="174"/>
      <c r="J2" s="174"/>
      <c r="K2" s="174"/>
      <c r="L2" s="174"/>
      <c r="M2" s="174"/>
      <c r="N2" s="174"/>
      <c r="O2" s="174"/>
      <c r="P2" s="202" t="s">
        <v>329</v>
      </c>
      <c r="Q2" s="202"/>
      <c r="R2" s="202"/>
      <c r="S2" s="202"/>
      <c r="T2" s="202"/>
      <c r="U2" s="202"/>
      <c r="V2" s="203"/>
      <c r="W2" s="140">
        <f ca="1">EOMONTH(datums,-1)</f>
        <v>46203</v>
      </c>
      <c r="X2" s="172" t="s">
        <v>330</v>
      </c>
    </row>
    <row r="3" spans="1:27" ht="18" x14ac:dyDescent="0.25">
      <c r="A3" s="112"/>
      <c r="B3" s="112"/>
      <c r="C3" s="112"/>
      <c r="D3" s="112"/>
      <c r="E3" s="112"/>
      <c r="F3" s="112"/>
      <c r="G3" s="112"/>
      <c r="H3" s="112"/>
      <c r="I3" s="112"/>
      <c r="J3" s="112"/>
      <c r="K3" s="112"/>
      <c r="L3" s="112"/>
      <c r="M3" s="112"/>
      <c r="N3" s="112"/>
      <c r="O3" s="112"/>
      <c r="P3" s="112"/>
      <c r="Q3" s="112"/>
      <c r="R3" s="112"/>
      <c r="S3" s="112"/>
      <c r="T3" s="143"/>
      <c r="U3" s="143"/>
      <c r="V3" s="143"/>
      <c r="W3" s="148"/>
      <c r="X3" s="112"/>
    </row>
    <row r="4" spans="1:27" ht="18" x14ac:dyDescent="0.25">
      <c r="A4" s="112"/>
      <c r="B4" s="112"/>
      <c r="C4" s="112"/>
      <c r="D4" s="112"/>
      <c r="E4" s="112"/>
      <c r="F4" s="112"/>
      <c r="G4" s="112"/>
      <c r="H4" s="112"/>
      <c r="I4" s="112"/>
      <c r="J4" s="112"/>
      <c r="K4" s="112"/>
      <c r="L4" s="112"/>
      <c r="M4" s="112"/>
      <c r="N4" s="112"/>
      <c r="O4" s="112"/>
      <c r="P4" s="112"/>
      <c r="Q4" s="112"/>
      <c r="R4" s="112"/>
      <c r="S4" s="112"/>
      <c r="T4" s="143"/>
      <c r="U4" s="143"/>
      <c r="V4" s="143"/>
      <c r="W4" s="147"/>
      <c r="X4" s="112"/>
    </row>
    <row r="5" spans="1:27" x14ac:dyDescent="0.25">
      <c r="A5" s="112"/>
      <c r="B5" s="112"/>
      <c r="C5" s="112"/>
      <c r="D5" s="112"/>
      <c r="E5" s="112"/>
      <c r="F5" s="112"/>
      <c r="G5" s="112"/>
      <c r="H5" s="112"/>
      <c r="I5" s="112"/>
      <c r="J5" s="112"/>
      <c r="K5" s="112"/>
      <c r="L5" s="112"/>
      <c r="M5" s="112"/>
      <c r="N5" s="112"/>
      <c r="O5" s="112"/>
      <c r="P5" s="112"/>
      <c r="Q5" s="112"/>
      <c r="R5" s="112"/>
      <c r="S5" s="112"/>
      <c r="T5" s="112"/>
      <c r="U5" s="112"/>
      <c r="V5" s="112"/>
      <c r="W5" s="112"/>
      <c r="X5" s="112"/>
      <c r="Z5" s="180" t="s">
        <v>1066</v>
      </c>
    </row>
    <row r="6" spans="1:27" x14ac:dyDescent="0.25">
      <c r="A6" s="112"/>
      <c r="B6" s="112"/>
      <c r="C6" s="112"/>
      <c r="D6" s="112"/>
      <c r="E6" s="112"/>
      <c r="F6" s="112"/>
      <c r="G6" s="112"/>
      <c r="H6" s="112"/>
      <c r="I6" s="112"/>
      <c r="J6" s="112"/>
      <c r="K6" s="112"/>
      <c r="L6" s="112"/>
      <c r="M6" s="112"/>
      <c r="N6" s="112"/>
      <c r="O6" s="112"/>
      <c r="P6" s="112"/>
      <c r="Q6" s="112"/>
      <c r="R6" s="112"/>
      <c r="S6" s="112"/>
      <c r="T6" s="112"/>
      <c r="U6" s="112"/>
      <c r="V6" s="112"/>
      <c r="W6" s="112"/>
      <c r="X6" s="112"/>
    </row>
    <row r="7" spans="1:27" x14ac:dyDescent="0.25">
      <c r="A7" s="112"/>
      <c r="B7" s="112"/>
      <c r="C7" s="112"/>
      <c r="D7" s="112"/>
      <c r="E7" s="112"/>
      <c r="F7" s="112"/>
      <c r="G7" s="112"/>
      <c r="H7" s="112"/>
      <c r="I7" s="112"/>
      <c r="J7" s="112"/>
      <c r="K7" s="112"/>
      <c r="L7" s="112"/>
      <c r="M7" s="112"/>
      <c r="N7" s="112"/>
      <c r="O7" s="112"/>
      <c r="P7" s="112"/>
      <c r="Q7" s="112"/>
      <c r="R7" s="112"/>
      <c r="S7" s="112"/>
      <c r="T7" s="112"/>
      <c r="U7" s="112"/>
      <c r="V7" s="112"/>
      <c r="W7" s="112"/>
      <c r="X7" s="112"/>
      <c r="Y7" s="149">
        <v>1</v>
      </c>
      <c r="Z7" s="180" t="s">
        <v>1067</v>
      </c>
      <c r="AA7" s="181">
        <v>761.26938399999995</v>
      </c>
    </row>
    <row r="8" spans="1:27" x14ac:dyDescent="0.25">
      <c r="A8" s="112"/>
      <c r="B8" s="112"/>
      <c r="C8" s="112"/>
      <c r="D8" s="112"/>
      <c r="E8" s="112"/>
      <c r="F8" s="112"/>
      <c r="G8" s="112"/>
      <c r="H8" s="112"/>
      <c r="I8" s="112"/>
      <c r="J8" s="112"/>
      <c r="K8" s="112"/>
      <c r="L8" s="112"/>
      <c r="M8" s="112"/>
      <c r="N8" s="112"/>
      <c r="O8" s="112"/>
      <c r="P8" s="112"/>
      <c r="Q8" s="112"/>
      <c r="R8" s="112"/>
      <c r="S8" s="112"/>
      <c r="T8" s="112"/>
      <c r="U8" s="112"/>
      <c r="V8" s="112"/>
      <c r="W8" s="112"/>
      <c r="X8" s="112"/>
      <c r="Y8" s="149">
        <v>2</v>
      </c>
      <c r="Z8" s="180" t="s">
        <v>1068</v>
      </c>
      <c r="AA8" s="181">
        <v>1098.3269089999999</v>
      </c>
    </row>
    <row r="9" spans="1:27" x14ac:dyDescent="0.25">
      <c r="A9" s="112"/>
      <c r="B9" s="112"/>
      <c r="C9" s="112"/>
      <c r="D9" s="112"/>
      <c r="E9" s="112"/>
      <c r="F9" s="112"/>
      <c r="G9" s="112"/>
      <c r="H9" s="112"/>
      <c r="I9" s="112"/>
      <c r="J9" s="112"/>
      <c r="K9" s="112"/>
      <c r="L9" s="112"/>
      <c r="M9" s="112"/>
      <c r="N9" s="112"/>
      <c r="O9" s="112"/>
      <c r="P9" s="112"/>
      <c r="Q9" s="112"/>
      <c r="R9" s="112"/>
      <c r="S9" s="112"/>
      <c r="T9" s="112"/>
      <c r="U9" s="112"/>
      <c r="V9" s="112"/>
      <c r="W9" s="112"/>
      <c r="X9" s="112"/>
      <c r="Y9" s="149">
        <v>3</v>
      </c>
      <c r="Z9" s="180" t="s">
        <v>1069</v>
      </c>
      <c r="AA9" s="181">
        <v>661.65205400000002</v>
      </c>
    </row>
    <row r="10" spans="1:27" x14ac:dyDescent="0.25">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49">
        <v>4</v>
      </c>
      <c r="Z10" s="180" t="s">
        <v>1070</v>
      </c>
      <c r="AA10" s="181">
        <v>1265.858205</v>
      </c>
    </row>
    <row r="11" spans="1:27" ht="30" x14ac:dyDescent="0.25">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49">
        <v>5</v>
      </c>
      <c r="Z11" s="180" t="s">
        <v>1071</v>
      </c>
      <c r="AA11" s="181">
        <v>254.70840200000001</v>
      </c>
    </row>
    <row r="12" spans="1:27" ht="45" x14ac:dyDescent="0.25">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49">
        <v>6</v>
      </c>
      <c r="Z12" s="180" t="s">
        <v>1072</v>
      </c>
      <c r="AA12" s="181">
        <v>184.23732699999999</v>
      </c>
    </row>
    <row r="13" spans="1:27" ht="30" x14ac:dyDescent="0.25">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49" t="s">
        <v>331</v>
      </c>
      <c r="Z13" s="180" t="s">
        <v>1073</v>
      </c>
      <c r="AA13" s="181">
        <v>4.6438480000000002</v>
      </c>
    </row>
    <row r="14" spans="1:27" ht="30" x14ac:dyDescent="0.25">
      <c r="A14" s="112"/>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49" t="s">
        <v>318</v>
      </c>
      <c r="Z14" s="180" t="s">
        <v>1074</v>
      </c>
      <c r="AA14" s="181">
        <v>143.69678560500003</v>
      </c>
    </row>
    <row r="15" spans="1:27" x14ac:dyDescent="0.25">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AA15" s="182">
        <v>4374.3929146049995</v>
      </c>
    </row>
    <row r="16" spans="1:27" x14ac:dyDescent="0.25">
      <c r="A16" s="112"/>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49">
        <v>1</v>
      </c>
      <c r="Z16" s="180" t="s">
        <v>414</v>
      </c>
      <c r="AA16" s="181">
        <v>891.57855700000005</v>
      </c>
    </row>
    <row r="17" spans="1:31" x14ac:dyDescent="0.25">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49">
        <v>2</v>
      </c>
      <c r="Z17" s="180" t="s">
        <v>412</v>
      </c>
      <c r="AA17" s="181">
        <v>841.37082599999997</v>
      </c>
    </row>
    <row r="18" spans="1:31" x14ac:dyDescent="0.25">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49">
        <v>3</v>
      </c>
      <c r="Z18" s="180" t="s">
        <v>406</v>
      </c>
      <c r="AA18" s="181">
        <v>820.60003700000004</v>
      </c>
    </row>
    <row r="19" spans="1:31" x14ac:dyDescent="0.25">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49">
        <v>4</v>
      </c>
      <c r="Z19" s="180" t="s">
        <v>408</v>
      </c>
      <c r="AA19" s="181">
        <v>653.92337099999997</v>
      </c>
    </row>
    <row r="20" spans="1:31" x14ac:dyDescent="0.25">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49">
        <v>5</v>
      </c>
      <c r="Z20" s="180" t="s">
        <v>416</v>
      </c>
      <c r="AA20" s="181">
        <v>374.39567799999998</v>
      </c>
    </row>
    <row r="21" spans="1:31" x14ac:dyDescent="0.25">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49">
        <v>6</v>
      </c>
      <c r="Z21" s="180" t="s">
        <v>411</v>
      </c>
      <c r="AA21" s="181">
        <v>295.08500600000002</v>
      </c>
    </row>
    <row r="22" spans="1:31" x14ac:dyDescent="0.25">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49">
        <v>7</v>
      </c>
      <c r="Z22" s="180" t="s">
        <v>321</v>
      </c>
      <c r="AA22" s="181">
        <v>181.02720360500004</v>
      </c>
    </row>
    <row r="23" spans="1:31" x14ac:dyDescent="0.2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49">
        <v>8</v>
      </c>
      <c r="Z23" s="180" t="s">
        <v>409</v>
      </c>
      <c r="AA23" s="181">
        <v>100.686295</v>
      </c>
    </row>
    <row r="24" spans="1:31" x14ac:dyDescent="0.25">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49">
        <v>9</v>
      </c>
      <c r="Z24" s="180" t="s">
        <v>410</v>
      </c>
      <c r="AA24" s="181">
        <v>75.410982000000004</v>
      </c>
    </row>
    <row r="25" spans="1:31" x14ac:dyDescent="0.2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49">
        <v>10</v>
      </c>
      <c r="Z25" s="180" t="s">
        <v>407</v>
      </c>
      <c r="AA25" s="181">
        <v>74.794476000000003</v>
      </c>
    </row>
    <row r="26" spans="1:31" x14ac:dyDescent="0.25">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49">
        <v>11</v>
      </c>
      <c r="Z26" s="180" t="s">
        <v>415</v>
      </c>
      <c r="AA26" s="181">
        <v>58.816425000000002</v>
      </c>
    </row>
    <row r="27" spans="1:31" x14ac:dyDescent="0.25">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49">
        <v>12</v>
      </c>
      <c r="Z27" s="180" t="s">
        <v>413</v>
      </c>
      <c r="AA27" s="181">
        <v>6.7040579999999999</v>
      </c>
    </row>
    <row r="28" spans="1:31" x14ac:dyDescent="0.25">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row>
    <row r="29" spans="1:31" x14ac:dyDescent="0.25">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49" t="s">
        <v>332</v>
      </c>
      <c r="Z29" s="183">
        <v>3582575888.2150002</v>
      </c>
      <c r="AA29" s="184">
        <v>0.81898813347417376</v>
      </c>
    </row>
    <row r="30" spans="1:31" x14ac:dyDescent="0.2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49" t="s">
        <v>333</v>
      </c>
      <c r="Z30" s="185">
        <v>322909545.83500004</v>
      </c>
    </row>
    <row r="31" spans="1:31" x14ac:dyDescent="0.25">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49" t="s">
        <v>1075</v>
      </c>
    </row>
    <row r="32" spans="1:31" x14ac:dyDescent="0.25">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49" t="s">
        <v>8</v>
      </c>
      <c r="Z32" s="183">
        <v>1031847494.1336002</v>
      </c>
      <c r="AA32" s="184">
        <v>0.23588358756903621</v>
      </c>
      <c r="AC32" s="149" t="s">
        <v>334</v>
      </c>
      <c r="AD32" s="183">
        <v>1465905432.3399999</v>
      </c>
      <c r="AE32" s="184">
        <v>0.33511059956358957</v>
      </c>
    </row>
    <row r="33" spans="1:31" x14ac:dyDescent="0.25">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49" t="s">
        <v>335</v>
      </c>
      <c r="Z33" s="183">
        <v>65226402.123600245</v>
      </c>
      <c r="AC33" s="149" t="s">
        <v>336</v>
      </c>
      <c r="AD33" s="183"/>
    </row>
    <row r="34" spans="1:31" x14ac:dyDescent="0.25">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49" t="s">
        <v>1076</v>
      </c>
      <c r="AC34" s="149" t="s">
        <v>1077</v>
      </c>
    </row>
    <row r="35" spans="1:31" x14ac:dyDescent="0.25">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row>
    <row r="36" spans="1:31" x14ac:dyDescent="0.25">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row>
    <row r="37" spans="1:31" x14ac:dyDescent="0.25">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49" t="s">
        <v>337</v>
      </c>
      <c r="Z37" s="149"/>
    </row>
    <row r="38" spans="1:31" x14ac:dyDescent="0.25">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49" t="s">
        <v>338</v>
      </c>
      <c r="Z38" s="149">
        <v>0</v>
      </c>
    </row>
    <row r="39" spans="1:31" x14ac:dyDescent="0.25">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49" t="s">
        <v>339</v>
      </c>
      <c r="Z39" s="149"/>
      <c r="AC39" s="205" t="s">
        <v>8</v>
      </c>
      <c r="AD39" s="205"/>
      <c r="AE39" s="205"/>
    </row>
    <row r="40" spans="1:31" x14ac:dyDescent="0.25">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49" t="s">
        <v>340</v>
      </c>
      <c r="Z40" s="149"/>
      <c r="AC40" s="149" t="s">
        <v>341</v>
      </c>
    </row>
    <row r="41" spans="1:31" x14ac:dyDescent="0.25">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49" t="s">
        <v>342</v>
      </c>
      <c r="Z41" s="149">
        <v>100</v>
      </c>
      <c r="AC41" s="149" t="s">
        <v>343</v>
      </c>
      <c r="AD41" s="149">
        <v>33.511059956358956</v>
      </c>
      <c r="AE41" s="149">
        <v>1</v>
      </c>
    </row>
    <row r="42" spans="1:31" x14ac:dyDescent="0.25">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49" t="s">
        <v>344</v>
      </c>
      <c r="Z42" s="149">
        <v>100</v>
      </c>
      <c r="AC42" s="149" t="s">
        <v>341</v>
      </c>
      <c r="AD42" s="149">
        <v>0.5</v>
      </c>
      <c r="AE42" s="187">
        <v>0.33511059956358957</v>
      </c>
    </row>
    <row r="43" spans="1:31" x14ac:dyDescent="0.25">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AC43" s="149" t="s">
        <v>345</v>
      </c>
      <c r="AD43" s="149">
        <v>165.98894004364104</v>
      </c>
      <c r="AE43" s="149">
        <v>1</v>
      </c>
    </row>
    <row r="44" spans="1:31" x14ac:dyDescent="0.25">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205" t="s">
        <v>332</v>
      </c>
      <c r="Z44" s="205"/>
      <c r="AA44" s="205"/>
    </row>
    <row r="45" spans="1:31" x14ac:dyDescent="0.25">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49" t="s">
        <v>341</v>
      </c>
      <c r="Z45" s="149"/>
    </row>
    <row r="46" spans="1:31" x14ac:dyDescent="0.25">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49" t="s">
        <v>343</v>
      </c>
      <c r="Z46" s="149">
        <v>81.898813347417374</v>
      </c>
      <c r="AA46" s="149">
        <v>1</v>
      </c>
    </row>
    <row r="47" spans="1:31" x14ac:dyDescent="0.25">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49" t="s">
        <v>341</v>
      </c>
      <c r="Z47" s="149">
        <v>0.5</v>
      </c>
      <c r="AA47" s="188">
        <v>0.81898813347417376</v>
      </c>
    </row>
    <row r="48" spans="1:31" x14ac:dyDescent="0.25">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Z48" s="149"/>
      <c r="AA48" s="188"/>
    </row>
    <row r="49" spans="1:32" ht="21" customHeight="1" x14ac:dyDescent="0.25">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49" t="s">
        <v>345</v>
      </c>
      <c r="Z49" s="149">
        <v>117.60118665258263</v>
      </c>
      <c r="AA49" s="149">
        <v>1</v>
      </c>
    </row>
    <row r="50" spans="1:32" ht="21" customHeight="1" thickBot="1" x14ac:dyDescent="0.3">
      <c r="A50" s="112"/>
      <c r="B50" s="112"/>
      <c r="C50" s="173"/>
      <c r="D50" s="173"/>
      <c r="E50" s="173"/>
      <c r="F50" s="173"/>
      <c r="G50" s="173"/>
      <c r="H50" s="173"/>
      <c r="I50" s="173"/>
      <c r="J50" s="173"/>
      <c r="K50" s="173"/>
      <c r="L50" s="173"/>
      <c r="M50" s="173"/>
      <c r="N50" s="173"/>
      <c r="O50" s="173"/>
      <c r="P50" s="173"/>
      <c r="Q50" s="173"/>
      <c r="R50" s="173"/>
      <c r="S50" s="173"/>
      <c r="T50" s="173"/>
      <c r="U50" s="173"/>
      <c r="V50" s="173"/>
      <c r="W50" s="173"/>
      <c r="X50" s="173"/>
      <c r="Z50" s="149"/>
    </row>
    <row r="51" spans="1:32" ht="57.75" customHeight="1" x14ac:dyDescent="0.25">
      <c r="A51" s="112"/>
      <c r="B51" s="112"/>
      <c r="C51" s="212" t="s">
        <v>1083</v>
      </c>
      <c r="D51" s="212"/>
      <c r="E51" s="212"/>
      <c r="F51" s="212"/>
      <c r="G51" s="212"/>
      <c r="H51" s="212"/>
      <c r="I51" s="212"/>
      <c r="J51" s="212"/>
      <c r="K51" s="212"/>
      <c r="L51" s="212"/>
      <c r="M51" s="212"/>
      <c r="N51" s="212"/>
      <c r="O51" s="212"/>
      <c r="P51" s="212"/>
      <c r="Q51" s="212"/>
      <c r="R51" s="212"/>
      <c r="S51" s="212"/>
      <c r="T51" s="212"/>
      <c r="U51" s="212"/>
      <c r="V51" s="212"/>
      <c r="W51" s="212"/>
      <c r="X51" s="212"/>
    </row>
    <row r="52" spans="1:32" ht="39.75" customHeight="1" x14ac:dyDescent="0.25">
      <c r="A52" s="112"/>
      <c r="B52" s="112"/>
      <c r="C52" s="112"/>
      <c r="D52" s="112"/>
      <c r="E52" s="112"/>
      <c r="F52" s="112"/>
      <c r="G52" s="112"/>
      <c r="H52" s="206" t="s">
        <v>346</v>
      </c>
      <c r="I52" s="207"/>
      <c r="J52" s="208"/>
      <c r="K52" s="209" t="s">
        <v>347</v>
      </c>
      <c r="L52" s="210"/>
      <c r="M52" s="210"/>
      <c r="N52" s="150" t="s">
        <v>348</v>
      </c>
      <c r="O52" s="162" t="s">
        <v>349</v>
      </c>
      <c r="P52" s="112"/>
      <c r="Q52" s="112"/>
      <c r="R52" s="112"/>
      <c r="S52" s="112"/>
      <c r="T52" s="112"/>
      <c r="U52" s="112"/>
      <c r="V52" s="112"/>
      <c r="W52" s="112"/>
      <c r="X52" s="112"/>
      <c r="Y52" s="205" t="s">
        <v>8</v>
      </c>
      <c r="Z52" s="205"/>
      <c r="AA52" s="205"/>
    </row>
    <row r="53" spans="1:32" ht="21" customHeight="1" x14ac:dyDescent="0.25">
      <c r="A53" s="112"/>
      <c r="B53" s="112"/>
      <c r="C53" s="112"/>
      <c r="D53" s="112"/>
      <c r="E53" s="112"/>
      <c r="F53" s="131"/>
      <c r="G53" s="132"/>
      <c r="H53" s="133" t="str">
        <f>INDEX(Ministrijas!$E$11:$E$22,MATCH(AF53,Ministrijas!$C$11:$C$22,0))</f>
        <v>VARAM</v>
      </c>
      <c r="I53" s="134">
        <f>INDEX(Ministrijas!$H$11:$H$22,MATCH(AF53,Ministrijas!$C$11:$C$22,0))/1000000</f>
        <v>891.57855700000005</v>
      </c>
      <c r="J53" s="151"/>
      <c r="K53" s="154"/>
      <c r="L53" s="154"/>
      <c r="M53" s="163">
        <f>(INDEX(Ministrijas!$L$11:$L$22,MATCH(AF53,Ministrijas!$C$11:$C$22,0))/1000000)/I53</f>
        <v>0.63805244168742381</v>
      </c>
      <c r="N53" s="169" t="str">
        <f>IF(ROUND(VLOOKUP(H53,$Z$58:$AA$69,2,0)/1000000,1)&gt;0.01,
ROUND(VLOOKUP(H53,Ministrijas!$E$11:$L$23,8,0)/1000000,1)&amp; " (+"&amp;ROUND(VLOOKUP(H53,$Z$58:$AA$69,2,0)/1000000,1) &amp;")",
ROUND(VLOOKUP(H53,Ministrijas!$E$11:$L$23,8,0)/1000000,1)&amp; " ("&amp;ROUND(VLOOKUP(H53,$Z$58:$AA$69,2,0)/1000000,1) &amp;")")</f>
        <v>568,9 (+1)</v>
      </c>
      <c r="O53" s="166">
        <f>I53-(VLOOKUP(H53,Ministrijas!$E$11:$L$23,8,0)/1000000)</f>
        <v>322.70468175000008</v>
      </c>
      <c r="P53" s="112"/>
      <c r="Q53" s="112"/>
      <c r="R53" s="112"/>
      <c r="S53" s="112"/>
      <c r="T53" s="112"/>
      <c r="U53" s="112"/>
      <c r="V53" s="112"/>
      <c r="W53" s="112"/>
      <c r="X53" s="112"/>
      <c r="Y53" s="149" t="s">
        <v>341</v>
      </c>
      <c r="Z53" s="149"/>
      <c r="AB53" s="188"/>
      <c r="AC53" s="188"/>
      <c r="AD53" s="188"/>
      <c r="AE53" s="189" t="s">
        <v>350</v>
      </c>
      <c r="AF53" s="149">
        <v>1</v>
      </c>
    </row>
    <row r="54" spans="1:32" ht="21" customHeight="1" x14ac:dyDescent="0.25">
      <c r="A54" s="112"/>
      <c r="B54" s="112"/>
      <c r="C54" s="112"/>
      <c r="D54" s="112"/>
      <c r="E54" s="112"/>
      <c r="F54" s="131"/>
      <c r="G54" s="132"/>
      <c r="H54" s="135" t="str">
        <f>INDEX(Ministrijas!$E$11:$E$22,MATCH(AF54,Ministrijas!$C$11:$C$22,0))</f>
        <v>SM</v>
      </c>
      <c r="I54" s="136">
        <f>INDEX(Ministrijas!$H$11:$H$22,MATCH(AF54,Ministrijas!$C$11:$C$22,0))/1000000</f>
        <v>841.37082599999997</v>
      </c>
      <c r="J54" s="152"/>
      <c r="K54" s="141"/>
      <c r="L54" s="141"/>
      <c r="M54" s="164">
        <f>(INDEX(Ministrijas!$L$11:$L$22,MATCH(AF54,Ministrijas!$C$11:$C$22,0))/1000000)/I54</f>
        <v>0.59147058501645744</v>
      </c>
      <c r="N54" s="169" t="str">
        <f>IF(ROUND(VLOOKUP(H54,$Z$58:$AA$69,2,0)/1000000,1)&gt;0.01,
ROUND(VLOOKUP(H54,Ministrijas!$E$11:$L$23,8,0)/1000000,1)&amp; " (+"&amp;ROUND(VLOOKUP(H54,$Z$58:$AA$69,2,0)/1000000,1) &amp;")",
ROUND(VLOOKUP(H54,Ministrijas!$E$11:$L$23,8,0)/1000000,1)&amp; " ("&amp;ROUND(VLOOKUP(H54,$Z$58:$AA$69,2,0)/1000000,1) &amp;")")</f>
        <v>497,6 (+90,3)</v>
      </c>
      <c r="O54" s="167">
        <f>I54-(VLOOKUP(H54,Ministrijas!$E$11:$L$23,8,0)/1000000)</f>
        <v>343.72473133</v>
      </c>
      <c r="P54" s="112"/>
      <c r="Q54" s="112"/>
      <c r="R54" s="112"/>
      <c r="S54" s="112"/>
      <c r="T54" s="112"/>
      <c r="U54" s="112"/>
      <c r="V54" s="112"/>
      <c r="W54" s="112"/>
      <c r="X54" s="112"/>
      <c r="Y54" s="149" t="s">
        <v>343</v>
      </c>
      <c r="Z54" s="149">
        <v>23.58835875690362</v>
      </c>
      <c r="AA54" s="149">
        <v>1</v>
      </c>
      <c r="AB54" s="188"/>
      <c r="AC54" s="188"/>
      <c r="AD54" s="188"/>
      <c r="AE54" s="189" t="s">
        <v>351</v>
      </c>
      <c r="AF54" s="149">
        <v>2</v>
      </c>
    </row>
    <row r="55" spans="1:32" ht="21" customHeight="1" x14ac:dyDescent="0.25">
      <c r="A55" s="112"/>
      <c r="B55" s="112"/>
      <c r="C55" s="112"/>
      <c r="D55" s="112"/>
      <c r="E55" s="112"/>
      <c r="F55" s="131"/>
      <c r="G55" s="132"/>
      <c r="H55" s="135" t="str">
        <f>INDEX(Ministrijas!$E$11:$E$22,MATCH(AF55,Ministrijas!$C$11:$C$22,0))</f>
        <v>EM</v>
      </c>
      <c r="I55" s="136">
        <f>INDEX(Ministrijas!$H$11:$H$22,MATCH(AF55,Ministrijas!$C$11:$C$22,0))/1000000</f>
        <v>820.60003700000004</v>
      </c>
      <c r="J55" s="152"/>
      <c r="K55" s="141"/>
      <c r="L55" s="141"/>
      <c r="M55" s="164">
        <f>(INDEX(Ministrijas!$L$11:$L$22,MATCH(AF55,Ministrijas!$C$11:$C$22,0))/1000000)/I55</f>
        <v>0.87939444559152502</v>
      </c>
      <c r="N55" s="169" t="str">
        <f>IF(ROUND(VLOOKUP(H55,$Z$58:$AA$69,2,0)/1000000,1)&gt;0.01,
ROUND(VLOOKUP(H55,Ministrijas!$E$11:$L$23,8,0)/1000000,1)&amp; " (+"&amp;ROUND(VLOOKUP(H55,$Z$58:$AA$69,2,0)/1000000,1) &amp;")",
ROUND(VLOOKUP(H55,Ministrijas!$E$11:$L$23,8,0)/1000000,1)&amp; " ("&amp;ROUND(VLOOKUP(H55,$Z$58:$AA$69,2,0)/1000000,1) &amp;")")</f>
        <v>721,6 (+9)</v>
      </c>
      <c r="O55" s="167">
        <f>I55-(VLOOKUP(H55,Ministrijas!$E$11:$L$23,8,0)/1000000)</f>
        <v>98.968922410000118</v>
      </c>
      <c r="P55" s="112"/>
      <c r="Q55" s="112"/>
      <c r="R55" s="112"/>
      <c r="S55" s="112"/>
      <c r="T55" s="112"/>
      <c r="U55" s="112"/>
      <c r="V55" s="112"/>
      <c r="W55" s="112"/>
      <c r="X55" s="112"/>
      <c r="Y55" s="149" t="s">
        <v>341</v>
      </c>
      <c r="Z55" s="149">
        <v>0.5</v>
      </c>
      <c r="AA55" s="188">
        <v>0.23588358756903621</v>
      </c>
      <c r="AB55" s="188"/>
      <c r="AC55" s="188"/>
      <c r="AD55" s="188"/>
      <c r="AE55" s="189" t="s">
        <v>352</v>
      </c>
      <c r="AF55" s="149">
        <v>3</v>
      </c>
    </row>
    <row r="56" spans="1:32" ht="21" customHeight="1" x14ac:dyDescent="0.25">
      <c r="A56" s="112"/>
      <c r="B56" s="112"/>
      <c r="C56" s="112"/>
      <c r="D56" s="112"/>
      <c r="E56" s="112"/>
      <c r="F56" s="131"/>
      <c r="G56" s="132"/>
      <c r="H56" s="135" t="str">
        <f>INDEX(Ministrijas!$E$11:$E$22,MATCH(AF56,Ministrijas!$C$11:$C$22,0))</f>
        <v>IZM</v>
      </c>
      <c r="I56" s="136">
        <f>INDEX(Ministrijas!$H$11:$H$22,MATCH(AF56,Ministrijas!$C$11:$C$22,0))/1000000</f>
        <v>653.92337099999997</v>
      </c>
      <c r="J56" s="152"/>
      <c r="K56" s="141"/>
      <c r="L56" s="141"/>
      <c r="M56" s="164">
        <f>(INDEX(Ministrijas!$L$11:$L$22,MATCH(AF56,Ministrijas!$C$11:$C$22,0))/1000000)/I56</f>
        <v>0.89805988108658674</v>
      </c>
      <c r="N56" s="169" t="str">
        <f>IF(ROUND(VLOOKUP(H56,$Z$58:$AA$69,2,0)/1000000,1)&gt;0.01,
ROUND(VLOOKUP(H56,Ministrijas!$E$11:$L$23,8,0)/1000000,1)&amp; " (+"&amp;ROUND(VLOOKUP(H56,$Z$58:$AA$69,2,0)/1000000,1) &amp;")",
ROUND(VLOOKUP(H56,Ministrijas!$E$11:$L$23,8,0)/1000000,1)&amp; " ("&amp;ROUND(VLOOKUP(H56,$Z$58:$AA$69,2,0)/1000000,1) &amp;")")</f>
        <v>587,3 (+3,6)</v>
      </c>
      <c r="O56" s="167">
        <f>I56-(VLOOKUP(H56,Ministrijas!$E$11:$L$23,8,0)/1000000)</f>
        <v>66.661026200000038</v>
      </c>
      <c r="P56" s="112"/>
      <c r="Q56" s="112"/>
      <c r="R56" s="112"/>
      <c r="S56" s="112"/>
      <c r="T56" s="112"/>
      <c r="U56" s="112"/>
      <c r="V56" s="112"/>
      <c r="W56" s="112"/>
      <c r="X56" s="112"/>
      <c r="Y56" s="149" t="s">
        <v>345</v>
      </c>
      <c r="Z56" s="149">
        <v>175.91164124309637</v>
      </c>
      <c r="AA56" s="149">
        <v>1</v>
      </c>
      <c r="AB56" s="188"/>
      <c r="AC56" s="188"/>
      <c r="AD56" s="188"/>
      <c r="AE56" s="189" t="s">
        <v>353</v>
      </c>
      <c r="AF56" s="149">
        <v>4</v>
      </c>
    </row>
    <row r="57" spans="1:32" ht="21" customHeight="1" x14ac:dyDescent="0.25">
      <c r="A57" s="112"/>
      <c r="B57" s="112"/>
      <c r="C57" s="112"/>
      <c r="D57" s="112"/>
      <c r="E57" s="112"/>
      <c r="F57" s="131"/>
      <c r="G57" s="132"/>
      <c r="H57" s="135" t="str">
        <f>INDEX(Ministrijas!$E$11:$E$22,MATCH(AF57,Ministrijas!$C$11:$C$22,0))</f>
        <v>VM</v>
      </c>
      <c r="I57" s="136">
        <f>INDEX(Ministrijas!$H$11:$H$22,MATCH(AF57,Ministrijas!$C$11:$C$22,0))/1000000</f>
        <v>374.39567799999998</v>
      </c>
      <c r="J57" s="152"/>
      <c r="K57" s="141"/>
      <c r="L57" s="141"/>
      <c r="M57" s="164">
        <f>(INDEX(Ministrijas!$L$11:$L$22,MATCH(AF57,Ministrijas!$C$11:$C$22,0))/1000000)/I57</f>
        <v>0.96328590518611745</v>
      </c>
      <c r="N57" s="169" t="str">
        <f>IF(ROUND(VLOOKUP(H57,$Z$58:$AA$69,2,0)/1000000,1)&gt;0.01,
ROUND(VLOOKUP(H57,Ministrijas!$E$11:$L$23,8,0)/1000000,1)&amp; " (+"&amp;ROUND(VLOOKUP(H57,$Z$58:$AA$69,2,0)/1000000,1) &amp;")",
ROUND(VLOOKUP(H57,Ministrijas!$E$11:$L$23,8,0)/1000000,1)&amp; " ("&amp;ROUND(VLOOKUP(H57,$Z$58:$AA$69,2,0)/1000000,1) &amp;")")</f>
        <v>360,7 (+74,1)</v>
      </c>
      <c r="O57" s="167">
        <f>I57-(VLOOKUP(H57,Ministrijas!$E$11:$L$23,8,0)/1000000)</f>
        <v>13.745598419999851</v>
      </c>
      <c r="P57" s="112"/>
      <c r="Q57" s="112"/>
      <c r="R57" s="112"/>
      <c r="S57" s="112"/>
      <c r="T57" s="112"/>
      <c r="U57" s="112"/>
      <c r="V57" s="112"/>
      <c r="W57" s="112"/>
      <c r="X57" s="112"/>
      <c r="Y57" s="149" t="s">
        <v>354</v>
      </c>
      <c r="AB57" s="188"/>
      <c r="AC57" s="188"/>
      <c r="AD57" s="188"/>
      <c r="AE57" s="189" t="s">
        <v>355</v>
      </c>
      <c r="AF57" s="149">
        <v>5</v>
      </c>
    </row>
    <row r="58" spans="1:32" ht="21" customHeight="1" x14ac:dyDescent="0.25">
      <c r="A58" s="112"/>
      <c r="B58" s="112"/>
      <c r="C58" s="112"/>
      <c r="D58" s="112"/>
      <c r="E58" s="112"/>
      <c r="F58" s="131"/>
      <c r="G58" s="132"/>
      <c r="H58" s="135" t="str">
        <f>INDEX(Ministrijas!$E$11:$E$22,MATCH(AF58,Ministrijas!$C$11:$C$22,0))</f>
        <v>LM</v>
      </c>
      <c r="I58" s="136">
        <f>INDEX(Ministrijas!$H$11:$H$22,MATCH(AF58,Ministrijas!$C$11:$C$22,0))/1000000</f>
        <v>295.08500600000002</v>
      </c>
      <c r="J58" s="152"/>
      <c r="K58" s="141"/>
      <c r="L58" s="141"/>
      <c r="M58" s="164">
        <f>(INDEX(Ministrijas!$L$11:$L$22,MATCH(AF58,Ministrijas!$C$11:$C$22,0))/1000000)/I58</f>
        <v>0.88503845956171678</v>
      </c>
      <c r="N58" s="169" t="str">
        <f>IF(ROUND(VLOOKUP(H58,$Z$58:$AA$69,2,0)/1000000,1)&gt;0.01,
ROUND(VLOOKUP(H58,Ministrijas!$E$11:$L$23,8,0)/1000000,1)&amp; " (+"&amp;ROUND(VLOOKUP(H58,$Z$58:$AA$69,2,0)/1000000,1) &amp;")",
ROUND(VLOOKUP(H58,Ministrijas!$E$11:$L$23,8,0)/1000000,1)&amp; " ("&amp;ROUND(VLOOKUP(H58,$Z$58:$AA$69,2,0)/1000000,1) &amp;")")</f>
        <v>261,2 (0)</v>
      </c>
      <c r="O58" s="167">
        <f>I58-(VLOOKUP(H58,Ministrijas!$E$11:$L$23,8,0)/1000000)</f>
        <v>33.923426850000055</v>
      </c>
      <c r="P58" s="112"/>
      <c r="Q58" s="112"/>
      <c r="R58" s="112"/>
      <c r="S58" s="112"/>
      <c r="T58" s="112"/>
      <c r="U58" s="112"/>
      <c r="V58" s="112"/>
      <c r="W58" s="112"/>
      <c r="X58" s="112"/>
      <c r="Y58" s="149">
        <v>1</v>
      </c>
      <c r="Z58" s="180" t="s">
        <v>414</v>
      </c>
      <c r="AA58" s="190">
        <v>960274.72000002861</v>
      </c>
      <c r="AB58" s="191">
        <v>9987723.9199999273</v>
      </c>
      <c r="AC58" s="188"/>
      <c r="AD58" s="188"/>
      <c r="AE58" s="189" t="s">
        <v>356</v>
      </c>
      <c r="AF58" s="149">
        <v>6</v>
      </c>
    </row>
    <row r="59" spans="1:32" ht="21" customHeight="1" x14ac:dyDescent="0.25">
      <c r="A59" s="112"/>
      <c r="B59" s="112"/>
      <c r="C59" s="112"/>
      <c r="D59" s="112"/>
      <c r="E59" s="112"/>
      <c r="F59" s="131"/>
      <c r="G59" s="132"/>
      <c r="H59" s="135" t="str">
        <f>INDEX(Ministrijas!$E$11:$E$22,MATCH(AF59,Ministrijas!$C$11:$C$22,0))</f>
        <v>IeM</v>
      </c>
      <c r="I59" s="136">
        <f>INDEX(Ministrijas!$H$11:$H$22,MATCH(AF59,Ministrijas!$C$11:$C$22,0))/1000000</f>
        <v>228.03575799999999</v>
      </c>
      <c r="J59" s="152"/>
      <c r="K59" s="141"/>
      <c r="L59" s="141"/>
      <c r="M59" s="164">
        <f>(INDEX(Ministrijas!$L$11:$L$22,MATCH(AF59,Ministrijas!$C$11:$C$22,0))/1000000)/I59</f>
        <v>1</v>
      </c>
      <c r="N59" s="169" t="str">
        <f>IF(ROUND(VLOOKUP(H59,$Z$58:$AA$69,2,0)/1000000,1)&gt;0.01,
ROUND(VLOOKUP(H59,Ministrijas!$E$11:$L$23,8,0)/1000000,1)&amp; " (+"&amp;ROUND(VLOOKUP(H59,$Z$58:$AA$69,2,0)/1000000,1) &amp;")",
ROUND(VLOOKUP(H59,Ministrijas!$E$11:$L$23,8,0)/1000000,1)&amp; " ("&amp;ROUND(VLOOKUP(H59,$Z$58:$AA$69,2,0)/1000000,1) &amp;")")</f>
        <v>228 (0)</v>
      </c>
      <c r="O59" s="167">
        <f>I59-(VLOOKUP(H59,Ministrijas!$E$11:$L$23,8,0)/1000000)</f>
        <v>0</v>
      </c>
      <c r="P59" s="112"/>
      <c r="Q59" s="112"/>
      <c r="R59" s="112"/>
      <c r="S59" s="112"/>
      <c r="T59" s="112"/>
      <c r="U59" s="112"/>
      <c r="V59" s="112"/>
      <c r="W59" s="112"/>
      <c r="X59" s="112"/>
      <c r="Y59" s="149">
        <v>2</v>
      </c>
      <c r="Z59" s="180" t="s">
        <v>412</v>
      </c>
      <c r="AA59" s="190">
        <v>90342547.609999895</v>
      </c>
      <c r="AB59" s="191">
        <v>2267320.4399999976</v>
      </c>
      <c r="AC59" s="188"/>
      <c r="AD59" s="188"/>
      <c r="AE59" s="189" t="s">
        <v>357</v>
      </c>
      <c r="AF59" s="149">
        <v>7</v>
      </c>
    </row>
    <row r="60" spans="1:32" ht="21" customHeight="1" x14ac:dyDescent="0.25">
      <c r="A60" s="112"/>
      <c r="B60" s="112"/>
      <c r="C60" s="112"/>
      <c r="D60" s="112"/>
      <c r="E60" s="112"/>
      <c r="F60" s="131"/>
      <c r="G60" s="132"/>
      <c r="H60" s="135" t="str">
        <f>INDEX(Ministrijas!$E$11:$E$22,MATCH(AF60,Ministrijas!$C$11:$C$22,0))</f>
        <v>FM</v>
      </c>
      <c r="I60" s="136">
        <f>INDEX(Ministrijas!$H$11:$H$22,MATCH(AF60,Ministrijas!$C$11:$C$22,0))/1000000</f>
        <v>181.02720360500004</v>
      </c>
      <c r="J60" s="152"/>
      <c r="K60" s="141"/>
      <c r="L60" s="141"/>
      <c r="M60" s="164">
        <f>(INDEX(Ministrijas!$L$11:$L$22,MATCH(AF60,Ministrijas!$C$11:$C$22,0))/1000000)/I60</f>
        <v>0.98719415671327326</v>
      </c>
      <c r="N60" s="169" t="str">
        <f>IF(ROUND(VLOOKUP(H60,$Z$58:$AA$69,2,0)/1000000,1)&gt;0.01,
ROUND(VLOOKUP(H60,Ministrijas!$E$11:$L$23,8,0)/1000000,1)&amp; " (+"&amp;ROUND(VLOOKUP(H60,$Z$58:$AA$69,2,0)/1000000,1) &amp;")",
ROUND(VLOOKUP(H60,Ministrijas!$E$11:$L$23,8,0)/1000000,1)&amp; " ("&amp;ROUND(VLOOKUP(H60,$Z$58:$AA$69,2,0)/1000000,1) &amp;")")</f>
        <v>178,7 (+0,4)</v>
      </c>
      <c r="O60" s="167">
        <f>I60-(VLOOKUP(H60,Ministrijas!$E$11:$L$23,8,0)/1000000)</f>
        <v>2.3182060000000035</v>
      </c>
      <c r="P60" s="112"/>
      <c r="Q60" s="112"/>
      <c r="R60" s="112"/>
      <c r="S60" s="112"/>
      <c r="T60" s="112"/>
      <c r="U60" s="112"/>
      <c r="V60" s="112"/>
      <c r="W60" s="112"/>
      <c r="X60" s="112"/>
      <c r="Y60" s="149">
        <v>3</v>
      </c>
      <c r="Z60" s="180" t="s">
        <v>406</v>
      </c>
      <c r="AA60" s="190">
        <v>9002288.3299999237</v>
      </c>
      <c r="AB60" s="191">
        <v>2607611.3000000119</v>
      </c>
      <c r="AC60" s="188"/>
      <c r="AD60" s="188"/>
      <c r="AE60" s="189" t="s">
        <v>358</v>
      </c>
      <c r="AF60" s="149">
        <v>8</v>
      </c>
    </row>
    <row r="61" spans="1:32" ht="21" customHeight="1" x14ac:dyDescent="0.25">
      <c r="A61" s="112"/>
      <c r="B61" s="112"/>
      <c r="C61" s="112"/>
      <c r="D61" s="112"/>
      <c r="E61" s="112"/>
      <c r="F61" s="131"/>
      <c r="G61" s="132"/>
      <c r="H61" s="135" t="str">
        <f>INDEX(Ministrijas!$E$11:$E$22,MATCH(AF61,Ministrijas!$C$11:$C$22,0))</f>
        <v>KEM</v>
      </c>
      <c r="I61" s="136">
        <f>INDEX(Ministrijas!$H$11:$H$22,MATCH(AF61,Ministrijas!$C$11:$C$22,0))/1000000</f>
        <v>100.686295</v>
      </c>
      <c r="J61" s="152"/>
      <c r="K61" s="141"/>
      <c r="L61" s="141"/>
      <c r="M61" s="164">
        <f>(INDEX(Ministrijas!$L$11:$L$22,MATCH(AF61,Ministrijas!$C$11:$C$22,0))/1000000)/I61</f>
        <v>0.65238565983582975</v>
      </c>
      <c r="N61" s="169" t="str">
        <f>IF(ROUND(VLOOKUP(H61,$Z$58:$AA$69,2,0)/1000000,1)&gt;0.01,
ROUND(VLOOKUP(H61,Ministrijas!$E$11:$L$23,8,0)/1000000,1)&amp; " (+"&amp;ROUND(VLOOKUP(H61,$Z$58:$AA$69,2,0)/1000000,1) &amp;")",
ROUND(VLOOKUP(H61,Ministrijas!$E$11:$L$23,8,0)/1000000,1)&amp; " ("&amp;ROUND(VLOOKUP(H61,$Z$58:$AA$69,2,0)/1000000,1) &amp;")")</f>
        <v>65,7 (0)</v>
      </c>
      <c r="O61" s="167">
        <f>I61-(VLOOKUP(H61,Ministrijas!$E$11:$L$23,8,0)/1000000)</f>
        <v>35</v>
      </c>
      <c r="P61" s="112"/>
      <c r="Q61" s="112"/>
      <c r="R61" s="112"/>
      <c r="S61" s="112"/>
      <c r="T61" s="112"/>
      <c r="U61" s="112"/>
      <c r="V61" s="112"/>
      <c r="W61" s="112"/>
      <c r="X61" s="112"/>
      <c r="Y61" s="149">
        <v>4</v>
      </c>
      <c r="Z61" s="180" t="s">
        <v>408</v>
      </c>
      <c r="AA61" s="190">
        <v>3628751.5800000429</v>
      </c>
      <c r="AB61" s="191">
        <v>10102202.830000028</v>
      </c>
      <c r="AC61" s="188"/>
      <c r="AD61" s="188"/>
      <c r="AE61" s="189" t="s">
        <v>359</v>
      </c>
      <c r="AF61" s="149">
        <v>9</v>
      </c>
    </row>
    <row r="62" spans="1:32" ht="21" customHeight="1" x14ac:dyDescent="0.25">
      <c r="A62" s="112"/>
      <c r="B62" s="112"/>
      <c r="C62" s="112"/>
      <c r="D62" s="112"/>
      <c r="E62" s="112"/>
      <c r="F62" s="131"/>
      <c r="G62" s="132"/>
      <c r="H62" s="135" t="str">
        <f>INDEX(Ministrijas!$E$11:$E$22,MATCH(AF62,Ministrijas!$C$11:$C$22,0))</f>
        <v>KM</v>
      </c>
      <c r="I62" s="136">
        <f>INDEX(Ministrijas!$H$11:$H$22,MATCH(AF62,Ministrijas!$C$11:$C$22,0))/1000000</f>
        <v>77.937427999999997</v>
      </c>
      <c r="J62" s="152"/>
      <c r="K62" s="141"/>
      <c r="L62" s="141"/>
      <c r="M62" s="164">
        <f>(INDEX(Ministrijas!$L$11:$L$22,MATCH(AF62,Ministrijas!$C$11:$C$22,0))/1000000)/I62</f>
        <v>0.88339826366864438</v>
      </c>
      <c r="N62" s="169" t="str">
        <f>IF(ROUND(VLOOKUP(H62,$Z$58:$AA$69,2,0)/1000000,1)&gt;0.01,
ROUND(VLOOKUP(H62,Ministrijas!$E$11:$L$23,8,0)/1000000,1)&amp; " (+"&amp;ROUND(VLOOKUP(H62,$Z$58:$AA$69,2,0)/1000000,1) &amp;")",
ROUND(VLOOKUP(H62,Ministrijas!$E$11:$L$23,8,0)/1000000,1)&amp; " ("&amp;ROUND(VLOOKUP(H62,$Z$58:$AA$69,2,0)/1000000,1) &amp;")")</f>
        <v>68,8 (+0,8)</v>
      </c>
      <c r="O62" s="167">
        <f>I62-(VLOOKUP(H62,Ministrijas!$E$11:$L$23,8,0)/1000000)</f>
        <v>9.0876394300000101</v>
      </c>
      <c r="P62" s="112"/>
      <c r="Q62" s="112"/>
      <c r="R62" s="112"/>
      <c r="S62" s="112"/>
      <c r="T62" s="112"/>
      <c r="U62" s="112"/>
      <c r="V62" s="112"/>
      <c r="W62" s="112"/>
      <c r="X62" s="112"/>
      <c r="Y62" s="149">
        <v>5</v>
      </c>
      <c r="Z62" s="180" t="s">
        <v>416</v>
      </c>
      <c r="AA62" s="190">
        <v>74144435.320000112</v>
      </c>
      <c r="AB62" s="191">
        <v>2072263.9099999964</v>
      </c>
      <c r="AC62" s="188"/>
      <c r="AD62" s="188"/>
      <c r="AE62" s="189" t="s">
        <v>360</v>
      </c>
      <c r="AF62" s="149">
        <v>10</v>
      </c>
    </row>
    <row r="63" spans="1:32" ht="21" customHeight="1" x14ac:dyDescent="0.25">
      <c r="A63" s="112"/>
      <c r="B63" s="112"/>
      <c r="C63" s="112"/>
      <c r="D63" s="112"/>
      <c r="E63" s="112"/>
      <c r="F63" s="131"/>
      <c r="G63" s="132"/>
      <c r="H63" s="135" t="str">
        <f>INDEX(Ministrijas!$E$11:$E$22,MATCH(AF63,Ministrijas!$C$11:$C$22,0))</f>
        <v>VK</v>
      </c>
      <c r="I63" s="136">
        <f>INDEX(Ministrijas!$H$11:$H$22,MATCH(AF63,Ministrijas!$C$11:$C$22,0))/1000000</f>
        <v>58.816425000000002</v>
      </c>
      <c r="J63" s="152"/>
      <c r="K63" s="141"/>
      <c r="L63" s="141"/>
      <c r="M63" s="164">
        <f>(INDEX(Ministrijas!$L$11:$L$22,MATCH(AF63,Ministrijas!$C$11:$C$22,0))/1000000)/I63</f>
        <v>0.63529707900471677</v>
      </c>
      <c r="N63" s="169" t="str">
        <f>IF(ROUND(VLOOKUP(H63,$Z$58:$AA$69,2,0)/1000000,1)&gt;0.01,
ROUND(VLOOKUP(H63,Ministrijas!$E$11:$L$23,8,0)/1000000,1)&amp; " (+"&amp;ROUND(VLOOKUP(H63,$Z$58:$AA$69,2,0)/1000000,1) &amp;")",
ROUND(VLOOKUP(H63,Ministrijas!$E$11:$L$23,8,0)/1000000,1)&amp; " ("&amp;ROUND(VLOOKUP(H63,$Z$58:$AA$69,2,0)/1000000,1) &amp;")")</f>
        <v>37,4 (+0,4)</v>
      </c>
      <c r="O63" s="167">
        <f>I63-(VLOOKUP(H63,Ministrijas!$E$11:$L$23,8,0)/1000000)</f>
        <v>21.450521999999999</v>
      </c>
      <c r="P63" s="112"/>
      <c r="Q63" s="112"/>
      <c r="R63" s="112"/>
      <c r="S63" s="112"/>
      <c r="T63" s="112"/>
      <c r="U63" s="112"/>
      <c r="V63" s="112"/>
      <c r="W63" s="112"/>
      <c r="X63" s="112"/>
      <c r="Y63" s="149">
        <v>6</v>
      </c>
      <c r="Z63" s="180" t="s">
        <v>411</v>
      </c>
      <c r="AA63" s="190">
        <v>-231.75000002980232</v>
      </c>
      <c r="AB63" s="191">
        <v>3230674.040000014</v>
      </c>
      <c r="AC63" s="188"/>
      <c r="AD63" s="188"/>
      <c r="AE63" s="189" t="s">
        <v>361</v>
      </c>
      <c r="AF63" s="149">
        <v>11</v>
      </c>
    </row>
    <row r="64" spans="1:32" ht="22.5" customHeight="1" x14ac:dyDescent="0.25">
      <c r="A64" s="112"/>
      <c r="B64" s="112"/>
      <c r="C64" s="112"/>
      <c r="D64" s="112"/>
      <c r="E64" s="112"/>
      <c r="F64" s="131"/>
      <c r="G64" s="132"/>
      <c r="H64" s="138" t="str">
        <f>INDEX(Ministrijas!$E$11:$E$22,MATCH(AF64,Ministrijas!$C$11:$C$22,0))</f>
        <v>TM</v>
      </c>
      <c r="I64" s="139">
        <f>INDEX(Ministrijas!$H$11:$H$22,MATCH(AF64,Ministrijas!$C$11:$C$22,0))/1000000</f>
        <v>6.7040579999999999</v>
      </c>
      <c r="J64" s="153"/>
      <c r="K64" s="157"/>
      <c r="L64" s="157"/>
      <c r="M64" s="165">
        <f>(INDEX(Ministrijas!$L$11:$L$22,MATCH(AF64,Ministrijas!$C$11:$C$22,0))/1000000)/I64</f>
        <v>1</v>
      </c>
      <c r="N64" s="170" t="str">
        <f>IF(ROUND(VLOOKUP(H64,$Z$58:$AA$69,2,0)/1000000,1)&gt;0.01,
ROUND(VLOOKUP(H64,Ministrijas!$E$11:$L$23,8,0)/1000000,1)&amp; " (+"&amp;ROUND(VLOOKUP(H64,$Z$58:$AA$69,2,0)/1000000,1) &amp;")",
ROUND(VLOOKUP(H64,Ministrijas!$E$11:$L$23,8,0)/1000000,1)&amp; " ("&amp;ROUND(VLOOKUP(H64,$Z$58:$AA$69,2,0)/1000000,1) &amp;")")</f>
        <v>6,7 (0)</v>
      </c>
      <c r="O64" s="168">
        <f>I64-(VLOOKUP(H64,Ministrijas!$E$11:$L$23,8,0)/1000000)</f>
        <v>0</v>
      </c>
      <c r="P64" s="112"/>
      <c r="Q64" s="112"/>
      <c r="R64" s="112"/>
      <c r="S64" s="112"/>
      <c r="T64" s="112"/>
      <c r="U64" s="112"/>
      <c r="V64" s="112"/>
      <c r="W64" s="112"/>
      <c r="X64" s="112"/>
      <c r="Y64" s="149">
        <v>7</v>
      </c>
      <c r="Z64" s="180" t="s">
        <v>321</v>
      </c>
      <c r="AA64" s="190">
        <v>379073.60500004888</v>
      </c>
      <c r="AB64" s="191">
        <v>34011701.28360001</v>
      </c>
      <c r="AC64" s="188"/>
      <c r="AD64" s="188"/>
      <c r="AE64" s="189" t="s">
        <v>362</v>
      </c>
      <c r="AF64" s="149">
        <v>12</v>
      </c>
    </row>
    <row r="65" spans="1:32" ht="26.25" customHeight="1" x14ac:dyDescent="0.25">
      <c r="A65" s="112"/>
      <c r="B65" s="112"/>
      <c r="C65" s="112"/>
      <c r="D65" s="112"/>
      <c r="E65" s="112"/>
      <c r="F65" s="112"/>
      <c r="G65" s="112"/>
      <c r="H65" s="137"/>
      <c r="I65" s="137"/>
      <c r="J65" s="137"/>
      <c r="K65" s="137"/>
      <c r="L65" s="142" t="str">
        <f ca="1">"* (pieaugums no " &amp; TEXT(W2,"dd.mm.yyyy.") &amp;" līdz " &amp; TEXT(datums, "dd.mm.yyyy.")&amp; ")"</f>
        <v>* (pieaugums no 30.06.2026. līdz 31.07.2026.)</v>
      </c>
      <c r="M65" s="137"/>
      <c r="N65" s="137"/>
      <c r="O65" s="137"/>
      <c r="P65" s="112"/>
      <c r="Q65" s="112"/>
      <c r="R65" s="112"/>
      <c r="S65" s="112"/>
      <c r="T65" s="112"/>
      <c r="U65" s="112"/>
      <c r="V65" s="112"/>
      <c r="W65" s="112"/>
      <c r="X65" s="112"/>
      <c r="Y65" s="149">
        <v>8</v>
      </c>
      <c r="Z65" s="180" t="s">
        <v>409</v>
      </c>
      <c r="AA65" s="190">
        <v>0</v>
      </c>
      <c r="AB65" s="191">
        <v>0</v>
      </c>
      <c r="AC65" s="188"/>
    </row>
    <row r="66" spans="1:32" ht="44.25" customHeight="1" x14ac:dyDescent="0.25">
      <c r="A66" s="112"/>
      <c r="B66" s="112"/>
      <c r="C66" s="112"/>
      <c r="D66" s="112"/>
      <c r="E66" s="112"/>
      <c r="F66" s="112"/>
      <c r="G66" s="112"/>
      <c r="H66" s="206" t="s">
        <v>346</v>
      </c>
      <c r="I66" s="207"/>
      <c r="J66" s="208"/>
      <c r="K66" s="209" t="s">
        <v>363</v>
      </c>
      <c r="L66" s="210"/>
      <c r="M66" s="211"/>
      <c r="N66" s="150" t="s">
        <v>364</v>
      </c>
      <c r="O66" s="150" t="s">
        <v>365</v>
      </c>
      <c r="P66" s="112"/>
      <c r="Q66" s="112"/>
      <c r="R66" s="112"/>
      <c r="S66" s="112"/>
      <c r="T66" s="112"/>
      <c r="U66" s="112"/>
      <c r="V66" s="112"/>
      <c r="W66" s="112"/>
      <c r="X66" s="112"/>
      <c r="Y66" s="149">
        <v>9</v>
      </c>
      <c r="Z66" s="180" t="s">
        <v>410</v>
      </c>
      <c r="AA66" s="190">
        <v>771154.41999998689</v>
      </c>
      <c r="AB66" s="191">
        <v>838092.28000000119</v>
      </c>
      <c r="AC66" s="188"/>
    </row>
    <row r="67" spans="1:32" ht="21" customHeight="1" x14ac:dyDescent="0.25">
      <c r="A67" s="112"/>
      <c r="B67" s="112"/>
      <c r="C67" s="112"/>
      <c r="D67" s="112"/>
      <c r="E67" s="112"/>
      <c r="F67" s="131"/>
      <c r="G67" s="131"/>
      <c r="H67" s="133" t="str">
        <f>INDEX(Ministrijas!$E$11:$E$22,MATCH(AF67,Ministrijas!$C$11:$C$22,0))</f>
        <v>VARAM</v>
      </c>
      <c r="I67" s="134">
        <f>INDEX(Ministrijas!$H$11:$H$22,MATCH(AF67,Ministrijas!$C$11:$C$22,0))/1000000</f>
        <v>891.57855700000005</v>
      </c>
      <c r="J67" s="151"/>
      <c r="K67" s="154"/>
      <c r="L67" s="154"/>
      <c r="M67" s="163">
        <f>(INDEX(Ministrijas!$N$11:$N$22,MATCH(H67,Ministrijas!$A$11:$A$22,0))/1000000)/I67</f>
        <v>0.2011680322634766</v>
      </c>
      <c r="N67" s="169" t="str">
        <f>IF(ROUND(VLOOKUP(H67,$Z$58:$AB$70,3,0)/100000,1)&gt;0.01,
ROUND(VLOOKUP(H67,Ministrijas!$E$11:$N$22,10,0)/1000000,1)&amp; " (+"&amp;ROUND(VLOOKUP(H67,$Z$58:$AB$70,3,0)/1000000,1) &amp;")",
ROUND(VLOOKUP(H67,Ministrijas!$E$11:$N$22,10,0)/1000000,1)&amp; " ("&amp;ROUND(VLOOKUP(H67,$Z$58:$AB$70,3,0)/1000000,1) &amp;")")</f>
        <v>179,4 (+10)</v>
      </c>
      <c r="O67" s="155">
        <f>VLOOKUP(H67,Ministrijas!$E$11:$N$23,10,0)/VLOOKUP(H67,Ministrijas!$E$11:$L$23,8,0)</f>
        <v>0.31528447995819603</v>
      </c>
      <c r="P67" s="112"/>
      <c r="Q67" s="112"/>
      <c r="R67" s="112"/>
      <c r="S67" s="112"/>
      <c r="T67" s="112"/>
      <c r="U67" s="112"/>
      <c r="V67" s="112"/>
      <c r="W67" s="112"/>
      <c r="X67" s="112"/>
      <c r="Y67" s="149">
        <v>10</v>
      </c>
      <c r="Z67" s="180" t="s">
        <v>407</v>
      </c>
      <c r="AA67" s="190">
        <v>0</v>
      </c>
      <c r="AB67" s="191">
        <v>-0.45000000298023224</v>
      </c>
      <c r="AC67" s="188"/>
      <c r="AD67" s="188"/>
      <c r="AE67" s="189" t="s">
        <v>350</v>
      </c>
      <c r="AF67" s="149">
        <v>1</v>
      </c>
    </row>
    <row r="68" spans="1:32" ht="21" customHeight="1" x14ac:dyDescent="0.25">
      <c r="A68" s="112"/>
      <c r="B68" s="112"/>
      <c r="C68" s="112"/>
      <c r="D68" s="112"/>
      <c r="E68" s="112"/>
      <c r="F68" s="131"/>
      <c r="G68" s="131"/>
      <c r="H68" s="135" t="str">
        <f>INDEX(Ministrijas!$E$11:$E$22,MATCH(AF68,Ministrijas!$C$11:$C$22,0))</f>
        <v>SM</v>
      </c>
      <c r="I68" s="136">
        <f>INDEX(Ministrijas!$H$11:$H$22,MATCH(AF68,Ministrijas!$C$11:$C$22,0))/1000000</f>
        <v>841.37082599999997</v>
      </c>
      <c r="J68" s="152"/>
      <c r="K68" s="141"/>
      <c r="L68" s="141"/>
      <c r="M68" s="164">
        <f>(INDEX(Ministrijas!$N$11:$N$22,MATCH(H68,Ministrijas!$A$11:$A$22,0))/1000000)/I68</f>
        <v>0.19105038286649603</v>
      </c>
      <c r="N68" s="169" t="str">
        <f>IF(ROUND(VLOOKUP(H68,$Z$58:$AB$70,3,0)/100000,1)&gt;0.01,
ROUND(VLOOKUP(H68,Ministrijas!$E$11:$N$22,10,0)/1000000,1)&amp; " (+"&amp;ROUND(VLOOKUP(H68,$Z$58:$AB$70,3,0)/1000000,1) &amp;")",
ROUND(VLOOKUP(H68,Ministrijas!$E$11:$N$22,10,0)/1000000,1)&amp; " ("&amp;ROUND(VLOOKUP(H68,$Z$58:$AB$70,3,0)/1000000,1) &amp;")")</f>
        <v>160,7 (+2,3)</v>
      </c>
      <c r="O68" s="156">
        <f>VLOOKUP(H68,Ministrijas!$E$11:$N$23,10,0)/VLOOKUP(H68,Ministrijas!$E$11:$L$23,8,0)</f>
        <v>0.32300910257638615</v>
      </c>
      <c r="P68" s="112"/>
      <c r="Q68" s="112"/>
      <c r="R68" s="112"/>
      <c r="S68" s="112"/>
      <c r="T68" s="112"/>
      <c r="U68" s="112"/>
      <c r="V68" s="112"/>
      <c r="W68" s="112"/>
      <c r="X68" s="112"/>
      <c r="Y68" s="149">
        <v>11</v>
      </c>
      <c r="Z68" s="180" t="s">
        <v>415</v>
      </c>
      <c r="AA68" s="190">
        <v>363540</v>
      </c>
      <c r="AB68" s="191">
        <v>108813.93999999948</v>
      </c>
      <c r="AE68" s="189" t="s">
        <v>351</v>
      </c>
      <c r="AF68" s="149">
        <v>2</v>
      </c>
    </row>
    <row r="69" spans="1:32" ht="21" customHeight="1" x14ac:dyDescent="0.25">
      <c r="A69" s="112"/>
      <c r="B69" s="112"/>
      <c r="C69" s="112"/>
      <c r="D69" s="112"/>
      <c r="E69" s="112"/>
      <c r="F69" s="131"/>
      <c r="G69" s="131"/>
      <c r="H69" s="135" t="str">
        <f>INDEX(Ministrijas!$E$11:$E$22,MATCH(AF69,Ministrijas!$C$11:$C$22,0))</f>
        <v>EM</v>
      </c>
      <c r="I69" s="136">
        <f>INDEX(Ministrijas!$H$11:$H$22,MATCH(AF69,Ministrijas!$C$11:$C$22,0))/1000000</f>
        <v>820.60003700000004</v>
      </c>
      <c r="J69" s="152"/>
      <c r="K69" s="141"/>
      <c r="L69" s="141"/>
      <c r="M69" s="164">
        <f>(INDEX(Ministrijas!$N$11:$N$22,MATCH(H69,Ministrijas!$A$11:$A$22,0))/1000000)/I69</f>
        <v>0.3021025315649602</v>
      </c>
      <c r="N69" s="169" t="str">
        <f>IF(ROUND(VLOOKUP(H69,$Z$58:$AB$70,3,0)/100000,1)&gt;0.01,
ROUND(VLOOKUP(H69,Ministrijas!$E$11:$N$22,10,0)/1000000,1)&amp; " (+"&amp;ROUND(VLOOKUP(H69,$Z$58:$AB$70,3,0)/1000000,1) &amp;")",
ROUND(VLOOKUP(H69,Ministrijas!$E$11:$N$22,10,0)/1000000,1)&amp; " ("&amp;ROUND(VLOOKUP(H69,$Z$58:$AB$70,3,0)/1000000,1) &amp;")")</f>
        <v>247,9 (+2,6)</v>
      </c>
      <c r="O69" s="156">
        <f>VLOOKUP(H69,Ministrijas!$E$11:$N$23,10,0)/VLOOKUP(H69,Ministrijas!$E$11:$L$23,8,0)</f>
        <v>0.34353472787942257</v>
      </c>
      <c r="P69" s="112"/>
      <c r="Q69" s="112"/>
      <c r="R69" s="112"/>
      <c r="S69" s="112"/>
      <c r="T69" s="112"/>
      <c r="U69" s="112"/>
      <c r="V69" s="112"/>
      <c r="W69" s="112"/>
      <c r="X69" s="112"/>
      <c r="Y69" s="149">
        <v>12</v>
      </c>
      <c r="Z69" s="180" t="s">
        <v>413</v>
      </c>
      <c r="AA69" s="190">
        <v>0</v>
      </c>
      <c r="AB69" s="191">
        <v>-1.3700000001117587</v>
      </c>
      <c r="AE69" s="189" t="s">
        <v>352</v>
      </c>
      <c r="AF69" s="149">
        <v>3</v>
      </c>
    </row>
    <row r="70" spans="1:32" ht="21" customHeight="1" x14ac:dyDescent="0.25">
      <c r="A70" s="112"/>
      <c r="B70" s="112"/>
      <c r="C70" s="112"/>
      <c r="D70" s="112"/>
      <c r="E70" s="112"/>
      <c r="F70" s="131"/>
      <c r="G70" s="131"/>
      <c r="H70" s="135" t="str">
        <f>INDEX(Ministrijas!$E$11:$E$22,MATCH(AF70,Ministrijas!$C$11:$C$22,0))</f>
        <v>IZM</v>
      </c>
      <c r="I70" s="136">
        <f>INDEX(Ministrijas!$H$11:$H$22,MATCH(AF70,Ministrijas!$C$11:$C$22,0))/1000000</f>
        <v>653.92337099999997</v>
      </c>
      <c r="J70" s="152"/>
      <c r="K70" s="141"/>
      <c r="L70" s="141"/>
      <c r="M70" s="164">
        <f>(INDEX(Ministrijas!$N$11:$N$22,MATCH(H70,Ministrijas!$A$11:$A$22,0))/1000000)/I70</f>
        <v>0.17901864961789235</v>
      </c>
      <c r="N70" s="169" t="str">
        <f>IF(ROUND(VLOOKUP(H70,$Z$58:$AB$70,3,0)/100000,1)&gt;0.01,
ROUND(VLOOKUP(H70,Ministrijas!$E$11:$N$22,10,0)/1000000,1)&amp; " (+"&amp;ROUND(VLOOKUP(H70,$Z$58:$AB$70,3,0)/1000000,1) &amp;")",
ROUND(VLOOKUP(H70,Ministrijas!$E$11:$N$22,10,0)/1000000,1)&amp; " ("&amp;ROUND(VLOOKUP(H70,$Z$58:$AB$70,3,0)/1000000,1) &amp;")")</f>
        <v>117,1 (+10,1)</v>
      </c>
      <c r="O70" s="156">
        <f>VLOOKUP(H70,Ministrijas!$E$11:$N$23,10,0)/VLOOKUP(H70,Ministrijas!$E$11:$L$23,8,0)</f>
        <v>0.19933932401177179</v>
      </c>
      <c r="P70" s="112"/>
      <c r="Q70" s="112"/>
      <c r="R70" s="112"/>
      <c r="S70" s="112"/>
      <c r="T70" s="112"/>
      <c r="U70" s="112"/>
      <c r="V70" s="112"/>
      <c r="W70" s="112"/>
      <c r="X70" s="112"/>
      <c r="AB70" s="186"/>
      <c r="AC70" s="186"/>
      <c r="AD70" s="186"/>
      <c r="AE70" s="189" t="s">
        <v>353</v>
      </c>
      <c r="AF70" s="149">
        <v>4</v>
      </c>
    </row>
    <row r="71" spans="1:32" ht="21" customHeight="1" x14ac:dyDescent="0.25">
      <c r="A71" s="112"/>
      <c r="B71" s="112"/>
      <c r="C71" s="112"/>
      <c r="D71" s="112"/>
      <c r="E71" s="112"/>
      <c r="F71" s="131"/>
      <c r="G71" s="131"/>
      <c r="H71" s="135" t="str">
        <f>INDEX(Ministrijas!$E$11:$E$22,MATCH(AF71,Ministrijas!$C$11:$C$22,0))</f>
        <v>VM</v>
      </c>
      <c r="I71" s="136">
        <f>INDEX(Ministrijas!$H$11:$H$22,MATCH(AF71,Ministrijas!$C$11:$C$22,0))/1000000</f>
        <v>374.39567799999998</v>
      </c>
      <c r="J71" s="152"/>
      <c r="K71" s="141"/>
      <c r="L71" s="141"/>
      <c r="M71" s="164">
        <f>(INDEX(Ministrijas!$N$11:$N$22,MATCH(H71,Ministrijas!$A$11:$A$22,0))/1000000)/I71</f>
        <v>0.23928610337750747</v>
      </c>
      <c r="N71" s="169" t="str">
        <f>IF(ROUND(VLOOKUP(H71,$Z$58:$AB$70,3,0)/100000,1)&gt;0.01,
ROUND(VLOOKUP(H71,Ministrijas!$E$11:$N$22,10,0)/1000000,1)&amp; " (+"&amp;ROUND(VLOOKUP(H71,$Z$58:$AB$70,3,0)/1000000,1) &amp;")",
ROUND(VLOOKUP(H71,Ministrijas!$E$11:$N$22,10,0)/1000000,1)&amp; " ("&amp;ROUND(VLOOKUP(H71,$Z$58:$AB$70,3,0)/1000000,1) &amp;")")</f>
        <v>89,6 (+2,1)</v>
      </c>
      <c r="O71" s="156">
        <f>VLOOKUP(H71,Ministrijas!$E$11:$N$23,10,0)/VLOOKUP(H71,Ministrijas!$E$11:$L$23,8,0)</f>
        <v>0.24840610880865613</v>
      </c>
      <c r="P71" s="112"/>
      <c r="Q71" s="112"/>
      <c r="R71" s="112"/>
      <c r="S71" s="112"/>
      <c r="T71" s="112"/>
      <c r="U71" s="112"/>
      <c r="V71" s="112"/>
      <c r="W71" s="112"/>
      <c r="X71" s="112"/>
      <c r="Y71" s="205"/>
      <c r="Z71" s="205"/>
      <c r="AA71" s="205"/>
      <c r="AE71" s="189" t="s">
        <v>355</v>
      </c>
      <c r="AF71" s="149">
        <v>5</v>
      </c>
    </row>
    <row r="72" spans="1:32" ht="21" customHeight="1" x14ac:dyDescent="0.25">
      <c r="A72" s="112"/>
      <c r="B72" s="112"/>
      <c r="C72" s="112"/>
      <c r="D72" s="112"/>
      <c r="E72" s="112"/>
      <c r="F72" s="131"/>
      <c r="G72" s="131"/>
      <c r="H72" s="135" t="str">
        <f>INDEX(Ministrijas!$E$11:$E$22,MATCH(AF72,Ministrijas!$C$11:$C$22,0))</f>
        <v>LM</v>
      </c>
      <c r="I72" s="136">
        <f>INDEX(Ministrijas!$H$11:$H$22,MATCH(AF72,Ministrijas!$C$11:$C$22,0))/1000000</f>
        <v>295.08500600000002</v>
      </c>
      <c r="J72" s="152"/>
      <c r="K72" s="141"/>
      <c r="L72" s="141"/>
      <c r="M72" s="164">
        <f>(INDEX(Ministrijas!$N$11:$N$22,MATCH(H72,Ministrijas!$A$11:$A$22,0))/1000000)/I72</f>
        <v>0.17508323022010819</v>
      </c>
      <c r="N72" s="169" t="str">
        <f>IF(ROUND(VLOOKUP(H72,$Z$58:$AB$70,3,0)/100000,1)&gt;0.01,
ROUND(VLOOKUP(H72,Ministrijas!$E$11:$N$22,10,0)/1000000,1)&amp; " (+"&amp;ROUND(VLOOKUP(H72,$Z$58:$AB$70,3,0)/1000000,1) &amp;")",
ROUND(VLOOKUP(H72,Ministrijas!$E$11:$N$22,10,0)/1000000,1)&amp; " ("&amp;ROUND(VLOOKUP(H72,$Z$58:$AB$70,3,0)/1000000,1) &amp;")")</f>
        <v>51,7 (+3,2)</v>
      </c>
      <c r="O72" s="156">
        <f>VLOOKUP(H72,Ministrijas!$E$11:$N$23,10,0)/VLOOKUP(H72,Ministrijas!$E$11:$L$23,8,0)</f>
        <v>0.19782556150928385</v>
      </c>
      <c r="P72" s="112"/>
      <c r="Q72" s="112"/>
      <c r="R72" s="112"/>
      <c r="S72" s="112"/>
      <c r="T72" s="112"/>
      <c r="U72" s="112"/>
      <c r="V72" s="112"/>
      <c r="W72" s="112"/>
      <c r="X72" s="112"/>
      <c r="Z72" s="149"/>
      <c r="AE72" s="189" t="s">
        <v>356</v>
      </c>
      <c r="AF72" s="149">
        <v>6</v>
      </c>
    </row>
    <row r="73" spans="1:32" ht="21" customHeight="1" x14ac:dyDescent="0.25">
      <c r="A73" s="112"/>
      <c r="B73" s="112"/>
      <c r="C73" s="112"/>
      <c r="D73" s="112"/>
      <c r="E73" s="112"/>
      <c r="F73" s="131"/>
      <c r="G73" s="131"/>
      <c r="H73" s="135" t="str">
        <f>INDEX(Ministrijas!$E$11:$E$22,MATCH(AF73,Ministrijas!$C$11:$C$22,0))</f>
        <v>IeM</v>
      </c>
      <c r="I73" s="136">
        <f>INDEX(Ministrijas!$H$11:$H$22,MATCH(AF73,Ministrijas!$C$11:$C$22,0))/1000000</f>
        <v>228.03575799999999</v>
      </c>
      <c r="J73" s="152"/>
      <c r="K73" s="141"/>
      <c r="L73" s="141"/>
      <c r="M73" s="164">
        <f>(INDEX(Ministrijas!$N$11:$N$22,MATCH(H73,Ministrijas!$A$11:$A$22,0))/1000000)/I73</f>
        <v>0.42522781690229478</v>
      </c>
      <c r="N73" s="169" t="str">
        <f>IF(ROUND(VLOOKUP(H73,$Z$58:$AB$70,3,0)/100000,1)&gt;0.01,
ROUND(VLOOKUP(H73,Ministrijas!$E$11:$N$22,10,0)/1000000,1)&amp; " (+"&amp;ROUND(VLOOKUP(H73,$Z$58:$AB$70,3,0)/1000000,1) &amp;")",
ROUND(VLOOKUP(H73,Ministrijas!$E$11:$N$22,10,0)/1000000,1)&amp; " ("&amp;ROUND(VLOOKUP(H73,$Z$58:$AB$70,3,0)/1000000,1) &amp;")")</f>
        <v>97 (0)</v>
      </c>
      <c r="O73" s="156">
        <f>VLOOKUP(H73,Ministrijas!$E$11:$N$23,10,0)/VLOOKUP(H73,Ministrijas!$E$11:$L$23,8,0)</f>
        <v>0.42522781690229478</v>
      </c>
      <c r="P73" s="112"/>
      <c r="Q73" s="112"/>
      <c r="R73" s="112"/>
      <c r="S73" s="112"/>
      <c r="T73" s="112"/>
      <c r="U73" s="112"/>
      <c r="V73" s="112"/>
      <c r="W73" s="112"/>
      <c r="X73" s="112"/>
      <c r="Y73" s="149" t="s">
        <v>39</v>
      </c>
      <c r="Z73" s="149">
        <v>2666.4</v>
      </c>
      <c r="AA73" s="149" t="s">
        <v>1078</v>
      </c>
      <c r="AB73" s="149">
        <v>0.61</v>
      </c>
      <c r="AC73" s="188"/>
      <c r="AD73" s="188"/>
      <c r="AE73" s="189" t="s">
        <v>357</v>
      </c>
      <c r="AF73" s="149">
        <v>7</v>
      </c>
    </row>
    <row r="74" spans="1:32" ht="21" customHeight="1" x14ac:dyDescent="0.25">
      <c r="A74" s="112"/>
      <c r="B74" s="112"/>
      <c r="C74" s="112"/>
      <c r="D74" s="112"/>
      <c r="E74" s="112"/>
      <c r="F74" s="131"/>
      <c r="G74" s="131"/>
      <c r="H74" s="135" t="str">
        <f>INDEX(Ministrijas!$E$11:$E$22,MATCH(AF74,Ministrijas!$C$11:$C$22,0))</f>
        <v>FM</v>
      </c>
      <c r="I74" s="136">
        <f>INDEX(Ministrijas!$H$11:$H$22,MATCH(AF74,Ministrijas!$C$11:$C$22,0))/1000000</f>
        <v>181.02720360500004</v>
      </c>
      <c r="J74" s="152"/>
      <c r="K74" s="141"/>
      <c r="L74" s="141"/>
      <c r="M74" s="164">
        <f>(INDEX(Ministrijas!$N$11:$N$22,MATCH(H74,Ministrijas!$A$11:$A$22,0))/1000000)/I74</f>
        <v>0.20694764951097805</v>
      </c>
      <c r="N74" s="169" t="str">
        <f>IF(ROUND(VLOOKUP(H74,$Z$58:$AB$70,3,0)/100000,1)&gt;0.01,
ROUND(VLOOKUP(H74,Ministrijas!$E$11:$N$22,10,0)/1000000,1)&amp; " (+"&amp;ROUND(VLOOKUP(H74,$Z$58:$AB$70,3,0)/1000000,1) &amp;")",
ROUND(VLOOKUP(H74,Ministrijas!$E$11:$N$22,10,0)/1000000,1)&amp; " ("&amp;ROUND(VLOOKUP(H74,$Z$58:$AB$70,3,0)/1000000,1) &amp;")")</f>
        <v>37,5 (+34)</v>
      </c>
      <c r="O74" s="156">
        <f>VLOOKUP(H74,Ministrijas!$E$11:$N$23,10,0)/VLOOKUP(H74,Ministrijas!$E$11:$L$23,8,0)</f>
        <v>0.20963216617892236</v>
      </c>
      <c r="P74" s="112"/>
      <c r="Q74" s="112"/>
      <c r="R74" s="112"/>
      <c r="S74" s="112"/>
      <c r="T74" s="112"/>
      <c r="U74" s="112"/>
      <c r="V74" s="112"/>
      <c r="W74" s="112"/>
      <c r="X74" s="112"/>
      <c r="Y74" s="149" t="s">
        <v>40</v>
      </c>
      <c r="Z74" s="149">
        <v>864.5</v>
      </c>
      <c r="AA74" s="149" t="s">
        <v>1079</v>
      </c>
      <c r="AB74" s="149">
        <v>0.2</v>
      </c>
      <c r="AE74" s="189" t="s">
        <v>358</v>
      </c>
      <c r="AF74" s="149">
        <v>8</v>
      </c>
    </row>
    <row r="75" spans="1:32" ht="21" customHeight="1" x14ac:dyDescent="0.25">
      <c r="A75" s="112"/>
      <c r="B75" s="112"/>
      <c r="C75" s="112"/>
      <c r="D75" s="112"/>
      <c r="E75" s="112"/>
      <c r="F75" s="131"/>
      <c r="G75" s="131"/>
      <c r="H75" s="135" t="str">
        <f>INDEX(Ministrijas!$E$11:$E$22,MATCH(AF75,Ministrijas!$C$11:$C$22,0))</f>
        <v>KEM</v>
      </c>
      <c r="I75" s="136">
        <f>INDEX(Ministrijas!$H$11:$H$22,MATCH(AF75,Ministrijas!$C$11:$C$22,0))/1000000</f>
        <v>100.686295</v>
      </c>
      <c r="J75" s="152"/>
      <c r="K75" s="141"/>
      <c r="L75" s="141"/>
      <c r="M75" s="164">
        <f>(INDEX(Ministrijas!$N$11:$N$22,MATCH(H75,Ministrijas!$A$11:$A$22,0))/1000000)/I75</f>
        <v>0.19571570023507173</v>
      </c>
      <c r="N75" s="169" t="str">
        <f>IF(ROUND(VLOOKUP(H75,$Z$58:$AB$70,3,0)/100000,1)&gt;0.01,
ROUND(VLOOKUP(H75,Ministrijas!$E$11:$N$22,10,0)/1000000,1)&amp; " (+"&amp;ROUND(VLOOKUP(H75,$Z$58:$AB$70,3,0)/1000000,1) &amp;")",
ROUND(VLOOKUP(H75,Ministrijas!$E$11:$N$22,10,0)/1000000,1)&amp; " ("&amp;ROUND(VLOOKUP(H75,$Z$58:$AB$70,3,0)/1000000,1) &amp;")")</f>
        <v>19,7 (0)</v>
      </c>
      <c r="O75" s="156">
        <f>VLOOKUP(H75,Ministrijas!$E$11:$N$23,10,0)/VLOOKUP(H75,Ministrijas!$E$11:$L$23,8,0)</f>
        <v>0.30000000350149147</v>
      </c>
      <c r="P75" s="112"/>
      <c r="Q75" s="112"/>
      <c r="R75" s="112"/>
      <c r="S75" s="112"/>
      <c r="T75" s="112"/>
      <c r="U75" s="112"/>
      <c r="V75" s="112"/>
      <c r="W75" s="112"/>
      <c r="X75" s="112"/>
      <c r="Y75" s="149" t="s">
        <v>38</v>
      </c>
      <c r="Z75" s="149">
        <v>651.9</v>
      </c>
      <c r="AA75" s="149" t="s">
        <v>1080</v>
      </c>
      <c r="AB75" s="149">
        <v>0.15</v>
      </c>
      <c r="AE75" s="189" t="s">
        <v>359</v>
      </c>
      <c r="AF75" s="149">
        <v>9</v>
      </c>
    </row>
    <row r="76" spans="1:32" ht="21" customHeight="1" x14ac:dyDescent="0.25">
      <c r="A76" s="112"/>
      <c r="B76" s="112"/>
      <c r="C76" s="112"/>
      <c r="D76" s="112"/>
      <c r="E76" s="112"/>
      <c r="F76" s="131"/>
      <c r="G76" s="131"/>
      <c r="H76" s="135" t="str">
        <f>INDEX(Ministrijas!$E$11:$E$22,MATCH(AF76,Ministrijas!$C$11:$C$22,0))</f>
        <v>KM</v>
      </c>
      <c r="I76" s="136">
        <f>INDEX(Ministrijas!$H$11:$H$22,MATCH(AF76,Ministrijas!$C$11:$C$22,0))/1000000</f>
        <v>77.937427999999997</v>
      </c>
      <c r="J76" s="152"/>
      <c r="K76" s="141"/>
      <c r="L76" s="141"/>
      <c r="M76" s="164">
        <f>(INDEX(Ministrijas!$N$11:$N$22,MATCH(H76,Ministrijas!$A$11:$A$22,0))/1000000)/I76</f>
        <v>0.28355815488291453</v>
      </c>
      <c r="N76" s="169" t="str">
        <f>IF(ROUND(VLOOKUP(H76,$Z$58:$AB$70,3,0)/100000,1)&gt;0.01,
ROUND(VLOOKUP(H76,Ministrijas!$E$11:$N$22,10,0)/1000000,1)&amp; " (+"&amp;ROUND(VLOOKUP(H76,$Z$58:$AB$70,3,0)/1000000,1) &amp;")",
ROUND(VLOOKUP(H76,Ministrijas!$E$11:$N$22,10,0)/1000000,1)&amp; " ("&amp;ROUND(VLOOKUP(H76,$Z$58:$AB$70,3,0)/1000000,1) &amp;")")</f>
        <v>22,1 (+0,8)</v>
      </c>
      <c r="O76" s="156">
        <f>VLOOKUP(H76,Ministrijas!$E$11:$N$23,10,0)/VLOOKUP(H76,Ministrijas!$E$11:$L$23,8,0)</f>
        <v>0.32098563755981629</v>
      </c>
      <c r="P76" s="112"/>
      <c r="Q76" s="112"/>
      <c r="R76" s="112"/>
      <c r="S76" s="112"/>
      <c r="T76" s="112"/>
      <c r="U76" s="112"/>
      <c r="V76" s="112"/>
      <c r="W76" s="112"/>
      <c r="X76" s="112"/>
      <c r="Y76" s="149" t="s">
        <v>41</v>
      </c>
      <c r="Z76" s="149">
        <v>191.6</v>
      </c>
      <c r="AA76" s="149" t="s">
        <v>1081</v>
      </c>
      <c r="AB76" s="149">
        <v>0.04</v>
      </c>
      <c r="AC76" s="190"/>
      <c r="AD76" s="190"/>
      <c r="AE76" s="189" t="s">
        <v>360</v>
      </c>
      <c r="AF76" s="149">
        <v>10</v>
      </c>
    </row>
    <row r="77" spans="1:32" ht="21" customHeight="1" x14ac:dyDescent="0.25">
      <c r="A77" s="112"/>
      <c r="B77" s="112"/>
      <c r="C77" s="112"/>
      <c r="D77" s="112"/>
      <c r="E77" s="112"/>
      <c r="F77" s="131"/>
      <c r="G77" s="131"/>
      <c r="H77" s="135" t="str">
        <f>INDEX(Ministrijas!$E$11:$E$22,MATCH(AF77,Ministrijas!$C$11:$C$22,0))</f>
        <v>VK</v>
      </c>
      <c r="I77" s="136">
        <f>INDEX(Ministrijas!$H$11:$H$22,MATCH(AF77,Ministrijas!$C$11:$C$22,0))/1000000</f>
        <v>58.816425000000002</v>
      </c>
      <c r="J77" s="152"/>
      <c r="K77" s="141"/>
      <c r="L77" s="141"/>
      <c r="M77" s="164">
        <f>(INDEX(Ministrijas!$N$11:$N$22,MATCH(H77,Ministrijas!$A$11:$A$22,0))/1000000)/I77</f>
        <v>0.12516770510958461</v>
      </c>
      <c r="N77" s="169" t="str">
        <f>IF(ROUND(VLOOKUP(H77,$Z$58:$AB$70,3,0)/100000,1)&gt;0.01,
ROUND(VLOOKUP(H77,Ministrijas!$E$11:$N$22,10,0)/1000000,1)&amp; " (+"&amp;ROUND(VLOOKUP(H77,$Z$58:$AB$70,3,0)/1000000,1) &amp;")",
ROUND(VLOOKUP(H77,Ministrijas!$E$11:$N$22,10,0)/1000000,1)&amp; " ("&amp;ROUND(VLOOKUP(H77,$Z$58:$AB$70,3,0)/1000000,1) &amp;")")</f>
        <v>7,4 (+0,1)</v>
      </c>
      <c r="O77" s="156">
        <f>VLOOKUP(H77,Ministrijas!$E$11:$N$23,10,0)/VLOOKUP(H77,Ministrijas!$E$11:$L$23,8,0)</f>
        <v>0.19702232112522478</v>
      </c>
      <c r="P77" s="112"/>
      <c r="Q77" s="112"/>
      <c r="R77" s="112"/>
      <c r="S77" s="112"/>
      <c r="T77" s="112"/>
      <c r="U77" s="112"/>
      <c r="V77" s="112"/>
      <c r="W77" s="112"/>
      <c r="X77" s="112"/>
      <c r="Z77" s="180">
        <v>4374.4000000000005</v>
      </c>
      <c r="AC77" s="190"/>
      <c r="AD77" s="190"/>
      <c r="AE77" s="189" t="s">
        <v>361</v>
      </c>
      <c r="AF77" s="149">
        <v>11</v>
      </c>
    </row>
    <row r="78" spans="1:32" ht="21.75" customHeight="1" x14ac:dyDescent="0.25">
      <c r="A78" s="112"/>
      <c r="B78" s="112"/>
      <c r="C78" s="112"/>
      <c r="D78" s="112"/>
      <c r="E78" s="112"/>
      <c r="F78" s="131"/>
      <c r="G78" s="131"/>
      <c r="H78" s="138" t="str">
        <f>INDEX(Ministrijas!$E$11:$E$22,MATCH(AF78,Ministrijas!$C$11:$C$22,0))</f>
        <v>TM</v>
      </c>
      <c r="I78" s="139">
        <f>INDEX(Ministrijas!$H$11:$H$22,MATCH(AF78,Ministrijas!$C$11:$C$22,0))/1000000</f>
        <v>6.7040579999999999</v>
      </c>
      <c r="J78" s="153"/>
      <c r="K78" s="157"/>
      <c r="L78" s="157"/>
      <c r="M78" s="165">
        <f>(INDEX(Ministrijas!$N$11:$N$22,MATCH(H78,Ministrijas!$A$11:$A$22,0))/1000000)/I78</f>
        <v>0.28733710686870551</v>
      </c>
      <c r="N78" s="170" t="str">
        <f>IF(ROUND(VLOOKUP(H78,$Z$58:$AB$70,3,0)/100000,1)&gt;0.01,
ROUND(VLOOKUP(H78,Ministrijas!$E$11:$N$22,10,0)/1000000,1)&amp; " (+"&amp;ROUND(VLOOKUP(H78,$Z$58:$AB$70,3,0)/1000000,1) &amp;")",
ROUND(VLOOKUP(H78,Ministrijas!$E$11:$N$22,10,0)/1000000,1)&amp; " ("&amp;ROUND(VLOOKUP(H78,$Z$58:$AB$70,3,0)/1000000,1) &amp;")")</f>
        <v>1,9 (0)</v>
      </c>
      <c r="O78" s="158">
        <f>VLOOKUP(H78,Ministrijas!$E$11:$N$23,10,0)/VLOOKUP(H78,Ministrijas!$E$11:$L$23,8,0)</f>
        <v>0.28733710686870545</v>
      </c>
      <c r="P78" s="112"/>
      <c r="Q78" s="112"/>
      <c r="R78" s="112"/>
      <c r="S78" s="112"/>
      <c r="T78" s="112"/>
      <c r="U78" s="112"/>
      <c r="V78" s="112"/>
      <c r="W78" s="112"/>
      <c r="X78" s="112"/>
      <c r="AC78" s="190"/>
      <c r="AD78" s="190"/>
      <c r="AE78" s="189" t="s">
        <v>362</v>
      </c>
      <c r="AF78" s="149">
        <v>12</v>
      </c>
    </row>
    <row r="79" spans="1:32" ht="25.5" customHeight="1" x14ac:dyDescent="0.25">
      <c r="A79" s="112"/>
      <c r="B79" s="112"/>
      <c r="C79" s="112"/>
      <c r="D79" s="112"/>
      <c r="E79" s="112"/>
      <c r="F79" s="112"/>
      <c r="G79" s="112"/>
      <c r="H79" s="137"/>
      <c r="I79" s="137"/>
      <c r="J79" s="137"/>
      <c r="K79" s="137"/>
      <c r="L79" s="141" t="str">
        <f ca="1">"* (pieaugums no " &amp; TEXT(W2,"dd.mm.yyyy.") &amp;" līdz " &amp; TEXT(datums, "dd.mm.yyyy.")&amp; ")"</f>
        <v>* (pieaugums no 30.06.2026. līdz 31.07.2026.)</v>
      </c>
      <c r="M79" s="137"/>
      <c r="N79" s="137"/>
      <c r="O79" s="137"/>
      <c r="P79" s="112"/>
      <c r="Q79" s="112"/>
      <c r="R79" s="112"/>
      <c r="S79" s="112"/>
      <c r="T79" s="112"/>
      <c r="U79" s="112"/>
      <c r="V79" s="112"/>
      <c r="W79" s="112"/>
      <c r="X79" s="112"/>
    </row>
    <row r="80" spans="1:32" ht="21" customHeight="1" x14ac:dyDescent="0.25">
      <c r="A80" s="112"/>
      <c r="B80" s="112"/>
      <c r="C80" s="112"/>
      <c r="D80" s="112"/>
      <c r="E80" s="112"/>
      <c r="F80" s="112"/>
      <c r="G80" s="112"/>
      <c r="H80" s="137"/>
      <c r="I80" s="137"/>
      <c r="J80" s="137"/>
      <c r="K80" s="137"/>
      <c r="L80" s="137"/>
      <c r="M80" s="137"/>
      <c r="N80" s="137"/>
      <c r="O80" s="137"/>
      <c r="P80" s="112"/>
      <c r="Q80" s="112"/>
      <c r="R80" s="112"/>
      <c r="S80" s="112"/>
      <c r="T80" s="112"/>
      <c r="U80" s="112"/>
      <c r="V80" s="112"/>
      <c r="W80" s="112"/>
      <c r="X80" s="112"/>
    </row>
    <row r="81" ht="21" customHeight="1" x14ac:dyDescent="0.25"/>
    <row r="82" ht="30" customHeight="1" x14ac:dyDescent="0.25"/>
    <row r="83" ht="32.25"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sheetData>
  <mergeCells count="11">
    <mergeCell ref="P2:V2"/>
    <mergeCell ref="C1:X1"/>
    <mergeCell ref="AC39:AE39"/>
    <mergeCell ref="Y71:AA71"/>
    <mergeCell ref="H66:J66"/>
    <mergeCell ref="K66:M66"/>
    <mergeCell ref="Y44:AA44"/>
    <mergeCell ref="Y52:AA52"/>
    <mergeCell ref="H52:J52"/>
    <mergeCell ref="K52:M52"/>
    <mergeCell ref="C51:X5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3AC31-9C21-41C1-A265-BF27981FEE71}">
  <sheetPr codeName="Sheet5">
    <tabColor theme="6" tint="0.59999389629810485"/>
  </sheetPr>
  <dimension ref="A1:EO65"/>
  <sheetViews>
    <sheetView topLeftCell="B1" zoomScale="70" zoomScaleNormal="70" zoomScaleSheetLayoutView="80" workbookViewId="0">
      <selection activeCell="B1" sqref="B1:N1"/>
    </sheetView>
  </sheetViews>
  <sheetFormatPr defaultRowHeight="15" x14ac:dyDescent="0.25"/>
  <cols>
    <col min="1" max="1" width="35.7109375" style="120" hidden="1" customWidth="1"/>
    <col min="2" max="2" width="21.42578125" style="120" customWidth="1"/>
    <col min="3" max="3" width="86.28515625" style="120" customWidth="1"/>
    <col min="4" max="4" width="28.140625" style="120" customWidth="1"/>
    <col min="5" max="5" width="30.7109375" style="120" customWidth="1"/>
    <col min="6" max="6" width="31.85546875" style="120" hidden="1" customWidth="1"/>
    <col min="7" max="7" width="31.85546875" style="120" customWidth="1"/>
    <col min="8" max="8" width="27.5703125" style="122" customWidth="1"/>
    <col min="9" max="9" width="19.28515625" style="120" customWidth="1"/>
    <col min="10" max="10" width="25" style="120" customWidth="1"/>
    <col min="11" max="11" width="19.42578125" style="122" customWidth="1"/>
    <col min="12" max="12" width="14.28515625" style="120" customWidth="1"/>
    <col min="13" max="13" width="25.28515625" style="120" customWidth="1"/>
    <col min="14" max="14" width="25.140625" style="122" customWidth="1"/>
    <col min="15" max="18" width="25.140625" style="124" customWidth="1"/>
    <col min="19" max="19" width="10.28515625" style="121" customWidth="1"/>
    <col min="20" max="20" width="9.140625" style="121" customWidth="1"/>
    <col min="21" max="21" width="48.140625" style="230" customWidth="1"/>
    <col min="22" max="22" width="28.85546875" style="230" customWidth="1"/>
    <col min="23" max="23" width="16.28515625" style="230" customWidth="1"/>
    <col min="24" max="24" width="28.5703125" style="230" customWidth="1"/>
    <col min="25" max="30" width="26.7109375" style="230" customWidth="1"/>
    <col min="31" max="31" width="22" style="230" bestFit="1" customWidth="1"/>
    <col min="32" max="33" width="23.7109375" style="230" bestFit="1" customWidth="1"/>
    <col min="34" max="34" width="17.5703125" style="230" bestFit="1" customWidth="1"/>
    <col min="35" max="37" width="9.140625" style="230"/>
    <col min="38" max="145" width="9.140625" style="171"/>
    <col min="146" max="16384" width="9.140625" style="121"/>
  </cols>
  <sheetData>
    <row r="1" spans="1:34" ht="35.25" customHeight="1" x14ac:dyDescent="0.25">
      <c r="A1"/>
      <c r="B1" s="214" t="s">
        <v>1085</v>
      </c>
      <c r="C1" s="214"/>
      <c r="D1" s="214"/>
      <c r="E1" s="214"/>
      <c r="F1" s="214"/>
      <c r="G1" s="214"/>
      <c r="H1" s="214"/>
      <c r="I1" s="214"/>
      <c r="J1" s="214"/>
      <c r="K1" s="214"/>
      <c r="L1" s="214"/>
      <c r="M1" s="214"/>
      <c r="N1" s="214"/>
      <c r="O1" s="123"/>
      <c r="P1" s="123"/>
      <c r="Q1" s="123"/>
      <c r="R1" s="123"/>
    </row>
    <row r="2" spans="1:34" ht="24.75" customHeight="1" x14ac:dyDescent="0.25">
      <c r="A2"/>
      <c r="B2" s="113" t="s">
        <v>0</v>
      </c>
      <c r="C2" s="112"/>
      <c r="D2" s="112"/>
      <c r="E2" s="112"/>
      <c r="F2" s="112"/>
      <c r="G2" s="112"/>
      <c r="H2" s="111"/>
      <c r="I2" s="112"/>
      <c r="J2" s="112"/>
      <c r="K2" s="111"/>
      <c r="L2" s="112"/>
      <c r="M2" s="112"/>
      <c r="N2" s="111"/>
    </row>
    <row r="3" spans="1:34" ht="78.75" customHeight="1" x14ac:dyDescent="0.3">
      <c r="A3"/>
      <c r="B3" s="215" t="s">
        <v>1</v>
      </c>
      <c r="C3" s="215"/>
      <c r="D3" s="216" t="s">
        <v>366</v>
      </c>
      <c r="E3" s="217"/>
      <c r="F3" s="218"/>
      <c r="G3" s="216" t="s">
        <v>4</v>
      </c>
      <c r="H3" s="217"/>
      <c r="I3" s="219"/>
      <c r="J3" s="220" t="s">
        <v>6</v>
      </c>
      <c r="K3" s="218"/>
      <c r="L3" s="221"/>
      <c r="M3" s="215" t="s">
        <v>8</v>
      </c>
      <c r="N3" s="215"/>
      <c r="O3" s="125"/>
      <c r="P3" s="125"/>
      <c r="Q3" s="125"/>
      <c r="R3" s="125"/>
    </row>
    <row r="4" spans="1:34" ht="58.5" customHeight="1" x14ac:dyDescent="0.25">
      <c r="A4"/>
      <c r="B4" s="45" t="s">
        <v>367</v>
      </c>
      <c r="C4" s="46" t="s">
        <v>368</v>
      </c>
      <c r="D4" s="46" t="s">
        <v>23</v>
      </c>
      <c r="E4" s="46" t="s">
        <v>24</v>
      </c>
      <c r="F4" s="47" t="s">
        <v>25</v>
      </c>
      <c r="G4" s="47" t="s">
        <v>369</v>
      </c>
      <c r="H4" s="48" t="s">
        <v>370</v>
      </c>
      <c r="I4" s="47" t="s">
        <v>36</v>
      </c>
      <c r="J4" s="47" t="s">
        <v>369</v>
      </c>
      <c r="K4" s="48" t="s">
        <v>370</v>
      </c>
      <c r="L4" s="47" t="s">
        <v>36</v>
      </c>
      <c r="M4" s="47" t="s">
        <v>371</v>
      </c>
      <c r="N4" s="48" t="s">
        <v>372</v>
      </c>
      <c r="O4" s="126"/>
      <c r="P4" s="126"/>
      <c r="Q4" s="126"/>
      <c r="R4" s="126"/>
    </row>
    <row r="5" spans="1:34" ht="17.25" customHeight="1" x14ac:dyDescent="0.3">
      <c r="A5"/>
      <c r="B5" s="49" t="s">
        <v>373</v>
      </c>
      <c r="C5" s="49" t="s">
        <v>374</v>
      </c>
      <c r="D5" s="50" t="s">
        <v>375</v>
      </c>
      <c r="E5" s="50"/>
      <c r="F5" s="51" t="s">
        <v>376</v>
      </c>
      <c r="G5" s="51" t="s">
        <v>377</v>
      </c>
      <c r="H5" s="52" t="s">
        <v>378</v>
      </c>
      <c r="I5" s="53" t="s">
        <v>379</v>
      </c>
      <c r="J5" s="53">
        <v>4</v>
      </c>
      <c r="K5" s="52" t="s">
        <v>380</v>
      </c>
      <c r="L5" s="53" t="s">
        <v>381</v>
      </c>
      <c r="M5" s="53" t="s">
        <v>382</v>
      </c>
      <c r="N5" s="52" t="s">
        <v>383</v>
      </c>
      <c r="O5" s="127"/>
      <c r="P5" s="127"/>
      <c r="Q5" s="127"/>
      <c r="R5" s="127"/>
    </row>
    <row r="6" spans="1:34" ht="33.75" customHeight="1" x14ac:dyDescent="0.3">
      <c r="A6"/>
      <c r="B6" s="54"/>
      <c r="C6" s="55" t="s">
        <v>37</v>
      </c>
      <c r="D6" s="56">
        <f>SUM(D8:D11)</f>
        <v>4374392914.6050005</v>
      </c>
      <c r="E6" s="56">
        <f>SUM(E8:E11)</f>
        <v>155767728</v>
      </c>
      <c r="F6" s="56">
        <f t="shared" ref="F6:M6" si="0">SUM(F8:F11)</f>
        <v>5092220336.6050005</v>
      </c>
      <c r="G6" s="56">
        <f t="shared" si="0"/>
        <v>4240017154.1750007</v>
      </c>
      <c r="H6" s="70">
        <f>G6/D6</f>
        <v>0.96928127787027252</v>
      </c>
      <c r="I6" s="56">
        <f t="shared" si="0"/>
        <v>2807</v>
      </c>
      <c r="J6" s="56">
        <f t="shared" si="0"/>
        <v>3582575888.2150002</v>
      </c>
      <c r="K6" s="70">
        <f>J6/D6</f>
        <v>0.81898813347417376</v>
      </c>
      <c r="L6" s="56">
        <f t="shared" si="0"/>
        <v>2414</v>
      </c>
      <c r="M6" s="56">
        <f t="shared" si="0"/>
        <v>1031847494.1336002</v>
      </c>
      <c r="N6" s="70">
        <f>M6/D6</f>
        <v>0.23588358756903621</v>
      </c>
      <c r="O6" s="128"/>
      <c r="P6" s="128"/>
      <c r="Q6" s="128"/>
      <c r="R6" s="128"/>
    </row>
    <row r="7" spans="1:34" ht="4.5" customHeight="1" x14ac:dyDescent="0.3">
      <c r="A7"/>
      <c r="B7" s="57"/>
      <c r="C7" s="58"/>
      <c r="D7" s="59"/>
      <c r="E7" s="59"/>
      <c r="F7" s="59"/>
      <c r="G7" s="59"/>
      <c r="H7" s="60"/>
      <c r="I7" s="60"/>
      <c r="J7" s="60"/>
      <c r="K7" s="60"/>
      <c r="L7" s="60"/>
      <c r="M7" s="60"/>
      <c r="N7" s="60"/>
      <c r="O7" s="129"/>
      <c r="P7" s="129"/>
      <c r="Q7" s="129"/>
      <c r="R7" s="129"/>
    </row>
    <row r="8" spans="1:34" ht="20.25" x14ac:dyDescent="0.3">
      <c r="A8" s="20" t="s">
        <v>38</v>
      </c>
      <c r="B8" s="54"/>
      <c r="C8" s="61" t="s">
        <v>384</v>
      </c>
      <c r="D8" s="62">
        <f>SUMIFS('Statusa tabula'!Q:Q,'Statusa tabula'!$O:$O,$A8)</f>
        <v>651907354.79999995</v>
      </c>
      <c r="E8" s="62">
        <f>SUMIFS('Statusa tabula'!R:R,'Statusa tabula'!$O:$O,$A8)</f>
        <v>0</v>
      </c>
      <c r="F8" s="62">
        <f>SUMIFS('Statusa tabula'!S:S,'Statusa tabula'!$O:$O,$A8)</f>
        <v>762525138.79999995</v>
      </c>
      <c r="G8" s="62">
        <f>SUMIFS('Statusa tabula'!X:X,'Statusa tabula'!$O:$O,$A8)</f>
        <v>625353289.18999994</v>
      </c>
      <c r="H8" s="71">
        <f>G8/D8</f>
        <v>0.95926711761344274</v>
      </c>
      <c r="I8" s="62">
        <f>SUMIFS('Statusa tabula'!AD:AD,'Statusa tabula'!$O:$O,$A8)</f>
        <v>257</v>
      </c>
      <c r="J8" s="62">
        <f>SUMIFS('Statusa tabula'!AL:AL,'Statusa tabula'!$O:$O,$A8)</f>
        <v>590232985.1099999</v>
      </c>
      <c r="K8" s="71">
        <f>J8/D8</f>
        <v>0.90539396551382478</v>
      </c>
      <c r="L8" s="62">
        <f>SUMIFS('Statusa tabula'!AR:AR,'Statusa tabula'!$O:$O,$A8)</f>
        <v>218</v>
      </c>
      <c r="M8" s="62">
        <f>SUMIFS('Statusa tabula'!AZ:AZ,'Statusa tabula'!$O:$O,$A8)</f>
        <v>114705085.7888</v>
      </c>
      <c r="N8" s="71">
        <f>M8/D8</f>
        <v>0.17595304753693203</v>
      </c>
      <c r="O8" s="128"/>
      <c r="P8" s="128"/>
      <c r="Q8" s="128"/>
      <c r="R8" s="128"/>
    </row>
    <row r="9" spans="1:34" ht="20.25" x14ac:dyDescent="0.3">
      <c r="A9" s="20" t="s">
        <v>39</v>
      </c>
      <c r="B9" s="54"/>
      <c r="C9" s="63" t="s">
        <v>385</v>
      </c>
      <c r="D9" s="62">
        <f>SUMIFS('Statusa tabula'!Q:Q,'Statusa tabula'!O:O,A9)</f>
        <v>2666416953.9250002</v>
      </c>
      <c r="E9" s="62">
        <f>SUMIFS('Statusa tabula'!R:R,'Statusa tabula'!$O:$O,$A9)</f>
        <v>155767728</v>
      </c>
      <c r="F9" s="62">
        <f>SUMIFS('Statusa tabula'!S:S,'Statusa tabula'!$O:$O,$A9)</f>
        <v>3089334341.9250002</v>
      </c>
      <c r="G9" s="62">
        <f>SUMIFS('Statusa tabula'!X:X,'Statusa tabula'!$O:$O,$A9)</f>
        <v>2604768395.6950006</v>
      </c>
      <c r="H9" s="71">
        <f>G9/D9</f>
        <v>0.97687962561922204</v>
      </c>
      <c r="I9" s="62">
        <f>SUMIFS('Statusa tabula'!AD:AD,'Statusa tabula'!$O:$O,$A9)</f>
        <v>2420</v>
      </c>
      <c r="J9" s="62">
        <f>SUMIFS('Statusa tabula'!AL:AL,'Statusa tabula'!$O:$O,$A9)</f>
        <v>2287385969.7249999</v>
      </c>
      <c r="K9" s="71">
        <f>J9/D9</f>
        <v>0.85785006968168953</v>
      </c>
      <c r="L9" s="62">
        <f>SUMIFS('Statusa tabula'!AR:AR,'Statusa tabula'!$O:$O,$A9)</f>
        <v>2083</v>
      </c>
      <c r="M9" s="62">
        <f>SUMIFS('Statusa tabula'!AZ:AZ,'Statusa tabula'!$O:$O,$A9)</f>
        <v>697619145.30800021</v>
      </c>
      <c r="N9" s="71">
        <f>M9/D9</f>
        <v>0.26163167927697722</v>
      </c>
      <c r="O9" s="128"/>
      <c r="P9" s="128"/>
      <c r="Q9" s="128"/>
      <c r="R9" s="128"/>
    </row>
    <row r="10" spans="1:34" ht="20.25" x14ac:dyDescent="0.3">
      <c r="A10" s="20" t="s">
        <v>40</v>
      </c>
      <c r="B10" s="54"/>
      <c r="C10" s="61" t="s">
        <v>386</v>
      </c>
      <c r="D10" s="62">
        <f>SUMIFS('Statusa tabula'!Q:Q,'Statusa tabula'!O:O,A10)</f>
        <v>864461785.79999995</v>
      </c>
      <c r="E10" s="62">
        <f>SUMIFS('Statusa tabula'!R:R,'Statusa tabula'!$O:$O,$A10)</f>
        <v>0</v>
      </c>
      <c r="F10" s="62">
        <f>SUMIFS('Statusa tabula'!S:S,'Statusa tabula'!$O:$O,$A10)</f>
        <v>1016241560.8</v>
      </c>
      <c r="G10" s="62">
        <f>SUMIFS('Statusa tabula'!X:X,'Statusa tabula'!$O:$O,$A10)</f>
        <v>861289938.76999998</v>
      </c>
      <c r="H10" s="71">
        <f>G10/D10</f>
        <v>0.9963308418230834</v>
      </c>
      <c r="I10" s="62">
        <f>SUMIFS('Statusa tabula'!AD:AD,'Statusa tabula'!$O:$O,$A10)</f>
        <v>80</v>
      </c>
      <c r="J10" s="62">
        <f>SUMIFS('Statusa tabula'!AL:AL,'Statusa tabula'!$O:$O,$A10)</f>
        <v>578245551.75</v>
      </c>
      <c r="K10" s="71">
        <f>J10/D10</f>
        <v>0.6689081706658363</v>
      </c>
      <c r="L10" s="62">
        <f>SUMIFS('Statusa tabula'!AR:AR,'Statusa tabula'!$O:$O,$A10)</f>
        <v>73</v>
      </c>
      <c r="M10" s="62">
        <f>SUMIFS('Statusa tabula'!AZ:AZ,'Statusa tabula'!$O:$O,$A10)</f>
        <v>173033324.50799999</v>
      </c>
      <c r="N10" s="71">
        <f>M10/D10</f>
        <v>0.20016306949632198</v>
      </c>
      <c r="O10" s="128"/>
      <c r="P10" s="128"/>
      <c r="Q10" s="128"/>
      <c r="R10" s="128"/>
    </row>
    <row r="11" spans="1:34" ht="20.25" x14ac:dyDescent="0.3">
      <c r="A11" s="20" t="s">
        <v>41</v>
      </c>
      <c r="B11" s="54"/>
      <c r="C11" s="61" t="s">
        <v>387</v>
      </c>
      <c r="D11" s="62">
        <f>SUMIFS('Statusa tabula'!Q:Q,'Statusa tabula'!O:O,A11)</f>
        <v>191606820.08000001</v>
      </c>
      <c r="E11" s="62">
        <f>SUMIFS('Statusa tabula'!R:R,'Statusa tabula'!$O:$O,$A11)</f>
        <v>0</v>
      </c>
      <c r="F11" s="62">
        <f>SUMIFS('Statusa tabula'!S:S,'Statusa tabula'!$O:$O,$A11)</f>
        <v>224119295.08000001</v>
      </c>
      <c r="G11" s="62">
        <f>SUMIFS('Statusa tabula'!X:X,'Statusa tabula'!$O:$O,$A11)</f>
        <v>148605530.52000001</v>
      </c>
      <c r="H11" s="71">
        <f>G11/D11</f>
        <v>0.77557537074073857</v>
      </c>
      <c r="I11" s="62">
        <f>SUMIFS('Statusa tabula'!AD:AD,'Statusa tabula'!$O:$O,$A11)</f>
        <v>50</v>
      </c>
      <c r="J11" s="62">
        <f>SUMIFS('Statusa tabula'!AL:AL,'Statusa tabula'!$O:$O,$A11)</f>
        <v>126711381.63</v>
      </c>
      <c r="K11" s="71">
        <f>J11/D11</f>
        <v>0.66130934993386581</v>
      </c>
      <c r="L11" s="62">
        <f>SUMIFS('Statusa tabula'!AR:AR,'Statusa tabula'!$O:$O,$A11)</f>
        <v>40</v>
      </c>
      <c r="M11" s="62">
        <f>SUMIFS('Statusa tabula'!AZ:AZ,'Statusa tabula'!$O:$O,$A11)</f>
        <v>46489938.528800003</v>
      </c>
      <c r="N11" s="71">
        <f>M11/D11</f>
        <v>0.24263196116604535</v>
      </c>
      <c r="O11" s="128"/>
      <c r="P11" s="128"/>
      <c r="Q11" s="128"/>
      <c r="R11" s="128"/>
    </row>
    <row r="12" spans="1:34" ht="30.75" customHeight="1" x14ac:dyDescent="0.3">
      <c r="A12"/>
      <c r="B12" s="57"/>
      <c r="C12" s="64"/>
      <c r="D12" s="59"/>
      <c r="E12" s="59"/>
      <c r="F12" s="59"/>
      <c r="G12" s="59"/>
      <c r="H12" s="60"/>
      <c r="I12" s="60"/>
      <c r="J12" s="60"/>
      <c r="K12" s="60"/>
      <c r="L12" s="60"/>
      <c r="M12" s="60"/>
      <c r="N12" s="60"/>
      <c r="O12" s="129"/>
      <c r="P12" s="129"/>
      <c r="Q12" s="129"/>
      <c r="R12" s="129"/>
      <c r="V12" s="231" t="str">
        <f>"Maksājumi "&amp;TEXT(ROUND(SUM(V13:V20)/1000000,1),"# ##0,0")&amp;" ("&amp; TEXT(ROUND((SUM(V13:V20)/SUM(Y13:Y20)),3),"0%")&amp; ")"</f>
        <v>Maksājumi 1 031,8 (24%)</v>
      </c>
      <c r="W12" s="231" t="str">
        <f>"Līgums "&amp;TEXT(ROUND(SUM(W13:W20)/1000000,1),"# ##0,0")&amp;" ("&amp; TEXT(ROUND((SUM(W13:W20)/SUM(Y13:Y20)),3),"0%")&amp; ")"</f>
        <v>Līgums 3 582,6 (82%)</v>
      </c>
      <c r="X12" s="231" t="str">
        <f>"Iesniegti "&amp;TEXT(ROUND(SUM(X13:X20)/1000000,1),"# ##0,0")&amp;" ("&amp; TEXT(ROUND((SUM(X13:X20)/SUM(Y13:Y20)),3),"0%")&amp; ")"</f>
        <v>Iesniegti 4 240,0 (97%)</v>
      </c>
      <c r="Y12" s="231" t="str">
        <f>"Piešķīrums "&amp;TEXT(ROUND(SUM(Y13:Y20)/1000000,1),"# ##0,0")&amp;""</f>
        <v>Piešķīrums 4 374,4</v>
      </c>
      <c r="Z12" s="231"/>
      <c r="AA12" s="231"/>
      <c r="AB12" s="231"/>
      <c r="AC12" s="231" t="str">
        <f>"Piešķīrums 2"</f>
        <v>Piešķīrums 2</v>
      </c>
      <c r="AD12" s="231" t="str">
        <f>"Valsts budžets, kas pārsniedz pasākuma ES fondu finansējumu "&amp;TEXT(ROUND(SUM(AD13:AD20)/1000000,1),"# ##0,0")&amp;" "</f>
        <v xml:space="preserve">Valsts budžets, kas pārsniedz pasākuma ES fondu finansējumu 155,8 </v>
      </c>
      <c r="AE12" s="230" t="str">
        <f>"Maksājumi "</f>
        <v xml:space="preserve">Maksājumi </v>
      </c>
      <c r="AF12" s="230" t="str">
        <f>"Līgums "</f>
        <v xml:space="preserve">Līgums </v>
      </c>
      <c r="AG12" s="230" t="str">
        <f>"Iesniegti "</f>
        <v xml:space="preserve">Iesniegti </v>
      </c>
      <c r="AH12" s="230" t="str">
        <f>"Piešķīrums "</f>
        <v xml:space="preserve">Piešķīrums </v>
      </c>
    </row>
    <row r="13" spans="1:34" ht="20.25" x14ac:dyDescent="0.25">
      <c r="A13">
        <v>1</v>
      </c>
      <c r="B13" s="65" t="s">
        <v>373</v>
      </c>
      <c r="C13" s="66" t="s">
        <v>388</v>
      </c>
      <c r="D13" s="67">
        <f>SUMIFS('Statusa tabula'!Q:Q,'Statusa tabula'!$A:$A,$A13)</f>
        <v>761269384</v>
      </c>
      <c r="E13" s="67">
        <f>SUMIFS('Statusa tabula'!R:R,'Statusa tabula'!$A:$A,$A13)</f>
        <v>0</v>
      </c>
      <c r="F13" s="67">
        <f>SUMIFS('Statusa tabula'!S:S,'Statusa tabula'!$A:$A,$A13)</f>
        <v>877963997</v>
      </c>
      <c r="G13" s="67">
        <f>SUMIFS('Statusa tabula'!X:X,'Statusa tabula'!$A:$A,$A13)</f>
        <v>634399562.25999999</v>
      </c>
      <c r="H13" s="72">
        <f t="shared" ref="H13:H21" si="1">G13/D13</f>
        <v>0.83334437926115257</v>
      </c>
      <c r="I13" s="67">
        <f>SUMIFS('Statusa tabula'!AD:AD,'Statusa tabula'!$A:$A,$A13)</f>
        <v>347</v>
      </c>
      <c r="J13" s="67">
        <f>SUMIFS('Statusa tabula'!AL:AL,'Statusa tabula'!$A:$A,$A13)</f>
        <v>543177218.11000001</v>
      </c>
      <c r="K13" s="72">
        <f t="shared" ref="K13:K21" si="2">J13/D13</f>
        <v>0.71351512293314556</v>
      </c>
      <c r="L13" s="67">
        <f>SUMIFS('Statusa tabula'!AR:AR,'Statusa tabula'!$A:$A,$A13)</f>
        <v>194</v>
      </c>
      <c r="M13" s="67">
        <f>SUMIFS('Statusa tabula'!AZ:AZ,'Statusa tabula'!$A:$A,$A13)</f>
        <v>200568391.22000003</v>
      </c>
      <c r="N13" s="72">
        <f t="shared" ref="N13:N21" si="3">M13/D13</f>
        <v>0.26346572637157312</v>
      </c>
      <c r="O13" s="130"/>
      <c r="P13" s="130"/>
      <c r="Q13" s="130"/>
      <c r="R13" s="130"/>
      <c r="T13" s="121" t="str">
        <f>B20</f>
        <v>TP</v>
      </c>
      <c r="U13" s="230" t="str">
        <f>T13&amp;" "&amp;INDEX($C$13:$C$20,MATCH(T13,$B$13:$B$20))</f>
        <v xml:space="preserve">TP Kapacitātes stiprināšanas pasākumi </v>
      </c>
      <c r="V13" s="232">
        <f t="shared" ref="V13:V21" si="4">INDEX($M$13:$M$20,MATCH(T13,$B$13:$B$20))</f>
        <v>33965635.623600006</v>
      </c>
      <c r="W13" s="230">
        <f t="shared" ref="W13:W21" si="5">INDEX($J$13:$J$20,MATCH(T13,$B$13:$B$20))</f>
        <v>143696785.60500002</v>
      </c>
      <c r="X13" s="230">
        <f t="shared" ref="X13:X21" si="6">INDEX($G$13:$G$20,MATCH(T13,$B$13:$B$20))</f>
        <v>143696785.60500002</v>
      </c>
      <c r="Y13" s="230">
        <f>INDEX($D$13:$D$20,MATCH(T13,$B$13:$B$20))</f>
        <v>143696785.60500002</v>
      </c>
      <c r="AC13" s="230">
        <f>Y13</f>
        <v>143696785.60500002</v>
      </c>
      <c r="AD13" s="230">
        <f t="shared" ref="AD13:AD21" si="7">INDEX($E$13:$E$20,MATCH(T13,$B$13:$B$20))</f>
        <v>0</v>
      </c>
      <c r="AE13" s="230" t="str">
        <f>TEXT(ROUND(V13/1000000,1),"# ##0,0")&amp;"; " &amp; TEXT( (V13/Y13)*1000," 0,0 %")</f>
        <v>34,0;  23,6%</v>
      </c>
      <c r="AF13" s="230" t="str">
        <f>TEXT(ROUND(W13/1000000,1),"# ##0,0")&amp;"; " &amp; TEXT( (W13/Y13)*1000," 0,0 %")</f>
        <v>143,7;  100,0%</v>
      </c>
      <c r="AG13" s="230" t="str">
        <f>TEXT(ROUND(X13/1000000,1),"# ##0,0")&amp;"; " &amp; TEXT( (X13/Y13)*1000," 0,0 %")</f>
        <v>143,7;  100,0%</v>
      </c>
      <c r="AH13" s="230" t="str">
        <f>IF(AD13&gt;0,TEXT(ROUND(AC13/1000000,1),"# ##0,0")&amp;"+ "&amp;TEXT(ROUND(AD13/1000000,1),"# ##0,0")&amp;" ",TEXT(ROUND(AC13/1000000,1),"# ##0,0")&amp;" ")</f>
        <v xml:space="preserve">143,7 </v>
      </c>
    </row>
    <row r="14" spans="1:34" ht="20.25" x14ac:dyDescent="0.25">
      <c r="A14">
        <v>2</v>
      </c>
      <c r="B14" s="65" t="s">
        <v>375</v>
      </c>
      <c r="C14" s="66" t="s">
        <v>389</v>
      </c>
      <c r="D14" s="67">
        <f>SUMIFS('Statusa tabula'!Q:Q,'Statusa tabula'!$A:$A,$A14)</f>
        <v>1098326909</v>
      </c>
      <c r="E14" s="67">
        <f>SUMIFS('Statusa tabula'!R:R,'Statusa tabula'!$A:$A,$A14)</f>
        <v>87449480</v>
      </c>
      <c r="F14" s="67">
        <f>SUMIFS('Statusa tabula'!S:S,'Statusa tabula'!$A:$A,$A14)</f>
        <v>1288606628</v>
      </c>
      <c r="G14" s="67">
        <f>SUMIFS('Statusa tabula'!X:X,'Statusa tabula'!$A:$A,$A14)</f>
        <v>1098867262.0699997</v>
      </c>
      <c r="H14" s="72">
        <f t="shared" si="1"/>
        <v>1.0004919783586943</v>
      </c>
      <c r="I14" s="67">
        <f>SUMIFS('Statusa tabula'!AD:AD,'Statusa tabula'!$A:$A,$A14)</f>
        <v>1540</v>
      </c>
      <c r="J14" s="67">
        <f>SUMIFS('Statusa tabula'!AL:AL,'Statusa tabula'!$A:$A,$A14)</f>
        <v>961987231.28999984</v>
      </c>
      <c r="K14" s="72">
        <f t="shared" si="2"/>
        <v>0.87586603169530453</v>
      </c>
      <c r="L14" s="67">
        <f>SUMIFS('Statusa tabula'!AR:AR,'Statusa tabula'!$A:$A,$A14)</f>
        <v>1444</v>
      </c>
      <c r="M14" s="67">
        <f>SUMIFS('Statusa tabula'!AZ:AZ,'Statusa tabula'!$A:$A,$A14)</f>
        <v>308208880.55000007</v>
      </c>
      <c r="N14" s="72">
        <f t="shared" si="3"/>
        <v>0.28061670712467274</v>
      </c>
      <c r="O14" s="130"/>
      <c r="P14" s="130"/>
      <c r="Q14" s="130"/>
      <c r="R14" s="130"/>
      <c r="T14" s="121" t="str">
        <f>B19</f>
        <v>7.</v>
      </c>
      <c r="U14" s="230" t="str">
        <f t="shared" ref="U14:U20" si="8">T14&amp;" "&amp;INDEX($C$13:$C$20,MATCH(T14,$B$13:$B$20))</f>
        <v xml:space="preserve">7. Kapacitātes stiprināšanas pasākumi </v>
      </c>
      <c r="V14" s="232">
        <f t="shared" si="4"/>
        <v>1975647.35</v>
      </c>
      <c r="W14" s="230">
        <f t="shared" si="5"/>
        <v>4643848</v>
      </c>
      <c r="X14" s="230">
        <f t="shared" si="6"/>
        <v>4643848</v>
      </c>
      <c r="Y14" s="230">
        <f t="shared" ref="Y14:Y21" si="9">INDEX($D$13:$D$20,MATCH(T14,$B$13:$B$20))</f>
        <v>4643848</v>
      </c>
      <c r="AC14" s="230">
        <f t="shared" ref="AC14:AC20" si="10">Y14</f>
        <v>4643848</v>
      </c>
      <c r="AD14" s="230">
        <f t="shared" si="7"/>
        <v>0</v>
      </c>
      <c r="AE14" s="230" t="str">
        <f t="shared" ref="AE14:AE21" si="11">TEXT(ROUND(V14/1000000,1),"# ##0,0")&amp;"; " &amp; TEXT( (V14/Y14)*1000," 0,0 %")</f>
        <v>2,0;  42,5%</v>
      </c>
      <c r="AF14" s="230" t="str">
        <f t="shared" ref="AF14:AF20" si="12">TEXT(ROUND(W14/1000000,1),"# ##0,0")&amp;"; " &amp; TEXT( (W14/Y14)*1000," 0,0 %")</f>
        <v>4,6;  100,0%</v>
      </c>
      <c r="AG14" s="230" t="str">
        <f t="shared" ref="AG14:AG21" si="13">TEXT(ROUND(X14/1000000,1),"# ##0,0")&amp;"; " &amp; TEXT( (X14/Y14)*1000," 0,0 %")</f>
        <v>4,6;  100,0%</v>
      </c>
      <c r="AH14" s="230" t="str">
        <f t="shared" ref="AH14:AH21" si="14">IF(AD14&gt;0,TEXT(ROUND(AC14/1000000,1),"# ##0,0")&amp;"+ "&amp;TEXT(ROUND(AD14/1000000,1),"# ##0,0")&amp;" ",TEXT(ROUND(AC14/1000000,1),"# ##0,0")&amp;" ")</f>
        <v xml:space="preserve">4,6 </v>
      </c>
    </row>
    <row r="15" spans="1:34" ht="20.25" x14ac:dyDescent="0.25">
      <c r="A15">
        <v>3</v>
      </c>
      <c r="B15" s="65" t="s">
        <v>377</v>
      </c>
      <c r="C15" s="66" t="s">
        <v>390</v>
      </c>
      <c r="D15" s="67">
        <f>SUMIFS('Statusa tabula'!Q:Q,'Statusa tabula'!$A:$A,$A15)</f>
        <v>661652054</v>
      </c>
      <c r="E15" s="67">
        <f>SUMIFS('Statusa tabula'!R:R,'Statusa tabula'!$A:$A,$A15)</f>
        <v>65791802</v>
      </c>
      <c r="F15" s="67">
        <f>SUMIFS('Statusa tabula'!S:S,'Statusa tabula'!$A:$A,$A15)</f>
        <v>778414191</v>
      </c>
      <c r="G15" s="67">
        <f>SUMIFS('Statusa tabula'!X:X,'Statusa tabula'!$A:$A,$A15)</f>
        <v>725125649.97000003</v>
      </c>
      <c r="H15" s="72">
        <f t="shared" si="1"/>
        <v>1.0959319865876211</v>
      </c>
      <c r="I15" s="67">
        <f>SUMIFS('Statusa tabula'!AD:AD,'Statusa tabula'!$A:$A,$A15)</f>
        <v>34</v>
      </c>
      <c r="J15" s="67">
        <f>SUMIFS('Statusa tabula'!AL:AL,'Statusa tabula'!$A:$A,$A15)</f>
        <v>455450271.97000003</v>
      </c>
      <c r="K15" s="72">
        <f t="shared" si="2"/>
        <v>0.68835314455171337</v>
      </c>
      <c r="L15" s="67">
        <f>SUMIFS('Statusa tabula'!AR:AR,'Statusa tabula'!$A:$A,$A15)</f>
        <v>30</v>
      </c>
      <c r="M15" s="67">
        <f>SUMIFS('Statusa tabula'!AZ:AZ,'Statusa tabula'!$A:$A,$A15)</f>
        <v>99458545.829999998</v>
      </c>
      <c r="N15" s="72">
        <f t="shared" si="3"/>
        <v>0.15031850234383162</v>
      </c>
      <c r="O15" s="130"/>
      <c r="P15" s="130"/>
      <c r="Q15" s="130"/>
      <c r="R15" s="130"/>
      <c r="T15" s="121" t="str">
        <f>B18</f>
        <v>6.</v>
      </c>
      <c r="U15" s="230" t="str">
        <f t="shared" si="8"/>
        <v>6. "Taisnīgās pārkārtošanās fonda investīcijas"</v>
      </c>
      <c r="V15" s="232">
        <f t="shared" si="4"/>
        <v>44701863.970000006</v>
      </c>
      <c r="W15" s="230">
        <f t="shared" si="5"/>
        <v>119341888.55</v>
      </c>
      <c r="X15" s="230">
        <f t="shared" si="6"/>
        <v>141236037.44</v>
      </c>
      <c r="Y15" s="230">
        <f t="shared" si="9"/>
        <v>184237327</v>
      </c>
      <c r="AC15" s="230">
        <f t="shared" si="10"/>
        <v>184237327</v>
      </c>
      <c r="AD15" s="230">
        <f t="shared" si="7"/>
        <v>0</v>
      </c>
      <c r="AE15" s="230" t="str">
        <f t="shared" si="11"/>
        <v>44,7;  24,3%</v>
      </c>
      <c r="AF15" s="230" t="str">
        <f t="shared" si="12"/>
        <v>119,3;  64,8%</v>
      </c>
      <c r="AG15" s="230" t="str">
        <f t="shared" si="13"/>
        <v>141,2;  76,7%</v>
      </c>
      <c r="AH15" s="230" t="str">
        <f t="shared" si="14"/>
        <v xml:space="preserve">184,2 </v>
      </c>
    </row>
    <row r="16" spans="1:34" ht="20.25" x14ac:dyDescent="0.25">
      <c r="A16">
        <v>4</v>
      </c>
      <c r="B16" s="65" t="s">
        <v>391</v>
      </c>
      <c r="C16" s="66" t="s">
        <v>392</v>
      </c>
      <c r="D16" s="67">
        <f>SUMIFS('Statusa tabula'!Q:Q,'Statusa tabula'!$A:$A,$A16)</f>
        <v>1265858205</v>
      </c>
      <c r="E16" s="67">
        <f>SUMIFS('Statusa tabula'!R:R,'Statusa tabula'!$A:$A,$A16)</f>
        <v>0</v>
      </c>
      <c r="F16" s="67">
        <f>SUMIFS('Statusa tabula'!S:S,'Statusa tabula'!$A:$A,$A16)</f>
        <v>1474582596</v>
      </c>
      <c r="G16" s="67">
        <f>SUMIFS('Statusa tabula'!X:X,'Statusa tabula'!$A:$A,$A16)</f>
        <v>1218103136.3600001</v>
      </c>
      <c r="H16" s="72">
        <f t="shared" si="1"/>
        <v>0.96227455140601637</v>
      </c>
      <c r="I16" s="67">
        <f>SUMIFS('Statusa tabula'!AD:AD,'Statusa tabula'!$A:$A,$A16)</f>
        <v>603</v>
      </c>
      <c r="J16" s="67">
        <f>SUMIFS('Statusa tabula'!AL:AL,'Statusa tabula'!$A:$A,$A16)</f>
        <v>1159228522.9200001</v>
      </c>
      <c r="K16" s="72">
        <f t="shared" si="2"/>
        <v>0.91576490821892653</v>
      </c>
      <c r="L16" s="67">
        <f>SUMIFS('Statusa tabula'!AR:AR,'Statusa tabula'!$A:$A,$A16)</f>
        <v>508</v>
      </c>
      <c r="M16" s="67">
        <f>SUMIFS('Statusa tabula'!AZ:AZ,'Statusa tabula'!$A:$A,$A16)</f>
        <v>260445421.11000001</v>
      </c>
      <c r="N16" s="72">
        <f t="shared" si="3"/>
        <v>0.20574612549910359</v>
      </c>
      <c r="O16" s="130"/>
      <c r="P16" s="130"/>
      <c r="Q16" s="130"/>
      <c r="R16" s="130"/>
      <c r="T16" s="121" t="str">
        <f>B17</f>
        <v>5.</v>
      </c>
      <c r="U16" s="230" t="str">
        <f t="shared" si="8"/>
        <v>5. "Iedzīvotājiem tuvāka Eiropa"</v>
      </c>
      <c r="V16" s="232">
        <f t="shared" si="4"/>
        <v>82523108.479999974</v>
      </c>
      <c r="W16" s="230">
        <f t="shared" si="5"/>
        <v>195050121.77000001</v>
      </c>
      <c r="X16" s="230">
        <f t="shared" si="6"/>
        <v>273944872.47000003</v>
      </c>
      <c r="Y16" s="230">
        <f t="shared" si="9"/>
        <v>254708402</v>
      </c>
      <c r="AC16" s="230">
        <f t="shared" si="10"/>
        <v>254708402</v>
      </c>
      <c r="AD16" s="230">
        <f t="shared" si="7"/>
        <v>2526446</v>
      </c>
      <c r="AE16" s="230" t="str">
        <f t="shared" si="11"/>
        <v>82,5;  32,4%</v>
      </c>
      <c r="AF16" s="230" t="str">
        <f t="shared" si="12"/>
        <v>195,1;  76,6%</v>
      </c>
      <c r="AG16" s="230" t="str">
        <f t="shared" si="13"/>
        <v>273,9;  107,6%</v>
      </c>
      <c r="AH16" s="230" t="str">
        <f t="shared" si="14"/>
        <v xml:space="preserve">254,7+ 2,5 </v>
      </c>
    </row>
    <row r="17" spans="1:34" ht="20.25" x14ac:dyDescent="0.25">
      <c r="A17">
        <v>5</v>
      </c>
      <c r="B17" s="65" t="s">
        <v>382</v>
      </c>
      <c r="C17" s="66" t="s">
        <v>393</v>
      </c>
      <c r="D17" s="67">
        <f>SUMIFS('Statusa tabula'!Q:Q,'Statusa tabula'!$A:$A,$A17)</f>
        <v>254708402</v>
      </c>
      <c r="E17" s="67">
        <f>SUMIFS('Statusa tabula'!R:R,'Statusa tabula'!$A:$A,$A17)</f>
        <v>2526446</v>
      </c>
      <c r="F17" s="67">
        <f>SUMIFS('Statusa tabula'!S:S,'Statusa tabula'!$A:$A,$A17)</f>
        <v>306742986</v>
      </c>
      <c r="G17" s="67">
        <f>SUMIFS('Statusa tabula'!X:X,'Statusa tabula'!$A:$A,$A17)</f>
        <v>273944872.47000003</v>
      </c>
      <c r="H17" s="72">
        <f t="shared" si="1"/>
        <v>1.0755235018513447</v>
      </c>
      <c r="I17" s="67">
        <f>SUMIFS('Statusa tabula'!AD:AD,'Statusa tabula'!$A:$A,$A17)</f>
        <v>231</v>
      </c>
      <c r="J17" s="67">
        <f>SUMIFS('Statusa tabula'!AL:AL,'Statusa tabula'!$A:$A,$A17)</f>
        <v>195050121.77000001</v>
      </c>
      <c r="K17" s="72">
        <f t="shared" si="2"/>
        <v>0.76577812211314489</v>
      </c>
      <c r="L17" s="67">
        <f>SUMIFS('Statusa tabula'!AR:AR,'Statusa tabula'!$A:$A,$A17)</f>
        <v>196</v>
      </c>
      <c r="M17" s="67">
        <f>SUMIFS('Statusa tabula'!AZ:AZ,'Statusa tabula'!$A:$A,$A17)</f>
        <v>82523108.479999974</v>
      </c>
      <c r="N17" s="72">
        <f t="shared" si="3"/>
        <v>0.32399052340644802</v>
      </c>
      <c r="O17" s="130"/>
      <c r="P17" s="130"/>
      <c r="Q17" s="130"/>
      <c r="R17" s="130"/>
      <c r="T17" s="121" t="str">
        <f>B16</f>
        <v>4.</v>
      </c>
      <c r="U17" s="230" t="str">
        <f t="shared" si="8"/>
        <v>4. "Sociālāka Eiropa"</v>
      </c>
      <c r="V17" s="232">
        <f t="shared" si="4"/>
        <v>260445421.11000001</v>
      </c>
      <c r="W17" s="230">
        <f t="shared" si="5"/>
        <v>1159228522.9200001</v>
      </c>
      <c r="X17" s="230">
        <f t="shared" si="6"/>
        <v>1218103136.3600001</v>
      </c>
      <c r="Y17" s="230">
        <f t="shared" si="9"/>
        <v>1265858205</v>
      </c>
      <c r="AC17" s="230">
        <f t="shared" si="10"/>
        <v>1265858205</v>
      </c>
      <c r="AD17" s="230">
        <f t="shared" si="7"/>
        <v>0</v>
      </c>
      <c r="AE17" s="230" t="str">
        <f t="shared" si="11"/>
        <v>260,4;  20,6%</v>
      </c>
      <c r="AF17" s="230" t="str">
        <f t="shared" si="12"/>
        <v>1 159,2;  91,6%</v>
      </c>
      <c r="AG17" s="230" t="str">
        <f t="shared" si="13"/>
        <v>1 218,1;  96,2%</v>
      </c>
      <c r="AH17" s="230" t="str">
        <f t="shared" si="14"/>
        <v xml:space="preserve">1 265,9 </v>
      </c>
    </row>
    <row r="18" spans="1:34" ht="20.25" x14ac:dyDescent="0.25">
      <c r="A18">
        <v>6</v>
      </c>
      <c r="B18" s="65" t="s">
        <v>394</v>
      </c>
      <c r="C18" s="66" t="s">
        <v>395</v>
      </c>
      <c r="D18" s="67">
        <f>SUMIFS('Statusa tabula'!Q:Q,'Statusa tabula'!$A:$A,$A18)</f>
        <v>184237327</v>
      </c>
      <c r="E18" s="67">
        <f>SUMIFS('Statusa tabula'!R:R,'Statusa tabula'!$A:$A,$A18)</f>
        <v>0</v>
      </c>
      <c r="F18" s="67">
        <f>SUMIFS('Statusa tabula'!S:S,'Statusa tabula'!$A:$A,$A18)</f>
        <v>216749802</v>
      </c>
      <c r="G18" s="67">
        <f>SUMIFS('Statusa tabula'!X:X,'Statusa tabula'!$A:$A,$A18)</f>
        <v>141236037.44</v>
      </c>
      <c r="H18" s="72">
        <f t="shared" si="1"/>
        <v>0.76659838557036819</v>
      </c>
      <c r="I18" s="67">
        <f>SUMIFS('Statusa tabula'!AD:AD,'Statusa tabula'!$A:$A,$A18)</f>
        <v>50</v>
      </c>
      <c r="J18" s="67">
        <f>SUMIFS('Statusa tabula'!AL:AL,'Statusa tabula'!$A:$A,$A18)</f>
        <v>119341888.55</v>
      </c>
      <c r="K18" s="72">
        <f t="shared" si="2"/>
        <v>0.64776172393122056</v>
      </c>
      <c r="L18" s="67">
        <f>SUMIFS('Statusa tabula'!AR:AR,'Statusa tabula'!$A:$A,$A18)</f>
        <v>40</v>
      </c>
      <c r="M18" s="67">
        <f>SUMIFS('Statusa tabula'!AZ:AZ,'Statusa tabula'!$A:$A,$A18)</f>
        <v>44701863.970000006</v>
      </c>
      <c r="N18" s="72">
        <f t="shared" si="3"/>
        <v>0.24263196116604538</v>
      </c>
      <c r="O18" s="130"/>
      <c r="P18" s="130"/>
      <c r="Q18" s="130"/>
      <c r="R18" s="130"/>
      <c r="T18" s="121" t="str">
        <f>B15</f>
        <v>3.</v>
      </c>
      <c r="U18" s="230" t="str">
        <f t="shared" si="8"/>
        <v>3. "Savienotāka Eiropa"</v>
      </c>
      <c r="V18" s="232">
        <f t="shared" si="4"/>
        <v>99458545.829999998</v>
      </c>
      <c r="W18" s="230">
        <f t="shared" si="5"/>
        <v>455450271.97000003</v>
      </c>
      <c r="X18" s="230">
        <f t="shared" si="6"/>
        <v>725125649.97000003</v>
      </c>
      <c r="Y18" s="230">
        <f t="shared" si="9"/>
        <v>661652054</v>
      </c>
      <c r="AC18" s="230">
        <f t="shared" si="10"/>
        <v>661652054</v>
      </c>
      <c r="AD18" s="230">
        <f t="shared" si="7"/>
        <v>65791802</v>
      </c>
      <c r="AE18" s="230" t="str">
        <f t="shared" si="11"/>
        <v>99,5;  15,0%</v>
      </c>
      <c r="AF18" s="230" t="str">
        <f t="shared" si="12"/>
        <v>455,5;  68,8%</v>
      </c>
      <c r="AG18" s="230" t="str">
        <f t="shared" si="13"/>
        <v>725,1;  109,6%</v>
      </c>
      <c r="AH18" s="230" t="str">
        <f t="shared" si="14"/>
        <v xml:space="preserve">661,7+ 65,8 </v>
      </c>
    </row>
    <row r="19" spans="1:34" ht="20.25" x14ac:dyDescent="0.25">
      <c r="A19">
        <v>7</v>
      </c>
      <c r="B19" s="65" t="s">
        <v>396</v>
      </c>
      <c r="C19" s="66" t="s">
        <v>397</v>
      </c>
      <c r="D19" s="67">
        <f>SUMIFS('Statusa tabula'!Q:Q,'Statusa tabula'!$A:$A,$A19)</f>
        <v>4643848</v>
      </c>
      <c r="E19" s="67">
        <f>SUMIFS('Statusa tabula'!R:R,'Statusa tabula'!$A:$A,$A19)</f>
        <v>0</v>
      </c>
      <c r="F19" s="67">
        <f>SUMIFS('Statusa tabula'!S:S,'Statusa tabula'!$A:$A,$A19)</f>
        <v>5463351</v>
      </c>
      <c r="G19" s="67">
        <f>SUMIFS('Statusa tabula'!X:X,'Statusa tabula'!$A:$A,$A19)</f>
        <v>4643848</v>
      </c>
      <c r="H19" s="72">
        <f t="shared" si="1"/>
        <v>1</v>
      </c>
      <c r="I19" s="67">
        <f>SUMIFS('Statusa tabula'!AD:AD,'Statusa tabula'!$A:$A,$A19)</f>
        <v>2</v>
      </c>
      <c r="J19" s="67">
        <f>SUMIFS('Statusa tabula'!AL:AL,'Statusa tabula'!$A:$A,$A19)</f>
        <v>4643848</v>
      </c>
      <c r="K19" s="72">
        <f t="shared" si="2"/>
        <v>1</v>
      </c>
      <c r="L19" s="67">
        <f>SUMIFS('Statusa tabula'!AR:AR,'Statusa tabula'!$A:$A,$A19)</f>
        <v>2</v>
      </c>
      <c r="M19" s="67">
        <f>SUMIFS('Statusa tabula'!AZ:AZ,'Statusa tabula'!$A:$A,$A19)</f>
        <v>1975647.35</v>
      </c>
      <c r="N19" s="72">
        <f t="shared" si="3"/>
        <v>0.42543325061457654</v>
      </c>
      <c r="O19" s="130"/>
      <c r="P19" s="130"/>
      <c r="Q19" s="130"/>
      <c r="R19" s="130"/>
      <c r="T19" s="121" t="str">
        <f>B14</f>
        <v>2.</v>
      </c>
      <c r="U19" s="230" t="str">
        <f t="shared" si="8"/>
        <v>2. "Zaļāka Eiropa"</v>
      </c>
      <c r="V19" s="232">
        <f t="shared" si="4"/>
        <v>308208880.55000007</v>
      </c>
      <c r="W19" s="230">
        <f t="shared" si="5"/>
        <v>961987231.28999984</v>
      </c>
      <c r="X19" s="230">
        <f t="shared" si="6"/>
        <v>1098867262.0699997</v>
      </c>
      <c r="Y19" s="230">
        <f t="shared" si="9"/>
        <v>1098326909</v>
      </c>
      <c r="AC19" s="230">
        <f t="shared" si="10"/>
        <v>1098326909</v>
      </c>
      <c r="AD19" s="230">
        <f t="shared" si="7"/>
        <v>87449480</v>
      </c>
      <c r="AE19" s="230" t="str">
        <f t="shared" si="11"/>
        <v>308,2;  28,1%</v>
      </c>
      <c r="AF19" s="230" t="str">
        <f t="shared" si="12"/>
        <v>962,0;  87,6%</v>
      </c>
      <c r="AG19" s="230" t="str">
        <f t="shared" si="13"/>
        <v>1 098,9;  100,0%</v>
      </c>
      <c r="AH19" s="230" t="str">
        <f t="shared" si="14"/>
        <v xml:space="preserve">1 098,3+ 87,4 </v>
      </c>
    </row>
    <row r="20" spans="1:34" ht="20.25" x14ac:dyDescent="0.25">
      <c r="A20" t="s">
        <v>318</v>
      </c>
      <c r="B20" s="65" t="s">
        <v>318</v>
      </c>
      <c r="C20" s="66" t="s">
        <v>397</v>
      </c>
      <c r="D20" s="67">
        <f>SUMIFS('Statusa tabula'!Q:Q,'Statusa tabula'!$A:$A,$A20)</f>
        <v>143696785.60500002</v>
      </c>
      <c r="E20" s="67">
        <f>SUMIFS('Statusa tabula'!R:R,'Statusa tabula'!$A:$A,$A20)</f>
        <v>0</v>
      </c>
      <c r="F20" s="67">
        <f>SUMIFS('Statusa tabula'!S:S,'Statusa tabula'!$A:$A,$A20)</f>
        <v>143696785.60500002</v>
      </c>
      <c r="G20" s="67">
        <f>SUMIFS('Statusa tabula'!X:X,'Statusa tabula'!$A:$A,$A20)</f>
        <v>143696785.60500002</v>
      </c>
      <c r="H20" s="72">
        <f t="shared" si="1"/>
        <v>1</v>
      </c>
      <c r="I20" s="67">
        <f>SUMIFS('Statusa tabula'!AD:AD,'Statusa tabula'!$A:$A,$A20)</f>
        <v>0</v>
      </c>
      <c r="J20" s="67">
        <f>SUMIFS('Statusa tabula'!AL:AL,'Statusa tabula'!$A:$A,$A20)</f>
        <v>143696785.60500002</v>
      </c>
      <c r="K20" s="72">
        <f t="shared" si="2"/>
        <v>1</v>
      </c>
      <c r="L20" s="67">
        <f>SUMIFS('Statusa tabula'!AR:AR,'Statusa tabula'!$A:$A,$A20)</f>
        <v>0</v>
      </c>
      <c r="M20" s="67">
        <f>SUMIFS('Statusa tabula'!AZ:AZ,'Statusa tabula'!$A:$A,$A20)</f>
        <v>33965635.623600006</v>
      </c>
      <c r="N20" s="72">
        <f t="shared" si="3"/>
        <v>0.2363701837907928</v>
      </c>
      <c r="O20" s="130"/>
      <c r="P20" s="130"/>
      <c r="Q20" s="130"/>
      <c r="R20" s="130"/>
      <c r="T20" s="121" t="str">
        <f>B13</f>
        <v>1.</v>
      </c>
      <c r="U20" s="230" t="str">
        <f t="shared" si="8"/>
        <v>1. "Viedāka Eiropa"</v>
      </c>
      <c r="V20" s="232">
        <f t="shared" si="4"/>
        <v>200568391.22000003</v>
      </c>
      <c r="W20" s="230">
        <f t="shared" si="5"/>
        <v>543177218.11000001</v>
      </c>
      <c r="X20" s="230">
        <f t="shared" si="6"/>
        <v>634399562.25999999</v>
      </c>
      <c r="Y20" s="230">
        <f t="shared" si="9"/>
        <v>761269384</v>
      </c>
      <c r="AC20" s="230">
        <f t="shared" si="10"/>
        <v>761269384</v>
      </c>
      <c r="AD20" s="230">
        <f t="shared" si="7"/>
        <v>0</v>
      </c>
      <c r="AE20" s="230" t="str">
        <f t="shared" si="11"/>
        <v>200,6;  26,3%</v>
      </c>
      <c r="AF20" s="230" t="str">
        <f t="shared" si="12"/>
        <v>543,2;  71,4%</v>
      </c>
      <c r="AG20" s="230" t="str">
        <f t="shared" si="13"/>
        <v>634,4;  83,3%</v>
      </c>
      <c r="AH20" s="230" t="str">
        <f t="shared" si="14"/>
        <v xml:space="preserve">761,3 </v>
      </c>
    </row>
    <row r="21" spans="1:34" ht="45" hidden="1" customHeight="1" x14ac:dyDescent="0.25">
      <c r="A21"/>
      <c r="B21" s="65"/>
      <c r="C21" s="66" t="s">
        <v>398</v>
      </c>
      <c r="D21" s="67">
        <f>SUM(D13:D20)</f>
        <v>4374392914.6049995</v>
      </c>
      <c r="E21" s="67"/>
      <c r="F21" s="67">
        <f t="shared" ref="F21" si="15">SUM(F13:F20)</f>
        <v>5092220336.6049995</v>
      </c>
      <c r="G21" s="67">
        <f t="shared" ref="G21" si="16">SUM(G13:G20)</f>
        <v>4240017154.1750002</v>
      </c>
      <c r="H21" s="72">
        <f t="shared" si="1"/>
        <v>0.96928127787027263</v>
      </c>
      <c r="I21" s="67">
        <f t="shared" ref="I21" si="17">SUM(I13:I20)</f>
        <v>2807</v>
      </c>
      <c r="J21" s="67">
        <f t="shared" ref="J21" si="18">SUM(J13:J20)</f>
        <v>3582575888.2150002</v>
      </c>
      <c r="K21" s="72">
        <f t="shared" si="2"/>
        <v>0.81898813347417398</v>
      </c>
      <c r="L21" s="67">
        <f t="shared" ref="L21" si="19">SUM(L13:L20)</f>
        <v>2414</v>
      </c>
      <c r="M21" s="67">
        <f t="shared" ref="M21" si="20">SUM(M13:M20)</f>
        <v>1031847494.1336002</v>
      </c>
      <c r="N21" s="72">
        <f t="shared" si="3"/>
        <v>0.23588358756903627</v>
      </c>
      <c r="O21" s="130"/>
      <c r="P21" s="130"/>
      <c r="Q21" s="130"/>
      <c r="R21" s="130"/>
      <c r="T21" s="121">
        <f t="shared" ref="T21" si="21">B21</f>
        <v>0</v>
      </c>
      <c r="V21" s="232" t="e">
        <f t="shared" si="4"/>
        <v>#N/A</v>
      </c>
      <c r="W21" s="230" t="e">
        <f t="shared" si="5"/>
        <v>#N/A</v>
      </c>
      <c r="X21" s="230" t="e">
        <f t="shared" si="6"/>
        <v>#N/A</v>
      </c>
      <c r="Y21" s="230" t="e">
        <f t="shared" si="9"/>
        <v>#N/A</v>
      </c>
      <c r="AD21" s="230" t="e">
        <f t="shared" si="7"/>
        <v>#N/A</v>
      </c>
      <c r="AE21" s="230" t="e">
        <f t="shared" si="11"/>
        <v>#N/A</v>
      </c>
      <c r="AG21" s="230" t="e">
        <f t="shared" si="13"/>
        <v>#N/A</v>
      </c>
      <c r="AH21" s="230" t="e">
        <f t="shared" si="14"/>
        <v>#N/A</v>
      </c>
    </row>
    <row r="22" spans="1:34" ht="18" customHeight="1" x14ac:dyDescent="0.25">
      <c r="A22"/>
      <c r="B22" s="68"/>
      <c r="C22" s="68"/>
      <c r="D22" s="68"/>
      <c r="E22" s="68"/>
      <c r="F22" s="68"/>
      <c r="G22" s="68"/>
      <c r="H22" s="69"/>
      <c r="I22" s="68"/>
      <c r="J22" s="68"/>
      <c r="K22" s="69"/>
      <c r="L22" s="68"/>
      <c r="M22" s="68"/>
      <c r="N22" s="69"/>
    </row>
    <row r="23" spans="1:34" ht="15.75" customHeight="1" x14ac:dyDescent="0.25">
      <c r="A23"/>
      <c r="B23" s="112"/>
      <c r="C23" s="112"/>
      <c r="D23" s="112"/>
      <c r="E23" s="112"/>
      <c r="F23" s="112"/>
      <c r="G23" s="112"/>
      <c r="H23" s="111"/>
      <c r="I23" s="112"/>
      <c r="J23" s="112"/>
      <c r="K23" s="111"/>
      <c r="L23" s="112"/>
      <c r="M23" s="112"/>
      <c r="N23" s="111"/>
    </row>
    <row r="24" spans="1:34" ht="51.75" customHeight="1" x14ac:dyDescent="0.25">
      <c r="A24"/>
      <c r="B24" s="213" t="s">
        <v>1086</v>
      </c>
      <c r="C24" s="213"/>
      <c r="D24" s="213"/>
      <c r="E24" s="213"/>
      <c r="F24" s="213"/>
      <c r="G24" s="213"/>
      <c r="H24" s="213"/>
      <c r="I24" s="213"/>
      <c r="J24" s="213"/>
      <c r="K24" s="213"/>
      <c r="L24" s="213"/>
      <c r="M24" s="213"/>
      <c r="N24" s="213"/>
    </row>
    <row r="25" spans="1:34" x14ac:dyDescent="0.25">
      <c r="A25"/>
      <c r="B25" s="112"/>
      <c r="C25" s="112"/>
      <c r="D25" s="112"/>
      <c r="E25" s="112"/>
      <c r="F25" s="112"/>
      <c r="G25" s="112"/>
      <c r="H25" s="111"/>
      <c r="I25" s="112"/>
      <c r="J25" s="112"/>
      <c r="K25" s="111"/>
      <c r="L25" s="112"/>
      <c r="M25" s="112"/>
      <c r="N25" s="111"/>
    </row>
    <row r="26" spans="1:34" ht="30" x14ac:dyDescent="0.25">
      <c r="A26"/>
      <c r="B26" s="112"/>
      <c r="C26" s="112"/>
      <c r="D26" s="112"/>
      <c r="E26" s="112"/>
      <c r="F26" s="112"/>
      <c r="G26" s="112"/>
      <c r="H26" s="111"/>
      <c r="I26" s="112"/>
      <c r="J26" s="112"/>
      <c r="K26" s="111"/>
      <c r="L26" s="112"/>
      <c r="M26" s="112"/>
      <c r="N26" s="111"/>
      <c r="V26" s="231" t="str">
        <f>"Maksājumi "&amp;TEXT(ROUND(SUM(V27:V30)/1000000,1),"# ##0,0")&amp;" ("&amp; TEXT(ROUND((SUM(V27:V30)/SUM(Y27:Y30)),3),"0%")&amp; ")"</f>
        <v>Maksājumi 1 031,8 (24%)</v>
      </c>
      <c r="W26" s="231" t="str">
        <f>"Līgums "&amp;TEXT(ROUND(SUM(W27:W30)/1000000,1),"# ##0,0")&amp;" ("&amp; TEXT(ROUND((SUM(W27:W30)/SUM(Y27:Y30)),3),"0%")&amp; ")"</f>
        <v>Līgums 3 582,6 (82%)</v>
      </c>
      <c r="X26" s="231" t="str">
        <f>"Iesniegti "&amp;TEXT(ROUND(SUM(X27:X30)/1000000,1),"# ##0,0")&amp;" ("&amp; TEXT(ROUND((SUM(X27:X30)/SUM(Y27:Y30)),3),"0%")&amp; ")"</f>
        <v>Iesniegti 4 240,0 (97%)</v>
      </c>
      <c r="Y26" s="231" t="str">
        <f>"Piešķīrums "&amp;TEXT(ROUND(SUM(Y27:Y30)/1000000,1),"# ##0,0")&amp;""</f>
        <v>Piešķīrums 4 374,4</v>
      </c>
      <c r="Z26" s="231"/>
      <c r="AA26" s="231"/>
      <c r="AB26" s="231"/>
      <c r="AC26" s="231" t="str">
        <f>"Piešķīrums 2"</f>
        <v>Piešķīrums 2</v>
      </c>
      <c r="AD26" s="231" t="str">
        <f>"Valsts budžets, kas pārsniedz pasākuma ES fondu finansējumu "&amp;TEXT(ROUND(SUM(AD27:AD30)/1000000,1),"# ##0,0")&amp;" "</f>
        <v xml:space="preserve">Valsts budžets, kas pārsniedz pasākuma ES fondu finansējumu 155,8 </v>
      </c>
      <c r="AE26" s="230" t="str">
        <f>"Maksājumi "</f>
        <v xml:space="preserve">Maksājumi </v>
      </c>
      <c r="AF26" s="230" t="str">
        <f>"Līgums "</f>
        <v xml:space="preserve">Līgums </v>
      </c>
      <c r="AG26" s="230" t="str">
        <f>"Iesniegti "</f>
        <v xml:space="preserve">Iesniegti </v>
      </c>
      <c r="AH26" s="230" t="str">
        <f>"Piešķīrums "</f>
        <v xml:space="preserve">Piešķīrums </v>
      </c>
    </row>
    <row r="27" spans="1:34" x14ac:dyDescent="0.25">
      <c r="A27"/>
      <c r="B27" s="112"/>
      <c r="C27" s="112"/>
      <c r="D27" s="112"/>
      <c r="E27" s="112"/>
      <c r="F27" s="112"/>
      <c r="G27" s="112"/>
      <c r="H27" s="111"/>
      <c r="I27" s="112"/>
      <c r="J27" s="112"/>
      <c r="K27" s="111"/>
      <c r="L27" s="112"/>
      <c r="M27" s="112"/>
      <c r="N27" s="111"/>
      <c r="T27" s="121" t="s">
        <v>38</v>
      </c>
      <c r="U27" s="230" t="s">
        <v>41</v>
      </c>
      <c r="V27" s="232">
        <f>SUMIFS($M$8:$M$11,$A$8:$A$11,U27)</f>
        <v>46489938.528800003</v>
      </c>
      <c r="W27" s="230">
        <f>SUMIFS($J$8:$J$11,$A$8:$A$11,U27)</f>
        <v>126711381.63</v>
      </c>
      <c r="X27" s="230">
        <f>SUMIFS($G$8:$G$11,$A$8:$A$11,U27)</f>
        <v>148605530.52000001</v>
      </c>
      <c r="Y27" s="230">
        <f>SUMIFS($D$8:$D$11,$A$8:$A$11,U27)</f>
        <v>191606820.08000001</v>
      </c>
      <c r="AC27" s="230">
        <f>Y27</f>
        <v>191606820.08000001</v>
      </c>
      <c r="AD27" s="230">
        <f>SUMIFS($E$8:$E$11,$A$8:$A$11,U27)</f>
        <v>0</v>
      </c>
      <c r="AE27" s="230" t="str">
        <f>TEXT(ROUND(V27/1000000,1),"# ##0,0")&amp;"; " &amp; TEXT( (V27/Y27)*1000," 0,0 %")</f>
        <v>46,5;  24,3%</v>
      </c>
      <c r="AF27" s="230" t="str">
        <f>TEXT(ROUND(W27/1000000,1),"# ##0,0")&amp;"; " &amp; TEXT( (W27/Y27)*1000," 0,0 %")</f>
        <v>126,7;  66,1%</v>
      </c>
      <c r="AG27" s="230" t="str">
        <f>TEXT(ROUND(X27/1000000,1),"# ##0,0")&amp;"; " &amp; TEXT( (X27/Y27)*1000," 0,0 %")</f>
        <v>148,6;  77,6%</v>
      </c>
      <c r="AH27" s="230" t="str">
        <f>IF(AD27&gt;0,TEXT(ROUND(AC27/1000000,1),"# ##0,0")&amp;"+ "&amp;TEXT(ROUND(AD27/1000000,1),"# ##0,0")&amp;" ",TEXT(ROUND(AC27/1000000,1),"# ##0,0")&amp;"")</f>
        <v>191,6</v>
      </c>
    </row>
    <row r="28" spans="1:34" x14ac:dyDescent="0.25">
      <c r="A28"/>
      <c r="B28" s="112"/>
      <c r="C28" s="112"/>
      <c r="D28" s="112"/>
      <c r="E28" s="112"/>
      <c r="F28" s="112"/>
      <c r="G28" s="112"/>
      <c r="H28" s="111"/>
      <c r="I28" s="112"/>
      <c r="J28" s="112"/>
      <c r="K28" s="111"/>
      <c r="L28" s="112"/>
      <c r="M28" s="112"/>
      <c r="N28" s="111"/>
      <c r="T28" s="121" t="s">
        <v>39</v>
      </c>
      <c r="U28" s="230" t="s">
        <v>38</v>
      </c>
      <c r="V28" s="232">
        <f t="shared" ref="V28:V30" si="22">SUMIFS($M$8:$M$11,$A$8:$A$11,U28)</f>
        <v>114705085.7888</v>
      </c>
      <c r="W28" s="230">
        <f t="shared" ref="W28:W30" si="23">SUMIFS($J$8:$J$11,$A$8:$A$11,U28)</f>
        <v>590232985.1099999</v>
      </c>
      <c r="X28" s="230">
        <f t="shared" ref="X28:X30" si="24">SUMIFS($G$8:$G$11,$A$8:$A$11,U28)</f>
        <v>625353289.18999994</v>
      </c>
      <c r="Y28" s="230">
        <f t="shared" ref="Y28:Y30" si="25">SUMIFS($D$8:$D$11,$A$8:$A$11,U28)</f>
        <v>651907354.79999995</v>
      </c>
      <c r="AC28" s="230">
        <f t="shared" ref="AC28:AC30" si="26">Y28</f>
        <v>651907354.79999995</v>
      </c>
      <c r="AD28" s="230">
        <f>SUMIFS($E$8:$E$11,$A$8:$A$11,U28)</f>
        <v>0</v>
      </c>
      <c r="AE28" s="230" t="str">
        <f>TEXT(ROUND(V28/1000000,1),"# ##0,0")&amp;"; " &amp; TEXT( (V28/Y28)*1000," 0,0 %")</f>
        <v>114,7;  17,6%</v>
      </c>
      <c r="AF28" s="230" t="str">
        <f t="shared" ref="AF28:AF30" si="27">TEXT(ROUND(W28/1000000,1),"# ##0,0")&amp;"; " &amp; TEXT( (W28/Y28)*1000," 0,0 %")</f>
        <v>590,2;  90,5%</v>
      </c>
      <c r="AG28" s="230" t="str">
        <f t="shared" ref="AG28:AG30" si="28">TEXT(ROUND(X28/1000000,1),"# ##0,0")&amp;"; " &amp; TEXT( (X28/Y28)*1000," 0,0 %")</f>
        <v>625,4;  95,9%</v>
      </c>
      <c r="AH28" s="230" t="str">
        <f t="shared" ref="AH28:AH30" si="29">IF(AD28&gt;0,TEXT(ROUND(AC28/1000000,1),"# ##0,0")&amp;"+ "&amp;TEXT(ROUND(AD28/1000000,1),"# ##0,0")&amp;" ",TEXT(ROUND(AC28/1000000,1),"# ##0,0")&amp;"")</f>
        <v>651,9</v>
      </c>
    </row>
    <row r="29" spans="1:34" x14ac:dyDescent="0.25">
      <c r="A29"/>
      <c r="B29" s="112"/>
      <c r="C29" s="112"/>
      <c r="D29" s="112"/>
      <c r="E29" s="112"/>
      <c r="F29" s="112"/>
      <c r="G29" s="112"/>
      <c r="H29" s="111"/>
      <c r="I29" s="112"/>
      <c r="J29" s="112"/>
      <c r="K29" s="111"/>
      <c r="L29" s="112"/>
      <c r="M29" s="112"/>
      <c r="N29" s="111"/>
      <c r="T29" s="121" t="s">
        <v>40</v>
      </c>
      <c r="U29" s="230" t="s">
        <v>40</v>
      </c>
      <c r="V29" s="232">
        <f t="shared" si="22"/>
        <v>173033324.50799999</v>
      </c>
      <c r="W29" s="230">
        <f t="shared" si="23"/>
        <v>578245551.75</v>
      </c>
      <c r="X29" s="230">
        <f t="shared" si="24"/>
        <v>861289938.76999998</v>
      </c>
      <c r="Y29" s="230">
        <f t="shared" si="25"/>
        <v>864461785.79999995</v>
      </c>
      <c r="AC29" s="230">
        <f t="shared" si="26"/>
        <v>864461785.79999995</v>
      </c>
      <c r="AD29" s="230">
        <f>SUMIFS($E$8:$E$11,$A$8:$A$11,U29)</f>
        <v>0</v>
      </c>
      <c r="AE29" s="230" t="str">
        <f t="shared" ref="AE29:AE30" si="30">TEXT(ROUND(V29/1000000,1),"# ##0,0")&amp;"; " &amp; TEXT( (V29/Y29)*1000," 0,0 %")</f>
        <v>173,0;  20,0%</v>
      </c>
      <c r="AF29" s="230" t="str">
        <f t="shared" si="27"/>
        <v>578,2;  66,9%</v>
      </c>
      <c r="AG29" s="230" t="str">
        <f t="shared" si="28"/>
        <v>861,3;  99,6%</v>
      </c>
      <c r="AH29" s="230" t="str">
        <f t="shared" si="29"/>
        <v>864,5</v>
      </c>
    </row>
    <row r="30" spans="1:34" x14ac:dyDescent="0.25">
      <c r="A30"/>
      <c r="B30" s="112"/>
      <c r="C30" s="112"/>
      <c r="D30" s="112"/>
      <c r="E30" s="112"/>
      <c r="F30" s="112"/>
      <c r="G30" s="112"/>
      <c r="H30" s="111"/>
      <c r="I30" s="112"/>
      <c r="J30" s="112"/>
      <c r="K30" s="111"/>
      <c r="L30" s="112"/>
      <c r="M30" s="112"/>
      <c r="N30" s="111"/>
      <c r="T30" s="121" t="s">
        <v>41</v>
      </c>
      <c r="U30" s="230" t="s">
        <v>39</v>
      </c>
      <c r="V30" s="232">
        <f t="shared" si="22"/>
        <v>697619145.30800021</v>
      </c>
      <c r="W30" s="230">
        <f t="shared" si="23"/>
        <v>2287385969.7249999</v>
      </c>
      <c r="X30" s="230">
        <f t="shared" si="24"/>
        <v>2604768395.6950006</v>
      </c>
      <c r="Y30" s="230">
        <f t="shared" si="25"/>
        <v>2666416953.9250002</v>
      </c>
      <c r="AC30" s="230">
        <f t="shared" si="26"/>
        <v>2666416953.9250002</v>
      </c>
      <c r="AD30" s="230">
        <f>SUMIFS($E$8:$E$11,$A$8:$A$11,U30)</f>
        <v>155767728</v>
      </c>
      <c r="AE30" s="230" t="str">
        <f t="shared" si="30"/>
        <v>697,6;  26,2%</v>
      </c>
      <c r="AF30" s="230" t="str">
        <f t="shared" si="27"/>
        <v>2 287,4;  85,8%</v>
      </c>
      <c r="AG30" s="230" t="str">
        <f t="shared" si="28"/>
        <v>2 604,8;  97,7%</v>
      </c>
      <c r="AH30" s="230" t="str">
        <f t="shared" si="29"/>
        <v xml:space="preserve">2 666,4+ 155,8 </v>
      </c>
    </row>
    <row r="31" spans="1:34" x14ac:dyDescent="0.25">
      <c r="A31"/>
      <c r="B31" s="112"/>
      <c r="C31" s="112"/>
      <c r="D31" s="112"/>
      <c r="E31" s="112"/>
      <c r="F31" s="112"/>
      <c r="G31" s="112"/>
      <c r="H31" s="111"/>
      <c r="I31" s="112"/>
      <c r="J31" s="112"/>
      <c r="K31" s="111"/>
      <c r="L31" s="112"/>
      <c r="M31" s="112"/>
      <c r="N31" s="111"/>
      <c r="V31" s="232"/>
    </row>
    <row r="32" spans="1:34" x14ac:dyDescent="0.25">
      <c r="A32"/>
      <c r="B32" s="112"/>
      <c r="C32" s="112"/>
      <c r="D32" s="112"/>
      <c r="E32" s="112"/>
      <c r="F32" s="112"/>
      <c r="G32" s="112"/>
      <c r="H32" s="111"/>
      <c r="I32" s="112"/>
      <c r="J32" s="112"/>
      <c r="K32" s="111"/>
      <c r="L32" s="112"/>
      <c r="M32" s="112"/>
      <c r="N32" s="111"/>
      <c r="V32" s="232"/>
    </row>
    <row r="33" spans="1:22" x14ac:dyDescent="0.25">
      <c r="A33"/>
      <c r="B33" s="112"/>
      <c r="C33" s="112"/>
      <c r="D33" s="112"/>
      <c r="E33" s="112"/>
      <c r="F33" s="112"/>
      <c r="G33" s="112"/>
      <c r="H33" s="111"/>
      <c r="I33" s="112"/>
      <c r="J33" s="112"/>
      <c r="K33" s="111"/>
      <c r="L33" s="112"/>
      <c r="M33" s="112"/>
      <c r="N33" s="111"/>
      <c r="V33" s="232"/>
    </row>
    <row r="34" spans="1:22" x14ac:dyDescent="0.25">
      <c r="A34"/>
      <c r="B34" s="112"/>
      <c r="C34" s="112"/>
      <c r="D34" s="112"/>
      <c r="E34" s="112"/>
      <c r="F34" s="112"/>
      <c r="G34" s="112"/>
      <c r="H34" s="111"/>
      <c r="I34" s="112"/>
      <c r="J34" s="112"/>
      <c r="K34" s="111"/>
      <c r="L34" s="112"/>
      <c r="M34" s="112"/>
      <c r="N34" s="111"/>
      <c r="V34" s="232"/>
    </row>
    <row r="35" spans="1:22" x14ac:dyDescent="0.25">
      <c r="A35"/>
      <c r="B35" s="112"/>
      <c r="C35" s="112"/>
      <c r="D35" s="112"/>
      <c r="E35" s="112"/>
      <c r="F35" s="112"/>
      <c r="G35" s="112"/>
      <c r="H35" s="111"/>
      <c r="I35" s="112"/>
      <c r="J35" s="112"/>
      <c r="K35" s="111"/>
      <c r="L35" s="112"/>
      <c r="M35" s="112"/>
      <c r="N35" s="111"/>
      <c r="V35" s="232"/>
    </row>
    <row r="36" spans="1:22" x14ac:dyDescent="0.25">
      <c r="A36"/>
      <c r="B36" s="112"/>
      <c r="C36" s="112"/>
      <c r="D36" s="112"/>
      <c r="E36" s="112"/>
      <c r="F36" s="112"/>
      <c r="G36" s="112"/>
      <c r="H36" s="111"/>
      <c r="I36" s="112"/>
      <c r="J36" s="112"/>
      <c r="K36" s="111"/>
      <c r="L36" s="112"/>
      <c r="M36" s="112"/>
      <c r="N36" s="111"/>
      <c r="V36" s="230" t="str">
        <f>Y26</f>
        <v>Piešķīrums 4 374,4</v>
      </c>
    </row>
    <row r="37" spans="1:22" x14ac:dyDescent="0.25">
      <c r="A37"/>
      <c r="B37" s="112"/>
      <c r="C37" s="112"/>
      <c r="D37" s="112"/>
      <c r="E37" s="112"/>
      <c r="F37" s="112"/>
      <c r="G37" s="112"/>
      <c r="H37" s="111"/>
      <c r="I37" s="112"/>
      <c r="J37" s="112"/>
      <c r="K37" s="111"/>
      <c r="L37" s="112"/>
      <c r="M37" s="112"/>
      <c r="N37" s="111"/>
      <c r="V37" s="230" t="str">
        <f>AD26</f>
        <v xml:space="preserve">Valsts budžets, kas pārsniedz pasākuma ES fondu finansējumu 155,8 </v>
      </c>
    </row>
    <row r="38" spans="1:22" x14ac:dyDescent="0.25">
      <c r="A38"/>
      <c r="B38" s="112"/>
      <c r="C38" s="112"/>
      <c r="D38" s="112"/>
      <c r="E38" s="112"/>
      <c r="F38" s="112"/>
      <c r="G38" s="112"/>
      <c r="H38" s="111"/>
      <c r="I38" s="112"/>
      <c r="J38" s="112"/>
      <c r="K38" s="111"/>
      <c r="L38" s="112"/>
      <c r="M38" s="112"/>
      <c r="N38" s="111"/>
      <c r="V38" s="230" t="str">
        <f>X26</f>
        <v>Iesniegti 4 240,0 (97%)</v>
      </c>
    </row>
    <row r="39" spans="1:22" x14ac:dyDescent="0.25">
      <c r="A39"/>
      <c r="B39" s="112"/>
      <c r="C39" s="112"/>
      <c r="D39" s="112"/>
      <c r="E39" s="112"/>
      <c r="F39" s="112"/>
      <c r="G39" s="112"/>
      <c r="H39" s="111"/>
      <c r="I39" s="112"/>
      <c r="J39" s="112"/>
      <c r="K39" s="111"/>
      <c r="L39" s="112"/>
      <c r="M39" s="112"/>
      <c r="N39" s="111"/>
      <c r="V39" s="230" t="str">
        <f>W26</f>
        <v>Līgums 3 582,6 (82%)</v>
      </c>
    </row>
    <row r="40" spans="1:22" x14ac:dyDescent="0.25">
      <c r="A40"/>
      <c r="B40" s="112"/>
      <c r="C40" s="112"/>
      <c r="D40" s="112"/>
      <c r="E40" s="112"/>
      <c r="F40" s="112"/>
      <c r="G40" s="112"/>
      <c r="H40" s="111"/>
      <c r="I40" s="112"/>
      <c r="J40" s="112"/>
      <c r="K40" s="111"/>
      <c r="L40" s="112"/>
      <c r="M40" s="112"/>
      <c r="N40" s="111"/>
      <c r="V40" s="230" t="str">
        <f>V26</f>
        <v>Maksājumi 1 031,8 (24%)</v>
      </c>
    </row>
    <row r="41" spans="1:22" x14ac:dyDescent="0.25">
      <c r="A41"/>
      <c r="B41" s="112"/>
      <c r="C41" s="112"/>
      <c r="D41" s="112"/>
      <c r="E41" s="112"/>
      <c r="F41" s="112"/>
      <c r="G41" s="112"/>
      <c r="H41" s="111"/>
      <c r="I41" s="112"/>
      <c r="J41" s="112"/>
      <c r="K41" s="111"/>
      <c r="L41" s="112"/>
      <c r="M41" s="112"/>
      <c r="N41" s="111"/>
    </row>
    <row r="42" spans="1:22" x14ac:dyDescent="0.25">
      <c r="A42"/>
      <c r="B42" s="112"/>
      <c r="C42" s="112"/>
      <c r="D42" s="112"/>
      <c r="E42" s="112"/>
      <c r="F42" s="112"/>
      <c r="G42" s="112"/>
      <c r="H42" s="111"/>
      <c r="I42" s="112"/>
      <c r="J42" s="112"/>
      <c r="K42" s="111"/>
      <c r="L42" s="112"/>
      <c r="M42" s="112"/>
      <c r="N42" s="111"/>
    </row>
    <row r="43" spans="1:22" x14ac:dyDescent="0.25">
      <c r="A43"/>
      <c r="B43" s="112"/>
      <c r="C43" s="112"/>
      <c r="D43" s="112"/>
      <c r="E43" s="112"/>
      <c r="F43" s="112"/>
      <c r="G43" s="112"/>
      <c r="H43" s="111"/>
      <c r="I43" s="112"/>
      <c r="J43" s="112"/>
      <c r="K43" s="111"/>
      <c r="L43" s="112"/>
      <c r="M43" s="112"/>
      <c r="N43" s="111"/>
    </row>
    <row r="44" spans="1:22" x14ac:dyDescent="0.25">
      <c r="A44"/>
      <c r="B44" s="112"/>
      <c r="C44" s="112"/>
      <c r="D44" s="112"/>
      <c r="E44" s="112"/>
      <c r="F44" s="112"/>
      <c r="G44" s="112"/>
      <c r="H44" s="111"/>
      <c r="I44" s="112"/>
      <c r="J44" s="112"/>
      <c r="K44" s="111"/>
      <c r="L44" s="112"/>
      <c r="M44" s="112"/>
      <c r="N44" s="111"/>
    </row>
    <row r="45" spans="1:22" x14ac:dyDescent="0.25">
      <c r="A45"/>
      <c r="B45" s="112"/>
      <c r="C45" s="112"/>
      <c r="D45" s="112"/>
      <c r="E45" s="112"/>
      <c r="F45" s="112"/>
      <c r="G45" s="112"/>
      <c r="H45" s="111"/>
      <c r="I45" s="112"/>
      <c r="J45" s="112"/>
      <c r="K45" s="111"/>
      <c r="L45" s="112"/>
      <c r="M45" s="112"/>
      <c r="N45" s="111"/>
    </row>
    <row r="46" spans="1:22" x14ac:dyDescent="0.25">
      <c r="A46"/>
      <c r="B46" s="112"/>
      <c r="C46" s="112"/>
      <c r="D46" s="112"/>
      <c r="E46" s="112"/>
      <c r="F46" s="112"/>
      <c r="G46" s="112"/>
      <c r="H46" s="111"/>
      <c r="I46" s="112"/>
      <c r="J46" s="112"/>
      <c r="K46" s="111"/>
      <c r="L46" s="112"/>
      <c r="M46" s="112"/>
      <c r="N46" s="111"/>
    </row>
    <row r="47" spans="1:22" x14ac:dyDescent="0.25">
      <c r="A47"/>
      <c r="B47" s="112"/>
      <c r="C47" s="112"/>
      <c r="D47" s="112"/>
      <c r="E47" s="112"/>
      <c r="F47" s="112"/>
      <c r="G47" s="112"/>
      <c r="H47" s="111"/>
      <c r="I47" s="112"/>
      <c r="J47" s="112"/>
      <c r="K47" s="111"/>
      <c r="L47" s="112"/>
      <c r="M47" s="112"/>
      <c r="N47" s="111"/>
    </row>
    <row r="48" spans="1:22" x14ac:dyDescent="0.25">
      <c r="A48"/>
      <c r="B48" s="112"/>
      <c r="C48" s="112"/>
      <c r="D48" s="112"/>
      <c r="E48" s="112"/>
      <c r="F48" s="112"/>
      <c r="G48" s="112"/>
      <c r="H48" s="111"/>
      <c r="I48" s="112"/>
      <c r="J48" s="112"/>
      <c r="K48" s="111"/>
      <c r="L48" s="112"/>
      <c r="M48" s="112"/>
      <c r="N48" s="111"/>
    </row>
    <row r="49" spans="1:14" x14ac:dyDescent="0.25">
      <c r="A49"/>
      <c r="B49" s="112"/>
      <c r="C49" s="112"/>
      <c r="D49" s="112"/>
      <c r="E49" s="112"/>
      <c r="F49" s="112"/>
      <c r="G49" s="112"/>
      <c r="H49" s="111"/>
      <c r="I49" s="112"/>
      <c r="J49" s="112"/>
      <c r="K49" s="111"/>
      <c r="L49" s="112"/>
      <c r="M49" s="112"/>
      <c r="N49" s="111"/>
    </row>
    <row r="50" spans="1:14" x14ac:dyDescent="0.25">
      <c r="A50"/>
      <c r="B50" s="112"/>
      <c r="C50" s="112"/>
      <c r="D50" s="112"/>
      <c r="E50" s="112"/>
      <c r="F50" s="112"/>
      <c r="G50" s="112"/>
      <c r="H50" s="111"/>
      <c r="I50" s="112"/>
      <c r="J50" s="112"/>
      <c r="K50" s="111"/>
      <c r="L50" s="112"/>
      <c r="M50" s="112"/>
      <c r="N50" s="111"/>
    </row>
    <row r="51" spans="1:14" x14ac:dyDescent="0.25">
      <c r="A51"/>
      <c r="B51" s="112"/>
      <c r="C51" s="112"/>
      <c r="D51" s="112"/>
      <c r="E51" s="112"/>
      <c r="F51" s="112"/>
      <c r="G51" s="112"/>
      <c r="H51" s="111"/>
      <c r="I51" s="112"/>
      <c r="J51" s="112"/>
      <c r="K51" s="111"/>
      <c r="L51" s="112"/>
      <c r="M51" s="112"/>
      <c r="N51" s="111"/>
    </row>
    <row r="52" spans="1:14" x14ac:dyDescent="0.25">
      <c r="A52"/>
      <c r="B52" s="112"/>
      <c r="C52" s="112"/>
      <c r="D52" s="112"/>
      <c r="E52" s="112"/>
      <c r="F52" s="112"/>
      <c r="G52" s="112"/>
      <c r="H52" s="111"/>
      <c r="I52" s="112"/>
      <c r="J52" s="112"/>
      <c r="K52" s="111"/>
      <c r="L52" s="112"/>
      <c r="M52" s="112"/>
      <c r="N52" s="111"/>
    </row>
    <row r="53" spans="1:14" x14ac:dyDescent="0.25">
      <c r="A53"/>
      <c r="B53" s="112"/>
      <c r="C53" s="112"/>
      <c r="D53" s="112"/>
      <c r="E53" s="112"/>
      <c r="F53" s="112"/>
      <c r="G53" s="112"/>
      <c r="H53" s="111"/>
      <c r="I53" s="112"/>
      <c r="J53" s="112"/>
      <c r="K53" s="111"/>
      <c r="L53" s="112"/>
      <c r="M53" s="112"/>
      <c r="N53" s="111"/>
    </row>
    <row r="54" spans="1:14" x14ac:dyDescent="0.25">
      <c r="A54"/>
      <c r="B54" s="112"/>
      <c r="C54" s="112"/>
      <c r="D54" s="112"/>
      <c r="E54" s="112"/>
      <c r="F54" s="112"/>
      <c r="G54" s="112"/>
      <c r="H54" s="111"/>
      <c r="I54" s="112"/>
      <c r="J54" s="112"/>
      <c r="K54" s="111"/>
      <c r="L54" s="112"/>
      <c r="M54" s="112"/>
      <c r="N54" s="111"/>
    </row>
    <row r="55" spans="1:14" x14ac:dyDescent="0.25">
      <c r="A55"/>
      <c r="B55" s="112"/>
      <c r="C55" s="112"/>
      <c r="D55" s="112"/>
      <c r="E55" s="112"/>
      <c r="F55" s="112"/>
      <c r="G55" s="112"/>
      <c r="H55" s="111"/>
      <c r="I55" s="112"/>
      <c r="J55" s="112"/>
      <c r="K55" s="111"/>
      <c r="L55" s="112"/>
      <c r="M55" s="112"/>
      <c r="N55" s="111"/>
    </row>
    <row r="56" spans="1:14" x14ac:dyDescent="0.25">
      <c r="A56"/>
      <c r="B56" s="112"/>
      <c r="C56" s="112"/>
      <c r="D56" s="112"/>
      <c r="E56" s="112"/>
      <c r="F56" s="112"/>
      <c r="G56" s="112"/>
      <c r="H56" s="111"/>
      <c r="I56" s="112"/>
      <c r="J56" s="112"/>
      <c r="K56" s="111"/>
      <c r="L56" s="112"/>
      <c r="M56" s="112"/>
      <c r="N56" s="111"/>
    </row>
    <row r="57" spans="1:14" x14ac:dyDescent="0.25">
      <c r="A57"/>
      <c r="B57" s="112"/>
      <c r="C57" s="112"/>
      <c r="D57" s="112"/>
      <c r="E57" s="112"/>
      <c r="F57" s="112"/>
      <c r="G57" s="112"/>
      <c r="H57" s="111"/>
      <c r="I57" s="112"/>
      <c r="J57" s="112"/>
      <c r="K57" s="111"/>
      <c r="L57" s="112"/>
      <c r="M57" s="112"/>
      <c r="N57" s="111"/>
    </row>
    <row r="58" spans="1:14" x14ac:dyDescent="0.25">
      <c r="A58"/>
      <c r="B58" s="112"/>
      <c r="C58" s="112"/>
      <c r="D58" s="112"/>
      <c r="E58" s="112"/>
      <c r="F58" s="112"/>
      <c r="G58" s="112"/>
      <c r="H58" s="111"/>
      <c r="I58" s="112"/>
      <c r="J58" s="112"/>
      <c r="K58" s="111"/>
      <c r="L58" s="112"/>
      <c r="M58" s="112"/>
      <c r="N58" s="111"/>
    </row>
    <row r="59" spans="1:14" x14ac:dyDescent="0.25">
      <c r="A59"/>
      <c r="B59" s="112"/>
      <c r="C59" s="112"/>
      <c r="D59" s="112"/>
      <c r="E59" s="112"/>
      <c r="F59" s="112"/>
      <c r="G59" s="112"/>
      <c r="H59" s="111"/>
      <c r="I59" s="112"/>
      <c r="J59" s="112"/>
      <c r="K59" s="111"/>
      <c r="L59" s="112"/>
      <c r="M59" s="112"/>
      <c r="N59" s="111"/>
    </row>
    <row r="60" spans="1:14" x14ac:dyDescent="0.25">
      <c r="A60"/>
      <c r="B60" s="112"/>
      <c r="C60" s="112"/>
      <c r="D60" s="112"/>
      <c r="E60" s="112"/>
      <c r="F60" s="112"/>
      <c r="G60" s="112"/>
      <c r="H60" s="111"/>
      <c r="I60" s="112"/>
      <c r="J60" s="112"/>
      <c r="K60" s="111"/>
      <c r="L60" s="112"/>
      <c r="M60" s="112"/>
      <c r="N60" s="111"/>
    </row>
    <row r="61" spans="1:14" x14ac:dyDescent="0.25">
      <c r="A61"/>
      <c r="B61" s="112"/>
      <c r="C61" s="112"/>
      <c r="D61" s="112"/>
      <c r="E61" s="112"/>
      <c r="F61" s="112"/>
      <c r="G61" s="112"/>
      <c r="H61" s="111"/>
      <c r="I61" s="112"/>
      <c r="J61" s="112"/>
      <c r="K61" s="111"/>
      <c r="L61" s="112"/>
      <c r="M61" s="112"/>
      <c r="N61" s="111"/>
    </row>
    <row r="62" spans="1:14" x14ac:dyDescent="0.25">
      <c r="A62"/>
      <c r="B62" s="112"/>
      <c r="C62" s="112"/>
      <c r="D62" s="112"/>
      <c r="E62" s="112"/>
      <c r="F62" s="112" t="s">
        <v>399</v>
      </c>
      <c r="G62" s="112"/>
      <c r="H62" s="111"/>
      <c r="I62" s="112"/>
      <c r="J62" s="112"/>
      <c r="K62" s="111"/>
      <c r="L62" s="112"/>
      <c r="M62" s="112"/>
      <c r="N62" s="111"/>
    </row>
    <row r="63" spans="1:14" ht="15.75" customHeight="1" x14ac:dyDescent="0.25">
      <c r="A63"/>
      <c r="B63" s="112"/>
      <c r="C63" s="112"/>
      <c r="D63" s="112"/>
      <c r="E63" s="112"/>
      <c r="F63" s="112"/>
      <c r="G63" s="112"/>
      <c r="H63" s="111"/>
      <c r="I63" s="112"/>
      <c r="J63" s="112"/>
      <c r="K63" s="111"/>
      <c r="L63" s="112"/>
      <c r="M63" s="112"/>
      <c r="N63" s="111"/>
    </row>
    <row r="64" spans="1:14" x14ac:dyDescent="0.25">
      <c r="A64"/>
      <c r="B64" s="112"/>
      <c r="C64" s="112"/>
      <c r="D64" s="112"/>
      <c r="E64" s="112"/>
      <c r="F64" s="112"/>
      <c r="G64" s="112"/>
      <c r="H64" s="111"/>
      <c r="I64" s="112"/>
      <c r="J64" s="112"/>
      <c r="K64" s="111"/>
      <c r="L64" s="112"/>
      <c r="M64" s="112"/>
      <c r="N64" s="111"/>
    </row>
    <row r="65" spans="2:14" x14ac:dyDescent="0.25">
      <c r="B65" s="112"/>
      <c r="C65" s="112"/>
      <c r="D65" s="112"/>
      <c r="E65" s="112"/>
      <c r="F65" s="112"/>
      <c r="G65" s="112"/>
      <c r="H65" s="111"/>
      <c r="I65" s="112"/>
      <c r="J65" s="112"/>
      <c r="K65" s="111"/>
      <c r="L65" s="112"/>
      <c r="M65" s="112"/>
      <c r="N65" s="111"/>
    </row>
  </sheetData>
  <mergeCells count="7">
    <mergeCell ref="B24:N24"/>
    <mergeCell ref="B1:N1"/>
    <mergeCell ref="M3:N3"/>
    <mergeCell ref="B3:C3"/>
    <mergeCell ref="D3:F3"/>
    <mergeCell ref="G3:I3"/>
    <mergeCell ref="J3:L3"/>
  </mergeCells>
  <pageMargins left="0.70866141732283472" right="0.70866141732283472" top="0.74803149606299213" bottom="0.74803149606299213" header="0.31496062992125984" footer="0.31496062992125984"/>
  <pageSetup scale="40" orientation="landscape" r:id="rId1"/>
  <colBreaks count="1" manualBreakCount="1">
    <brk id="1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E093-6226-4E25-853A-33EDE2C0CDCC}">
  <sheetPr codeName="Sheet2" filterMode="1">
    <tabColor theme="6" tint="0.59999389629810485"/>
  </sheetPr>
  <dimension ref="A1:AR605"/>
  <sheetViews>
    <sheetView topLeftCell="E1" zoomScale="50" zoomScaleNormal="50" zoomScaleSheetLayoutView="74" workbookViewId="0">
      <selection activeCell="D1" sqref="D1"/>
    </sheetView>
  </sheetViews>
  <sheetFormatPr defaultColWidth="56.85546875" defaultRowHeight="15" x14ac:dyDescent="0.25"/>
  <cols>
    <col min="1" max="4" width="0" hidden="1" customWidth="1"/>
    <col min="5" max="5" width="26" style="120" customWidth="1"/>
    <col min="6" max="7" width="23.140625" style="120" customWidth="1"/>
    <col min="8" max="8" width="23.140625" style="114" customWidth="1"/>
    <col min="9" max="10" width="23.140625" style="120" customWidth="1"/>
    <col min="11" max="11" width="23.140625" style="122" customWidth="1"/>
    <col min="12" max="12" width="23.140625" style="120" customWidth="1"/>
    <col min="13" max="13" width="23.140625" style="122" customWidth="1"/>
    <col min="14" max="14" width="23.140625" style="120" customWidth="1"/>
    <col min="15" max="15" width="23.140625" style="122" customWidth="1"/>
    <col min="16" max="20" width="17.7109375" style="120" customWidth="1"/>
    <col min="21" max="22" width="27.7109375" style="120" customWidth="1"/>
    <col min="23" max="23" width="43.7109375" style="120" customWidth="1"/>
    <col min="24" max="25" width="56.85546875" style="171"/>
    <col min="26" max="26" width="56.85546875" style="230"/>
    <col min="27" max="31" width="22.28515625" style="230" customWidth="1"/>
    <col min="32" max="33" width="56.85546875" style="230"/>
    <col min="34" max="40" width="26.28515625" style="230" customWidth="1"/>
    <col min="41" max="41" width="56.85546875" style="230"/>
    <col min="42" max="16384" width="56.85546875" style="121"/>
  </cols>
  <sheetData>
    <row r="1" spans="1:40" ht="87" customHeight="1" x14ac:dyDescent="0.25">
      <c r="D1" s="112"/>
      <c r="E1" s="214" t="s">
        <v>1087</v>
      </c>
      <c r="F1" s="214"/>
      <c r="G1" s="214"/>
      <c r="H1" s="214"/>
      <c r="I1" s="214"/>
      <c r="J1" s="214"/>
      <c r="K1" s="214"/>
      <c r="L1" s="214"/>
      <c r="M1" s="214"/>
      <c r="N1" s="214"/>
      <c r="O1" s="214"/>
      <c r="P1" s="213" t="s">
        <v>1088</v>
      </c>
      <c r="Q1" s="213"/>
      <c r="R1" s="213"/>
      <c r="S1" s="213"/>
      <c r="T1" s="213"/>
      <c r="U1" s="213"/>
      <c r="V1" s="213"/>
      <c r="W1" s="213"/>
    </row>
    <row r="2" spans="1:40" ht="19.5" customHeight="1" x14ac:dyDescent="0.25">
      <c r="D2" s="112"/>
      <c r="E2" s="113" t="str">
        <f>'Statusa tabula'!A2</f>
        <v>Sagatavots 08.07.2026.</v>
      </c>
      <c r="F2" s="112"/>
      <c r="G2" s="112"/>
      <c r="H2" s="112"/>
      <c r="I2" s="112"/>
      <c r="J2" s="112"/>
      <c r="K2" s="111"/>
      <c r="L2" s="112"/>
      <c r="M2" s="111"/>
      <c r="N2" s="112"/>
      <c r="O2" s="111"/>
      <c r="P2" s="112"/>
      <c r="Q2" s="112"/>
      <c r="R2" s="112"/>
      <c r="S2" s="112"/>
      <c r="T2" s="112"/>
      <c r="U2" s="112"/>
      <c r="V2" s="112"/>
      <c r="W2" s="112"/>
    </row>
    <row r="3" spans="1:40" ht="78.75" customHeight="1" x14ac:dyDescent="0.3">
      <c r="D3" s="101" t="s">
        <v>1</v>
      </c>
      <c r="E3" s="222" t="s">
        <v>400</v>
      </c>
      <c r="F3" s="216" t="s">
        <v>366</v>
      </c>
      <c r="G3" s="217"/>
      <c r="H3" s="217"/>
      <c r="I3" s="218"/>
      <c r="J3" s="216" t="s">
        <v>4</v>
      </c>
      <c r="K3" s="217"/>
      <c r="L3" s="220" t="s">
        <v>6</v>
      </c>
      <c r="M3" s="218"/>
      <c r="N3" s="215" t="s">
        <v>8</v>
      </c>
      <c r="O3" s="215"/>
      <c r="P3" s="112"/>
      <c r="Q3" s="112"/>
      <c r="R3" s="112"/>
      <c r="S3" s="112"/>
      <c r="T3" s="112"/>
      <c r="U3" s="112"/>
      <c r="V3" s="112"/>
      <c r="W3" s="112"/>
    </row>
    <row r="4" spans="1:40" ht="58.5" customHeight="1" x14ac:dyDescent="0.25">
      <c r="D4" s="45" t="s">
        <v>367</v>
      </c>
      <c r="E4" s="223"/>
      <c r="F4" s="46" t="s">
        <v>23</v>
      </c>
      <c r="G4" s="46" t="s">
        <v>401</v>
      </c>
      <c r="H4" s="46" t="s">
        <v>402</v>
      </c>
      <c r="I4" s="47" t="s">
        <v>25</v>
      </c>
      <c r="J4" s="47" t="s">
        <v>369</v>
      </c>
      <c r="K4" s="48" t="s">
        <v>370</v>
      </c>
      <c r="L4" s="47" t="s">
        <v>369</v>
      </c>
      <c r="M4" s="48" t="s">
        <v>370</v>
      </c>
      <c r="N4" s="47" t="s">
        <v>371</v>
      </c>
      <c r="O4" s="48" t="s">
        <v>372</v>
      </c>
      <c r="P4" s="112"/>
      <c r="Q4" s="112"/>
      <c r="R4" s="112"/>
      <c r="S4" s="112"/>
      <c r="T4" s="112"/>
      <c r="U4" s="112"/>
      <c r="V4" s="112"/>
      <c r="W4" s="112"/>
    </row>
    <row r="5" spans="1:40" ht="17.25" customHeight="1" x14ac:dyDescent="0.3">
      <c r="D5" s="49" t="s">
        <v>373</v>
      </c>
      <c r="E5" s="49" t="s">
        <v>373</v>
      </c>
      <c r="F5" s="50" t="s">
        <v>375</v>
      </c>
      <c r="G5" s="50"/>
      <c r="H5" s="50"/>
      <c r="I5" s="51" t="s">
        <v>376</v>
      </c>
      <c r="J5" s="51" t="s">
        <v>377</v>
      </c>
      <c r="K5" s="52" t="s">
        <v>378</v>
      </c>
      <c r="L5" s="53">
        <v>4</v>
      </c>
      <c r="M5" s="52" t="s">
        <v>380</v>
      </c>
      <c r="N5" s="53" t="s">
        <v>382</v>
      </c>
      <c r="O5" s="52" t="s">
        <v>383</v>
      </c>
      <c r="P5" s="112"/>
      <c r="Q5" s="112"/>
      <c r="R5" s="112"/>
      <c r="S5" s="112"/>
      <c r="T5" s="112"/>
      <c r="U5" s="112"/>
      <c r="V5" s="112"/>
      <c r="W5" s="112"/>
    </row>
    <row r="6" spans="1:40" ht="33.75" customHeight="1" x14ac:dyDescent="0.3">
      <c r="A6">
        <v>1</v>
      </c>
      <c r="C6">
        <v>1</v>
      </c>
      <c r="D6" s="54"/>
      <c r="E6" s="55" t="s">
        <v>37</v>
      </c>
      <c r="F6" s="56">
        <f>SUM(F7:F10)</f>
        <v>4374392914.6050005</v>
      </c>
      <c r="G6" s="56">
        <f>SUM(G7:G10)</f>
        <v>155767728</v>
      </c>
      <c r="H6" s="56">
        <f>F6+G6</f>
        <v>4530160642.6050005</v>
      </c>
      <c r="I6" s="56">
        <f t="shared" ref="I6:N6" si="0">SUM(I7:I10)</f>
        <v>5092220336.6050005</v>
      </c>
      <c r="J6" s="56">
        <f t="shared" si="0"/>
        <v>4240017154.1750007</v>
      </c>
      <c r="K6" s="70">
        <f t="shared" ref="K6:K69" si="1">J6/F6</f>
        <v>0.96928127787027252</v>
      </c>
      <c r="L6" s="56">
        <f t="shared" si="0"/>
        <v>3582575888.2150002</v>
      </c>
      <c r="M6" s="70">
        <f t="shared" ref="M6:M69" si="2">L6/F6</f>
        <v>0.81898813347417376</v>
      </c>
      <c r="N6" s="56">
        <f t="shared" si="0"/>
        <v>1031847494.1336002</v>
      </c>
      <c r="O6" s="70">
        <f t="shared" ref="O6:O69" si="3">N6/F6</f>
        <v>0.23588358756903621</v>
      </c>
      <c r="P6" s="112"/>
      <c r="Q6" s="112"/>
      <c r="R6" s="112"/>
      <c r="S6" s="112"/>
      <c r="T6" s="112"/>
      <c r="U6" s="112"/>
      <c r="V6" s="112"/>
      <c r="W6" s="112"/>
    </row>
    <row r="7" spans="1:40" ht="20.25" x14ac:dyDescent="0.3">
      <c r="A7" s="20" t="s">
        <v>38</v>
      </c>
      <c r="B7" s="20"/>
      <c r="C7" s="20"/>
      <c r="D7" s="54"/>
      <c r="E7" s="61" t="s">
        <v>384</v>
      </c>
      <c r="F7" s="62">
        <f>SUMIFS('Statusa tabula'!Q:Q,'Statusa tabula'!O:O,A7)</f>
        <v>651907354.79999995</v>
      </c>
      <c r="G7" s="62">
        <f>SUMIFS('Statusa tabula'!R:R,'Statusa tabula'!O:O,A7)</f>
        <v>0</v>
      </c>
      <c r="H7" s="56">
        <f t="shared" ref="H7:H25" si="4">F7+G7</f>
        <v>651907354.79999995</v>
      </c>
      <c r="I7" s="62">
        <f>SUMIFS('Statusa tabula'!S:S,'Statusa tabula'!$O:$O,$A7)</f>
        <v>762525138.79999995</v>
      </c>
      <c r="J7" s="62">
        <f>SUMIFS('Statusa tabula'!X:X,'Statusa tabula'!$O:$O,$A7)</f>
        <v>625353289.18999994</v>
      </c>
      <c r="K7" s="71">
        <f t="shared" si="1"/>
        <v>0.95926711761344274</v>
      </c>
      <c r="L7" s="62">
        <f>SUMIFS('Statusa tabula'!AL:AL,'Statusa tabula'!$O:$O,$A7)</f>
        <v>590232985.1099999</v>
      </c>
      <c r="M7" s="71">
        <f t="shared" si="2"/>
        <v>0.90539396551382478</v>
      </c>
      <c r="N7" s="62">
        <f>SUMIFS('Statusa tabula'!AZ:AZ,'Statusa tabula'!$O:$O,$A7)</f>
        <v>114705085.7888</v>
      </c>
      <c r="O7" s="71">
        <f t="shared" si="3"/>
        <v>0.17595304753693203</v>
      </c>
      <c r="P7" s="112"/>
      <c r="Q7" s="112"/>
      <c r="R7" s="112"/>
      <c r="S7" s="112"/>
      <c r="T7" s="112"/>
      <c r="U7" s="112"/>
      <c r="V7" s="112"/>
      <c r="W7" s="112"/>
      <c r="AN7" s="230" t="s">
        <v>403</v>
      </c>
    </row>
    <row r="8" spans="1:40" ht="20.25" x14ac:dyDescent="0.3">
      <c r="A8" s="20" t="s">
        <v>39</v>
      </c>
      <c r="B8" s="20"/>
      <c r="C8" s="20"/>
      <c r="D8" s="54"/>
      <c r="E8" s="63" t="s">
        <v>385</v>
      </c>
      <c r="F8" s="62">
        <f>SUMIFS('Statusa tabula'!Q:Q,'Statusa tabula'!O:O,A8)</f>
        <v>2666416953.9250002</v>
      </c>
      <c r="G8" s="62">
        <f>SUMIFS('Statusa tabula'!R:R,'Statusa tabula'!O:O,A8)</f>
        <v>155767728</v>
      </c>
      <c r="H8" s="56">
        <f t="shared" si="4"/>
        <v>2822184681.9250002</v>
      </c>
      <c r="I8" s="62">
        <f>SUMIFS('Statusa tabula'!S:S,'Statusa tabula'!$O:$O,$A8)</f>
        <v>3089334341.9250002</v>
      </c>
      <c r="J8" s="62">
        <f>SUMIFS('Statusa tabula'!X:X,'Statusa tabula'!$O:$O,$A8)</f>
        <v>2604768395.6950006</v>
      </c>
      <c r="K8" s="71">
        <f t="shared" si="1"/>
        <v>0.97687962561922204</v>
      </c>
      <c r="L8" s="62">
        <f>SUMIFS('Statusa tabula'!AL:AL,'Statusa tabula'!$O:$O,$A8)</f>
        <v>2287385969.7249999</v>
      </c>
      <c r="M8" s="71">
        <f t="shared" si="2"/>
        <v>0.85785006968168953</v>
      </c>
      <c r="N8" s="62">
        <f>SUMIFS('Statusa tabula'!AZ:AZ,'Statusa tabula'!$O:$O,$A8)</f>
        <v>697619145.30800021</v>
      </c>
      <c r="O8" s="71">
        <f t="shared" si="3"/>
        <v>0.26163167927697722</v>
      </c>
      <c r="P8" s="112"/>
      <c r="Q8" s="112"/>
      <c r="R8" s="112"/>
      <c r="S8" s="112"/>
      <c r="T8" s="112"/>
      <c r="U8" s="112"/>
      <c r="V8" s="112"/>
      <c r="W8" s="112"/>
    </row>
    <row r="9" spans="1:40" ht="20.25" x14ac:dyDescent="0.3">
      <c r="A9" s="20" t="s">
        <v>40</v>
      </c>
      <c r="B9" s="20"/>
      <c r="C9" s="20"/>
      <c r="D9" s="54"/>
      <c r="E9" s="61" t="s">
        <v>386</v>
      </c>
      <c r="F9" s="62">
        <f>SUMIFS('Statusa tabula'!Q:Q,'Statusa tabula'!O:O,A9)</f>
        <v>864461785.79999995</v>
      </c>
      <c r="G9" s="62">
        <f>SUMIFS('Statusa tabula'!R:R,'Statusa tabula'!O:O,A9)</f>
        <v>0</v>
      </c>
      <c r="H9" s="56">
        <f t="shared" si="4"/>
        <v>864461785.79999995</v>
      </c>
      <c r="I9" s="62">
        <f>SUMIFS('Statusa tabula'!S:S,'Statusa tabula'!$O:$O,$A9)</f>
        <v>1016241560.8</v>
      </c>
      <c r="J9" s="62">
        <f>SUMIFS('Statusa tabula'!X:X,'Statusa tabula'!$O:$O,$A9)</f>
        <v>861289938.76999998</v>
      </c>
      <c r="K9" s="71">
        <f t="shared" si="1"/>
        <v>0.9963308418230834</v>
      </c>
      <c r="L9" s="62">
        <f>SUMIFS('Statusa tabula'!AL:AL,'Statusa tabula'!$O:$O,$A9)</f>
        <v>578245551.75</v>
      </c>
      <c r="M9" s="71">
        <f t="shared" si="2"/>
        <v>0.6689081706658363</v>
      </c>
      <c r="N9" s="62">
        <f>SUMIFS('Statusa tabula'!AZ:AZ,'Statusa tabula'!$O:$O,$A9)</f>
        <v>173033324.50799999</v>
      </c>
      <c r="O9" s="71">
        <f t="shared" si="3"/>
        <v>0.20016306949632198</v>
      </c>
      <c r="P9" s="112"/>
      <c r="Q9" s="112"/>
      <c r="R9" s="112"/>
      <c r="S9" s="112"/>
      <c r="T9" s="112"/>
      <c r="U9" s="112"/>
      <c r="V9" s="112"/>
      <c r="W9" s="112"/>
    </row>
    <row r="10" spans="1:40" ht="20.25" x14ac:dyDescent="0.3">
      <c r="A10" s="20" t="s">
        <v>41</v>
      </c>
      <c r="B10" s="20"/>
      <c r="C10" s="20"/>
      <c r="D10" s="54"/>
      <c r="E10" s="61" t="s">
        <v>387</v>
      </c>
      <c r="F10" s="62">
        <f>SUMIFS('Statusa tabula'!Q:Q,'Statusa tabula'!O:O,A10)</f>
        <v>191606820.08000001</v>
      </c>
      <c r="G10" s="62">
        <f>SUMIFS('Statusa tabula'!R:R,'Statusa tabula'!O:O,A10)</f>
        <v>0</v>
      </c>
      <c r="H10" s="62">
        <f t="shared" si="4"/>
        <v>191606820.08000001</v>
      </c>
      <c r="I10" s="62">
        <f>SUMIFS('Statusa tabula'!S:S,'Statusa tabula'!$O:$O,$A10)</f>
        <v>224119295.08000001</v>
      </c>
      <c r="J10" s="62">
        <f>SUMIFS('Statusa tabula'!X:X,'Statusa tabula'!$O:$O,$A10)</f>
        <v>148605530.52000001</v>
      </c>
      <c r="K10" s="71">
        <f t="shared" si="1"/>
        <v>0.77557537074073857</v>
      </c>
      <c r="L10" s="62">
        <f>SUMIFS('Statusa tabula'!AL:AL,'Statusa tabula'!$O:$O,$A10)</f>
        <v>126711381.63</v>
      </c>
      <c r="M10" s="71">
        <f t="shared" si="2"/>
        <v>0.66130934993386581</v>
      </c>
      <c r="N10" s="62">
        <f>SUMIFS('Statusa tabula'!AZ:AZ,'Statusa tabula'!$O:$O,$A10)</f>
        <v>46489938.528800003</v>
      </c>
      <c r="O10" s="71">
        <f t="shared" si="3"/>
        <v>0.24263196116604535</v>
      </c>
      <c r="P10" s="112"/>
      <c r="Q10" s="112"/>
      <c r="R10" s="112"/>
      <c r="S10" s="112"/>
      <c r="T10" s="112"/>
      <c r="U10" s="112"/>
      <c r="V10" s="112"/>
      <c r="W10" s="112"/>
      <c r="AB10" s="230" t="str">
        <f>"Maksājumi "&amp;TEXT(ROUND(SUM(AB11:AB22)/1000000,3),"# ##0,0")&amp;" (" &amp; TEXT(ROUND((SUM(AB11:AB22)/SUM(AE11:AE22)),3),"0%")&amp; ")"</f>
        <v>Maksājumi 1 031,8 (24%)</v>
      </c>
      <c r="AC10" s="230" t="str">
        <f>"Līgums "&amp;TEXT(ROUND(SUM(AC11:AC22)/1000000,3),"# ##0,0")&amp;" (" &amp; TEXT(ROUND((SUM(AC11:AC22)/SUM(AE11:AE22)),3),"0%")&amp; ")"</f>
        <v>Līgums 3 582,6 (82%)</v>
      </c>
      <c r="AD10" s="230" t="str">
        <f>"Iesniegti "&amp;TEXT(ROUND(SUM(AD11:AD22)/1000000,3),"# ##0,0")&amp;" (" &amp; TEXT(ROUND((SUM(AD11:AD22)/SUM(AE11:AE22)),3),"0%")&amp; ")"</f>
        <v>Iesniegti 4 240,0 (97%)</v>
      </c>
      <c r="AE10" s="230" t="str">
        <f>"Piešķīrums "&amp;TEXT(ROUND(SUM(AE11:AE22)/1000000,3),"# ##0,0")&amp;" "</f>
        <v xml:space="preserve">Piešķīrums 4 374,4 </v>
      </c>
      <c r="AH10" s="230" t="str">
        <f>"Valsts budžets, kas pārsniedz pasākuma ES fondu finansējumu "&amp;TEXT(ROUND(SUM(AH11:AH22)/1000000,3),"# ##0,0")&amp;" Milj. EUR"</f>
        <v>Valsts budžets, kas pārsniedz pasākuma ES fondu finansējumu 155,8 Milj. EUR</v>
      </c>
      <c r="AI10" s="230" t="s">
        <v>404</v>
      </c>
      <c r="AJ10" s="230" t="str">
        <f>"Maksājumi "</f>
        <v xml:space="preserve">Maksājumi </v>
      </c>
      <c r="AK10" s="230" t="str">
        <f>"Līgums "</f>
        <v xml:space="preserve">Līgums </v>
      </c>
      <c r="AL10" s="230" t="str">
        <f>"Iesniegti "</f>
        <v xml:space="preserve">Iesniegti </v>
      </c>
      <c r="AM10" s="230" t="str">
        <f>"Piešķīrums "</f>
        <v xml:space="preserve">Piešķīrums </v>
      </c>
      <c r="AN10" s="230" t="s">
        <v>405</v>
      </c>
    </row>
    <row r="11" spans="1:40" ht="20.25" x14ac:dyDescent="0.3">
      <c r="A11" t="s">
        <v>406</v>
      </c>
      <c r="B11">
        <f>RANK(F11,$F$11:$F$22,)</f>
        <v>3</v>
      </c>
      <c r="C11">
        <f t="shared" ref="C11:C22" si="5">RANK(H11,$H$11:$H$22,)</f>
        <v>3</v>
      </c>
      <c r="D11" s="97"/>
      <c r="E11" s="61" t="str">
        <f>A11</f>
        <v>EM</v>
      </c>
      <c r="F11" s="94">
        <f>SUMIFS('Statusa tabula'!Q:Q,'Statusa tabula'!P:P,A11)</f>
        <v>820600037</v>
      </c>
      <c r="G11" s="94">
        <f>SUMIFS('Statusa tabula'!R:R,'Statusa tabula'!P:P,A11)</f>
        <v>0</v>
      </c>
      <c r="H11" s="94">
        <f t="shared" si="4"/>
        <v>820600037</v>
      </c>
      <c r="I11" s="94">
        <f>SUMIFS('Statusa tabula'!S:S,'Statusa tabula'!P:P,A11)</f>
        <v>942520781</v>
      </c>
      <c r="J11" s="94">
        <f>SUMIFS('Statusa tabula'!X:X,'Statusa tabula'!P:P,A11)</f>
        <v>750195410.46000004</v>
      </c>
      <c r="K11" s="100">
        <f t="shared" si="1"/>
        <v>0.91420348115338923</v>
      </c>
      <c r="L11" s="94">
        <f>SUMIFS('Statusa tabula'!AL:AL,'Statusa tabula'!P:P,A11)</f>
        <v>721631114.58999991</v>
      </c>
      <c r="M11" s="100">
        <f t="shared" si="2"/>
        <v>0.87939444559152502</v>
      </c>
      <c r="N11" s="94">
        <f>SUMIFS('Statusa tabula'!AZ:AZ,'Statusa tabula'!P:P,A11)</f>
        <v>247905348.58000001</v>
      </c>
      <c r="O11" s="95">
        <f t="shared" si="3"/>
        <v>0.3021025315649602</v>
      </c>
      <c r="P11" s="112"/>
      <c r="Q11" s="112"/>
      <c r="R11" s="112"/>
      <c r="S11" s="112"/>
      <c r="T11" s="112"/>
      <c r="U11" s="112"/>
      <c r="V11" s="112"/>
      <c r="W11" s="112"/>
      <c r="Z11" s="230">
        <v>12</v>
      </c>
      <c r="AA11" s="230" t="str">
        <f t="shared" ref="AA11:AA22" si="6">INDEX($A$11:$A$22,MATCH(Z11,$C$11:$C$22,0))</f>
        <v>TM</v>
      </c>
      <c r="AB11" s="230">
        <f t="shared" ref="AB11:AB22" si="7">INDEX($N$11:$N$22,MATCH(Z11,$C$11:$C$22,0))</f>
        <v>1926324.63</v>
      </c>
      <c r="AC11" s="230">
        <f t="shared" ref="AC11:AC22" si="8">INDEX($L$11:$L$22,MATCH(Z11,$C$11:$C$22,0))</f>
        <v>6704058</v>
      </c>
      <c r="AD11" s="230">
        <f t="shared" ref="AD11:AD22" si="9">INDEX($J$11:$J$22,MATCH(Z11,$C$11:$C$22,0))</f>
        <v>6704058</v>
      </c>
      <c r="AE11" s="230">
        <f t="shared" ref="AE11:AE22" si="10">INDEX($F$11:$F$22,MATCH(Z11,$C$11:$C$22,0))</f>
        <v>6704058</v>
      </c>
      <c r="AH11" s="233">
        <f t="shared" ref="AH11:AH22" si="11">INDEX($G$11:$G$22,MATCH(Z11,$C$11:$C$22,0))</f>
        <v>0</v>
      </c>
      <c r="AI11" s="230">
        <f>AE11</f>
        <v>6704058</v>
      </c>
      <c r="AJ11" s="230" t="str">
        <f>TEXT(ROUND(AB11/1000000,1),"# ##0,0")&amp;"; " &amp; TEXT( (AB11/AE11)*1000," 0,0 %")</f>
        <v>1,9;  28,7%</v>
      </c>
      <c r="AK11" s="230" t="str">
        <f>TEXT(ROUND(AC11/1000000,1),"# ##0,0")&amp;"; " &amp; TEXT( (AC11/AE11)*1000," 0,0 %")</f>
        <v>6,7;  100,0%</v>
      </c>
      <c r="AL11" s="230" t="str">
        <f>TEXT(ROUND(AD11/1000000,1),"# ##0,0")&amp;"; " &amp; TEXT( (AD11/AE11)*1000," 0,0 %")</f>
        <v>6,7;  100,0%</v>
      </c>
      <c r="AM11" s="230" t="str">
        <f>IF(AH11&gt;0,TEXT(ROUND(AE11/1000000,1),"# ##0,0")&amp;"+ "&amp;TEXT(ROUND(AH11/1000000,1),"# ##0,0")&amp;"",TEXT(ROUND(AE11/1000000,1),"# ##0,0")&amp;"")</f>
        <v>6,7</v>
      </c>
      <c r="AN11" s="230" t="str">
        <f>IF((TEXT(ROUND(AH11/1000000,1),"# ##0,0")&amp;" Milj. EUR ")="0,0 ", "",TEXT(ROUND(AH11/1000000,1),"# ##0,0")&amp;" ")</f>
        <v xml:space="preserve">0,0 </v>
      </c>
    </row>
    <row r="12" spans="1:40" ht="20.25" x14ac:dyDescent="0.3">
      <c r="A12" t="s">
        <v>321</v>
      </c>
      <c r="B12">
        <f t="shared" ref="B12:B22" si="12">RANK(F12,$F$11:$F$22,)</f>
        <v>7</v>
      </c>
      <c r="C12">
        <f t="shared" si="5"/>
        <v>8</v>
      </c>
      <c r="D12" s="119"/>
      <c r="E12" s="61" t="str">
        <f>A12</f>
        <v>FM</v>
      </c>
      <c r="F12" s="94">
        <f>SUMIFS('Statusa tabula'!Q:Q,'Statusa tabula'!P:P,A12)</f>
        <v>181027203.60500005</v>
      </c>
      <c r="G12" s="94">
        <f>SUMIFS('Statusa tabula'!R:R,'Statusa tabula'!P:P,A12)</f>
        <v>0</v>
      </c>
      <c r="H12" s="94">
        <f t="shared" si="4"/>
        <v>181027203.60500005</v>
      </c>
      <c r="I12" s="94">
        <f>SUMIFS('Statusa tabula'!S:S,'Statusa tabula'!P:P,A12)</f>
        <v>187614927.60500005</v>
      </c>
      <c r="J12" s="94">
        <f>SUMIFS('Statusa tabula'!X:X,'Statusa tabula'!P:P,A12)</f>
        <v>178708997.60500005</v>
      </c>
      <c r="K12" s="100">
        <f t="shared" si="1"/>
        <v>0.98719415671327326</v>
      </c>
      <c r="L12" s="94">
        <f>SUMIFS('Statusa tabula'!AL:AL,'Statusa tabula'!P:P,A12)</f>
        <v>178708997.60500005</v>
      </c>
      <c r="M12" s="100">
        <f t="shared" si="2"/>
        <v>0.98719415671327326</v>
      </c>
      <c r="N12" s="94">
        <f>SUMIFS('Statusa tabula'!AZ:AZ,'Statusa tabula'!P:P,A12)</f>
        <v>37463154.28360001</v>
      </c>
      <c r="O12" s="95">
        <f t="shared" si="3"/>
        <v>0.20694764951097805</v>
      </c>
      <c r="P12" s="112"/>
      <c r="Q12" s="112"/>
      <c r="R12" s="112"/>
      <c r="S12" s="112"/>
      <c r="T12" s="112"/>
      <c r="U12" s="112"/>
      <c r="V12" s="112"/>
      <c r="W12" s="112"/>
      <c r="Z12" s="230">
        <v>11</v>
      </c>
      <c r="AA12" s="230" t="str">
        <f t="shared" si="6"/>
        <v>VK</v>
      </c>
      <c r="AB12" s="230">
        <f t="shared" si="7"/>
        <v>7361916.9399999995</v>
      </c>
      <c r="AC12" s="230">
        <f t="shared" si="8"/>
        <v>37365903</v>
      </c>
      <c r="AD12" s="230">
        <f t="shared" si="9"/>
        <v>57145163</v>
      </c>
      <c r="AE12" s="230">
        <f t="shared" si="10"/>
        <v>58816425</v>
      </c>
      <c r="AH12" s="233">
        <f t="shared" si="11"/>
        <v>0</v>
      </c>
      <c r="AI12" s="230">
        <f t="shared" ref="AI12:AI22" si="13">AE12</f>
        <v>58816425</v>
      </c>
      <c r="AJ12" s="230" t="str">
        <f t="shared" ref="AJ12:AJ22" si="14">TEXT(ROUND(AB12/1000000,1),"# ##0,0")&amp;"; " &amp; TEXT( (AB12/AE12)*1000," 0,0 %")</f>
        <v>7,4;  12,5%</v>
      </c>
      <c r="AK12" s="230" t="str">
        <f t="shared" ref="AK12:AK22" si="15">TEXT(ROUND(AC12/1000000,1),"# ##0,0")&amp;"; " &amp; TEXT( (AC12/AE12)*1000," 0,0 %")</f>
        <v>37,4;  63,5%</v>
      </c>
      <c r="AL12" s="230" t="str">
        <f t="shared" ref="AL12:AL22" si="16">TEXT(ROUND(AD12/1000000,1),"# ##0,0")&amp;"; " &amp; TEXT( (AD12/AE12)*1000," 0,0 %")</f>
        <v>57,1;  97,2%</v>
      </c>
      <c r="AM12" s="230" t="str">
        <f t="shared" ref="AM12:AM22" si="17">IF(AH12&gt;0,TEXT(ROUND(AE12/1000000,1),"# ##0,0")&amp;"+ "&amp;TEXT(ROUND(AH12/1000000,1),"# ##0,0")&amp;"",TEXT(ROUND(AE12/1000000,1),"# ##0,0")&amp;"")</f>
        <v>58,8</v>
      </c>
      <c r="AN12" s="230" t="str">
        <f t="shared" ref="AN12:AN22" si="18">IF((TEXT(ROUND(AH12/1000000,1),"# ##0,0")&amp;" Milj. EUR ")="0,0 ", "",TEXT(ROUND(AH12/1000000,1),"# ##0,0")&amp;" ")</f>
        <v xml:space="preserve">0,0 </v>
      </c>
    </row>
    <row r="13" spans="1:40" ht="18.75" x14ac:dyDescent="0.3">
      <c r="A13" t="s">
        <v>407</v>
      </c>
      <c r="B13">
        <f t="shared" si="12"/>
        <v>10</v>
      </c>
      <c r="C13">
        <f t="shared" si="5"/>
        <v>7</v>
      </c>
      <c r="D13" s="96"/>
      <c r="E13" s="61" t="str">
        <f>A13</f>
        <v>IeM</v>
      </c>
      <c r="F13" s="94">
        <f>SUMIFS('Statusa tabula'!Q:Q,'Statusa tabula'!P:P,A13)</f>
        <v>74794476</v>
      </c>
      <c r="G13" s="94">
        <f>SUMIFS('Statusa tabula'!R:R,'Statusa tabula'!P:P,A13)</f>
        <v>153241282</v>
      </c>
      <c r="H13" s="94">
        <f t="shared" si="4"/>
        <v>228035758</v>
      </c>
      <c r="I13" s="94">
        <f>SUMIFS('Statusa tabula'!S:S,'Statusa tabula'!P:P,A13)</f>
        <v>87993502</v>
      </c>
      <c r="J13" s="94">
        <f>SUMIFS('Statusa tabula'!X:X,'Statusa tabula'!P:P,A13)</f>
        <v>228035758</v>
      </c>
      <c r="K13" s="100">
        <f t="shared" si="1"/>
        <v>3.0488315473993026</v>
      </c>
      <c r="L13" s="94">
        <f>SUMIFS('Statusa tabula'!AL:AL,'Statusa tabula'!P:P,A13)</f>
        <v>228035758</v>
      </c>
      <c r="M13" s="100">
        <f t="shared" si="2"/>
        <v>3.0488315473993026</v>
      </c>
      <c r="N13" s="94">
        <f>SUMIFS('Statusa tabula'!AZ:AZ,'Statusa tabula'!P:P,A13)</f>
        <v>96967147.549999997</v>
      </c>
      <c r="O13" s="95">
        <f t="shared" si="3"/>
        <v>1.2964479830034505</v>
      </c>
      <c r="P13" s="112"/>
      <c r="Q13" s="112"/>
      <c r="R13" s="112"/>
      <c r="S13" s="112"/>
      <c r="T13" s="112"/>
      <c r="U13" s="112"/>
      <c r="V13" s="112"/>
      <c r="W13" s="112"/>
      <c r="Z13" s="230">
        <v>10</v>
      </c>
      <c r="AA13" s="230" t="str">
        <f t="shared" si="6"/>
        <v>KM</v>
      </c>
      <c r="AB13" s="230">
        <f t="shared" si="7"/>
        <v>22099793.280000001</v>
      </c>
      <c r="AC13" s="230">
        <f t="shared" si="8"/>
        <v>68849788.569999993</v>
      </c>
      <c r="AD13" s="230">
        <f t="shared" si="9"/>
        <v>70167261.140000001</v>
      </c>
      <c r="AE13" s="230">
        <f t="shared" si="10"/>
        <v>75410982</v>
      </c>
      <c r="AH13" s="233">
        <f t="shared" si="11"/>
        <v>2526446</v>
      </c>
      <c r="AI13" s="230">
        <f t="shared" si="13"/>
        <v>75410982</v>
      </c>
      <c r="AJ13" s="230" t="str">
        <f t="shared" si="14"/>
        <v>22,1;  29,3%</v>
      </c>
      <c r="AK13" s="230" t="str">
        <f t="shared" si="15"/>
        <v>68,8;  91,3%</v>
      </c>
      <c r="AL13" s="230" t="str">
        <f t="shared" si="16"/>
        <v>70,2;  93,0%</v>
      </c>
      <c r="AM13" s="230" t="str">
        <f t="shared" si="17"/>
        <v>75,4+ 2,5</v>
      </c>
      <c r="AN13" s="230" t="str">
        <f t="shared" si="18"/>
        <v xml:space="preserve">2,5 </v>
      </c>
    </row>
    <row r="14" spans="1:40" ht="18.75" x14ac:dyDescent="0.3">
      <c r="A14" t="s">
        <v>408</v>
      </c>
      <c r="B14">
        <f t="shared" si="12"/>
        <v>4</v>
      </c>
      <c r="C14">
        <f t="shared" si="5"/>
        <v>4</v>
      </c>
      <c r="D14" s="96"/>
      <c r="E14" s="61" t="str">
        <f t="shared" ref="E14:E22" si="19">A14</f>
        <v>IZM</v>
      </c>
      <c r="F14" s="94">
        <f>SUMIFS('Statusa tabula'!Q:Q,'Statusa tabula'!P:P,A14)</f>
        <v>653923371</v>
      </c>
      <c r="G14" s="94">
        <f>SUMIFS('Statusa tabula'!R:R,'Statusa tabula'!P:P,A14)</f>
        <v>0</v>
      </c>
      <c r="H14" s="94">
        <f t="shared" si="4"/>
        <v>653923371</v>
      </c>
      <c r="I14" s="94">
        <f>SUMIFS('Statusa tabula'!S:S,'Statusa tabula'!P:P,A14)</f>
        <v>769321628</v>
      </c>
      <c r="J14" s="94">
        <f>SUMIFS('Statusa tabula'!X:X,'Statusa tabula'!P:P,A14)</f>
        <v>656924341.40999997</v>
      </c>
      <c r="K14" s="100">
        <f t="shared" si="1"/>
        <v>1.0045891774833049</v>
      </c>
      <c r="L14" s="94">
        <f>SUMIFS('Statusa tabula'!AL:AL,'Statusa tabula'!P:P,A14)</f>
        <v>587262344.79999995</v>
      </c>
      <c r="M14" s="100">
        <f t="shared" si="2"/>
        <v>0.89805988108658674</v>
      </c>
      <c r="N14" s="94">
        <f>SUMIFS('Statusa tabula'!AZ:AZ,'Statusa tabula'!P:P,A14)</f>
        <v>117064478.83000003</v>
      </c>
      <c r="O14" s="95">
        <f t="shared" si="3"/>
        <v>0.17901864961789235</v>
      </c>
      <c r="P14" s="112"/>
      <c r="Q14" s="112"/>
      <c r="R14" s="112"/>
      <c r="S14" s="112"/>
      <c r="T14" s="112"/>
      <c r="U14" s="112"/>
      <c r="V14" s="112"/>
      <c r="W14" s="112"/>
      <c r="Z14" s="230">
        <v>9</v>
      </c>
      <c r="AA14" s="230" t="str">
        <f t="shared" si="6"/>
        <v>KEM</v>
      </c>
      <c r="AB14" s="230">
        <f t="shared" si="7"/>
        <v>19705888.73</v>
      </c>
      <c r="AC14" s="230">
        <f t="shared" si="8"/>
        <v>65686295</v>
      </c>
      <c r="AD14" s="230">
        <f t="shared" si="9"/>
        <v>65686295</v>
      </c>
      <c r="AE14" s="230">
        <f t="shared" si="10"/>
        <v>100686295</v>
      </c>
      <c r="AH14" s="233">
        <f t="shared" si="11"/>
        <v>0</v>
      </c>
      <c r="AI14" s="230">
        <f t="shared" si="13"/>
        <v>100686295</v>
      </c>
      <c r="AJ14" s="230" t="str">
        <f t="shared" si="14"/>
        <v>19,7;  19,6%</v>
      </c>
      <c r="AK14" s="230" t="str">
        <f t="shared" si="15"/>
        <v>65,7;  65,2%</v>
      </c>
      <c r="AL14" s="230" t="str">
        <f t="shared" si="16"/>
        <v>65,7;  65,2%</v>
      </c>
      <c r="AM14" s="230" t="str">
        <f t="shared" si="17"/>
        <v>100,7</v>
      </c>
      <c r="AN14" s="230" t="str">
        <f t="shared" si="18"/>
        <v xml:space="preserve">0,0 </v>
      </c>
    </row>
    <row r="15" spans="1:40" ht="18.75" x14ac:dyDescent="0.3">
      <c r="A15" t="s">
        <v>409</v>
      </c>
      <c r="B15">
        <f t="shared" si="12"/>
        <v>8</v>
      </c>
      <c r="C15">
        <f t="shared" si="5"/>
        <v>9</v>
      </c>
      <c r="D15" s="96"/>
      <c r="E15" s="61" t="str">
        <f t="shared" si="19"/>
        <v>KEM</v>
      </c>
      <c r="F15" s="94">
        <f>SUMIFS('Statusa tabula'!Q:Q,'Statusa tabula'!P:P,A15)</f>
        <v>100686295</v>
      </c>
      <c r="G15" s="94">
        <f>SUMIFS('Statusa tabula'!R:R,'Statusa tabula'!P:P,A15)</f>
        <v>0</v>
      </c>
      <c r="H15" s="94">
        <f t="shared" si="4"/>
        <v>100686295</v>
      </c>
      <c r="I15" s="94">
        <f>SUMIFS('Statusa tabula'!S:S,'Statusa tabula'!P:P,A15)</f>
        <v>118454467</v>
      </c>
      <c r="J15" s="94">
        <f>SUMIFS('Statusa tabula'!X:X,'Statusa tabula'!P:P,A15)</f>
        <v>65686295</v>
      </c>
      <c r="K15" s="100">
        <f t="shared" si="1"/>
        <v>0.65238565983582975</v>
      </c>
      <c r="L15" s="94">
        <f>SUMIFS('Statusa tabula'!AL:AL,'Statusa tabula'!P:P,A15)</f>
        <v>65686295</v>
      </c>
      <c r="M15" s="100">
        <f t="shared" si="2"/>
        <v>0.65238565983582975</v>
      </c>
      <c r="N15" s="94">
        <f>SUMIFS('Statusa tabula'!AZ:AZ,'Statusa tabula'!P:P,A15)</f>
        <v>19705888.73</v>
      </c>
      <c r="O15" s="95">
        <f t="shared" si="3"/>
        <v>0.19571570023507173</v>
      </c>
      <c r="P15" s="112"/>
      <c r="Q15" s="112"/>
      <c r="R15" s="112"/>
      <c r="S15" s="112"/>
      <c r="T15" s="112"/>
      <c r="U15" s="112"/>
      <c r="V15" s="112"/>
      <c r="W15" s="112"/>
      <c r="Z15" s="230">
        <v>8</v>
      </c>
      <c r="AA15" s="230" t="str">
        <f t="shared" si="6"/>
        <v>FM</v>
      </c>
      <c r="AB15" s="230">
        <f t="shared" si="7"/>
        <v>37463154.28360001</v>
      </c>
      <c r="AC15" s="230">
        <f t="shared" si="8"/>
        <v>178708997.60500005</v>
      </c>
      <c r="AD15" s="230">
        <f t="shared" si="9"/>
        <v>178708997.60500005</v>
      </c>
      <c r="AE15" s="230">
        <f t="shared" si="10"/>
        <v>181027203.60500005</v>
      </c>
      <c r="AH15" s="233">
        <f t="shared" si="11"/>
        <v>0</v>
      </c>
      <c r="AI15" s="230">
        <f t="shared" si="13"/>
        <v>181027203.60500005</v>
      </c>
      <c r="AJ15" s="230" t="str">
        <f t="shared" si="14"/>
        <v>37,5;  20,7%</v>
      </c>
      <c r="AK15" s="230" t="str">
        <f t="shared" si="15"/>
        <v>178,7;  98,7%</v>
      </c>
      <c r="AL15" s="230" t="str">
        <f t="shared" si="16"/>
        <v>178,7;  98,7%</v>
      </c>
      <c r="AM15" s="230" t="str">
        <f t="shared" si="17"/>
        <v>181,0</v>
      </c>
      <c r="AN15" s="230" t="str">
        <f t="shared" si="18"/>
        <v xml:space="preserve">0,0 </v>
      </c>
    </row>
    <row r="16" spans="1:40" ht="18.75" x14ac:dyDescent="0.3">
      <c r="A16" t="s">
        <v>410</v>
      </c>
      <c r="B16">
        <f t="shared" si="12"/>
        <v>9</v>
      </c>
      <c r="C16">
        <f t="shared" si="5"/>
        <v>10</v>
      </c>
      <c r="D16" s="96"/>
      <c r="E16" s="61" t="str">
        <f t="shared" si="19"/>
        <v>KM</v>
      </c>
      <c r="F16" s="94">
        <f>SUMIFS('Statusa tabula'!Q:Q,'Statusa tabula'!P:P,A16)</f>
        <v>75410982</v>
      </c>
      <c r="G16" s="94">
        <f>SUMIFS('Statusa tabula'!R:R,'Statusa tabula'!P:P,A16)</f>
        <v>2526446</v>
      </c>
      <c r="H16" s="94">
        <f t="shared" si="4"/>
        <v>77937428</v>
      </c>
      <c r="I16" s="94">
        <f>SUMIFS('Statusa tabula'!S:S,'Statusa tabula'!P:P,A16)</f>
        <v>88718805</v>
      </c>
      <c r="J16" s="94">
        <f>SUMIFS('Statusa tabula'!X:X,'Statusa tabula'!P:P,A16)</f>
        <v>70167261.140000001</v>
      </c>
      <c r="K16" s="100">
        <f t="shared" si="1"/>
        <v>0.9304647583027098</v>
      </c>
      <c r="L16" s="94">
        <f>SUMIFS('Statusa tabula'!AL:AL,'Statusa tabula'!P:P,A16)</f>
        <v>68849788.569999993</v>
      </c>
      <c r="M16" s="100">
        <f t="shared" si="2"/>
        <v>0.91299419188043451</v>
      </c>
      <c r="N16" s="94">
        <f>SUMIFS('Statusa tabula'!AZ:AZ,'Statusa tabula'!P:P,A16)</f>
        <v>22099793.280000001</v>
      </c>
      <c r="O16" s="95">
        <f t="shared" si="3"/>
        <v>0.29305802276915055</v>
      </c>
      <c r="P16" s="112"/>
      <c r="Q16" s="112"/>
      <c r="R16" s="112"/>
      <c r="S16" s="112"/>
      <c r="T16" s="112"/>
      <c r="U16" s="112"/>
      <c r="V16" s="112"/>
      <c r="W16" s="112"/>
      <c r="Z16" s="230">
        <v>7</v>
      </c>
      <c r="AA16" s="230" t="str">
        <f t="shared" si="6"/>
        <v>IeM</v>
      </c>
      <c r="AB16" s="230">
        <f t="shared" si="7"/>
        <v>96967147.549999997</v>
      </c>
      <c r="AC16" s="230">
        <f t="shared" si="8"/>
        <v>228035758</v>
      </c>
      <c r="AD16" s="230">
        <f t="shared" si="9"/>
        <v>228035758</v>
      </c>
      <c r="AE16" s="230">
        <f t="shared" si="10"/>
        <v>74794476</v>
      </c>
      <c r="AH16" s="233">
        <f t="shared" si="11"/>
        <v>153241282</v>
      </c>
      <c r="AI16" s="230">
        <f t="shared" si="13"/>
        <v>74794476</v>
      </c>
      <c r="AJ16" s="230" t="str">
        <f t="shared" si="14"/>
        <v>97,0;  129,6%</v>
      </c>
      <c r="AK16" s="230" t="str">
        <f t="shared" si="15"/>
        <v>228,0;  304,9%</v>
      </c>
      <c r="AL16" s="230" t="str">
        <f t="shared" si="16"/>
        <v>228,0;  304,9%</v>
      </c>
      <c r="AM16" s="230" t="str">
        <f t="shared" si="17"/>
        <v>74,8+ 153,2</v>
      </c>
      <c r="AN16" s="230" t="str">
        <f t="shared" si="18"/>
        <v xml:space="preserve">153,2 </v>
      </c>
    </row>
    <row r="17" spans="1:44" ht="18.75" x14ac:dyDescent="0.3">
      <c r="A17" t="s">
        <v>411</v>
      </c>
      <c r="B17">
        <f t="shared" si="12"/>
        <v>6</v>
      </c>
      <c r="C17">
        <f t="shared" si="5"/>
        <v>6</v>
      </c>
      <c r="D17" s="96"/>
      <c r="E17" s="61" t="str">
        <f t="shared" si="19"/>
        <v>LM</v>
      </c>
      <c r="F17" s="94">
        <f>SUMIFS('Statusa tabula'!Q:Q,'Statusa tabula'!P:P,A17)</f>
        <v>295085006</v>
      </c>
      <c r="G17" s="94">
        <f>SUMIFS('Statusa tabula'!R:R,'Statusa tabula'!P:P,A17)</f>
        <v>0</v>
      </c>
      <c r="H17" s="94">
        <f t="shared" si="4"/>
        <v>295085006</v>
      </c>
      <c r="I17" s="94">
        <f>SUMIFS('Statusa tabula'!S:S,'Statusa tabula'!P:P,A17)</f>
        <v>347158838</v>
      </c>
      <c r="J17" s="94">
        <f>SUMIFS('Statusa tabula'!X:X,'Statusa tabula'!P:P,A17)</f>
        <v>280200123.22999996</v>
      </c>
      <c r="K17" s="100">
        <f t="shared" si="1"/>
        <v>0.94955730563280449</v>
      </c>
      <c r="L17" s="94">
        <f>SUMIFS('Statusa tabula'!AL:AL,'Statusa tabula'!P:P,A17)</f>
        <v>261161579.14999995</v>
      </c>
      <c r="M17" s="100">
        <f t="shared" si="2"/>
        <v>0.88503845956171678</v>
      </c>
      <c r="N17" s="94">
        <f>SUMIFS('Statusa tabula'!AZ:AZ,'Statusa tabula'!P:P,A17)</f>
        <v>51664436.040000014</v>
      </c>
      <c r="O17" s="95">
        <f t="shared" si="3"/>
        <v>0.17508323022010822</v>
      </c>
      <c r="P17" s="112"/>
      <c r="Q17" s="112"/>
      <c r="R17" s="112"/>
      <c r="S17" s="112"/>
      <c r="T17" s="112"/>
      <c r="U17" s="112"/>
      <c r="V17" s="112"/>
      <c r="W17" s="112"/>
      <c r="Z17" s="230">
        <v>6</v>
      </c>
      <c r="AA17" s="230" t="str">
        <f t="shared" si="6"/>
        <v>LM</v>
      </c>
      <c r="AB17" s="230">
        <f t="shared" si="7"/>
        <v>51664436.040000014</v>
      </c>
      <c r="AC17" s="230">
        <f t="shared" si="8"/>
        <v>261161579.14999995</v>
      </c>
      <c r="AD17" s="230">
        <f t="shared" si="9"/>
        <v>280200123.22999996</v>
      </c>
      <c r="AE17" s="230">
        <f t="shared" si="10"/>
        <v>295085006</v>
      </c>
      <c r="AH17" s="233">
        <f t="shared" si="11"/>
        <v>0</v>
      </c>
      <c r="AI17" s="230">
        <f t="shared" si="13"/>
        <v>295085006</v>
      </c>
      <c r="AJ17" s="230" t="str">
        <f t="shared" si="14"/>
        <v>51,7;  17,5%</v>
      </c>
      <c r="AK17" s="230" t="str">
        <f t="shared" si="15"/>
        <v>261,2;  88,5%</v>
      </c>
      <c r="AL17" s="230" t="str">
        <f t="shared" si="16"/>
        <v>280,2;  95,0%</v>
      </c>
      <c r="AM17" s="230" t="str">
        <f t="shared" si="17"/>
        <v>295,1</v>
      </c>
      <c r="AN17" s="230" t="str">
        <f t="shared" si="18"/>
        <v xml:space="preserve">0,0 </v>
      </c>
    </row>
    <row r="18" spans="1:44" ht="18.75" x14ac:dyDescent="0.3">
      <c r="A18" t="s">
        <v>412</v>
      </c>
      <c r="B18">
        <f t="shared" si="12"/>
        <v>2</v>
      </c>
      <c r="C18">
        <f t="shared" si="5"/>
        <v>2</v>
      </c>
      <c r="D18" s="96"/>
      <c r="E18" s="61" t="str">
        <f t="shared" si="19"/>
        <v>SM</v>
      </c>
      <c r="F18" s="94">
        <f>SUMIFS('Statusa tabula'!Q:Q,'Statusa tabula'!P:P,A18)</f>
        <v>841370826</v>
      </c>
      <c r="G18" s="94">
        <f>SUMIFS('Statusa tabula'!R:R,'Statusa tabula'!P:P,A18)</f>
        <v>0</v>
      </c>
      <c r="H18" s="94">
        <f t="shared" si="4"/>
        <v>841370826</v>
      </c>
      <c r="I18" s="94">
        <f>SUMIFS('Statusa tabula'!S:S,'Statusa tabula'!P:P,A18)</f>
        <v>992796507</v>
      </c>
      <c r="J18" s="94">
        <f>SUMIFS('Statusa tabula'!X:X,'Statusa tabula'!P:P,A18)</f>
        <v>825639901.35000002</v>
      </c>
      <c r="K18" s="100">
        <f t="shared" si="1"/>
        <v>0.98130322069189502</v>
      </c>
      <c r="L18" s="94">
        <f>SUMIFS('Statusa tabula'!AL:AL,'Statusa tabula'!P:P,A18)</f>
        <v>497646094.66999996</v>
      </c>
      <c r="M18" s="100">
        <f t="shared" si="2"/>
        <v>0.59147058501645733</v>
      </c>
      <c r="N18" s="94">
        <f>SUMIFS('Statusa tabula'!AZ:AZ,'Statusa tabula'!P:P,A18)</f>
        <v>160744218.44</v>
      </c>
      <c r="O18" s="95">
        <f t="shared" si="3"/>
        <v>0.191050382866496</v>
      </c>
      <c r="P18" s="112"/>
      <c r="Q18" s="112"/>
      <c r="R18" s="112"/>
      <c r="S18" s="112"/>
      <c r="T18" s="112"/>
      <c r="U18" s="112"/>
      <c r="V18" s="112"/>
      <c r="W18" s="112"/>
      <c r="Z18" s="230">
        <v>5</v>
      </c>
      <c r="AA18" s="230" t="str">
        <f t="shared" si="6"/>
        <v>VM</v>
      </c>
      <c r="AB18" s="230">
        <f t="shared" si="7"/>
        <v>89587682.909999996</v>
      </c>
      <c r="AC18" s="230">
        <f t="shared" si="8"/>
        <v>360650079.5800001</v>
      </c>
      <c r="AD18" s="230">
        <f t="shared" si="9"/>
        <v>368736954.37000006</v>
      </c>
      <c r="AE18" s="230">
        <f t="shared" si="10"/>
        <v>374395678</v>
      </c>
      <c r="AH18" s="233">
        <f t="shared" si="11"/>
        <v>0</v>
      </c>
      <c r="AI18" s="230">
        <f t="shared" si="13"/>
        <v>374395678</v>
      </c>
      <c r="AJ18" s="230" t="str">
        <f t="shared" si="14"/>
        <v>89,6;  23,9%</v>
      </c>
      <c r="AK18" s="230" t="str">
        <f t="shared" si="15"/>
        <v>360,7;  96,3%</v>
      </c>
      <c r="AL18" s="230" t="str">
        <f t="shared" si="16"/>
        <v>368,7;  98,5%</v>
      </c>
      <c r="AM18" s="230" t="str">
        <f t="shared" si="17"/>
        <v>374,4</v>
      </c>
      <c r="AN18" s="230" t="str">
        <f t="shared" si="18"/>
        <v xml:space="preserve">0,0 </v>
      </c>
    </row>
    <row r="19" spans="1:44" ht="18.75" x14ac:dyDescent="0.3">
      <c r="A19" t="s">
        <v>413</v>
      </c>
      <c r="B19">
        <f t="shared" si="12"/>
        <v>12</v>
      </c>
      <c r="C19">
        <f t="shared" si="5"/>
        <v>12</v>
      </c>
      <c r="D19" s="96"/>
      <c r="E19" s="61" t="str">
        <f t="shared" si="19"/>
        <v>TM</v>
      </c>
      <c r="F19" s="94">
        <f>SUMIFS('Statusa tabula'!Q:Q,'Statusa tabula'!P:P,A19)</f>
        <v>6704058</v>
      </c>
      <c r="G19" s="94">
        <f>SUMIFS('Statusa tabula'!R:R,'Statusa tabula'!P:P,A19)</f>
        <v>0</v>
      </c>
      <c r="H19" s="94">
        <f t="shared" si="4"/>
        <v>6704058</v>
      </c>
      <c r="I19" s="94">
        <f>SUMIFS('Statusa tabula'!S:S,'Statusa tabula'!P:P,A19)</f>
        <v>7887128</v>
      </c>
      <c r="J19" s="94">
        <f>SUMIFS('Statusa tabula'!X:X,'Statusa tabula'!P:P,A19)</f>
        <v>6704058</v>
      </c>
      <c r="K19" s="100">
        <f t="shared" si="1"/>
        <v>1</v>
      </c>
      <c r="L19" s="94">
        <f>SUMIFS('Statusa tabula'!AL:AL,'Statusa tabula'!P:P,A19)</f>
        <v>6704058</v>
      </c>
      <c r="M19" s="100">
        <f t="shared" si="2"/>
        <v>1</v>
      </c>
      <c r="N19" s="94">
        <f>SUMIFS('Statusa tabula'!AZ:AZ,'Statusa tabula'!P:P,A19)</f>
        <v>1926324.63</v>
      </c>
      <c r="O19" s="95">
        <f t="shared" si="3"/>
        <v>0.28733710686870545</v>
      </c>
      <c r="P19" s="112"/>
      <c r="Q19" s="112"/>
      <c r="R19" s="112"/>
      <c r="S19" s="112"/>
      <c r="T19" s="112"/>
      <c r="U19" s="112"/>
      <c r="V19" s="112"/>
      <c r="W19" s="112"/>
      <c r="Z19" s="230">
        <v>4</v>
      </c>
      <c r="AA19" s="230" t="str">
        <f t="shared" si="6"/>
        <v>IZM</v>
      </c>
      <c r="AB19" s="230">
        <f t="shared" si="7"/>
        <v>117064478.83000003</v>
      </c>
      <c r="AC19" s="230">
        <f t="shared" si="8"/>
        <v>587262344.79999995</v>
      </c>
      <c r="AD19" s="230">
        <f t="shared" si="9"/>
        <v>656924341.40999997</v>
      </c>
      <c r="AE19" s="230">
        <f t="shared" si="10"/>
        <v>653923371</v>
      </c>
      <c r="AH19" s="233">
        <f t="shared" si="11"/>
        <v>0</v>
      </c>
      <c r="AI19" s="230">
        <f t="shared" si="13"/>
        <v>653923371</v>
      </c>
      <c r="AJ19" s="230" t="str">
        <f t="shared" si="14"/>
        <v>117,1;  17,9%</v>
      </c>
      <c r="AK19" s="230" t="str">
        <f t="shared" si="15"/>
        <v>587,3;  89,8%</v>
      </c>
      <c r="AL19" s="230" t="str">
        <f t="shared" si="16"/>
        <v>656,9;  100,5%</v>
      </c>
      <c r="AM19" s="230" t="str">
        <f t="shared" si="17"/>
        <v>653,9</v>
      </c>
      <c r="AN19" s="230" t="str">
        <f t="shared" si="18"/>
        <v xml:space="preserve">0,0 </v>
      </c>
    </row>
    <row r="20" spans="1:44" ht="18.75" x14ac:dyDescent="0.3">
      <c r="A20" t="s">
        <v>414</v>
      </c>
      <c r="B20">
        <f t="shared" si="12"/>
        <v>1</v>
      </c>
      <c r="C20">
        <f t="shared" si="5"/>
        <v>1</v>
      </c>
      <c r="D20" s="96"/>
      <c r="E20" s="61" t="str">
        <f t="shared" si="19"/>
        <v>VARAM</v>
      </c>
      <c r="F20" s="94">
        <f>SUMIFS('Statusa tabula'!Q:Q,'Statusa tabula'!P:P,A20)</f>
        <v>891578557</v>
      </c>
      <c r="G20" s="94">
        <f>SUMIFS('Statusa tabula'!R:R,'Statusa tabula'!P:P,A20)</f>
        <v>0</v>
      </c>
      <c r="H20" s="94">
        <f t="shared" si="4"/>
        <v>891578557</v>
      </c>
      <c r="I20" s="94">
        <f>SUMIFS('Statusa tabula'!S:S,'Statusa tabula'!P:P,A20)</f>
        <v>1040092445</v>
      </c>
      <c r="J20" s="94">
        <f>SUMIFS('Statusa tabula'!X:X,'Statusa tabula'!P:P,A20)</f>
        <v>751872890.6099999</v>
      </c>
      <c r="K20" s="100">
        <f t="shared" si="1"/>
        <v>0.8433052642494181</v>
      </c>
      <c r="L20" s="94">
        <f>SUMIFS('Statusa tabula'!AL:AL,'Statusa tabula'!P:P,A20)</f>
        <v>568873875.25</v>
      </c>
      <c r="M20" s="100">
        <f t="shared" si="2"/>
        <v>0.63805244168742381</v>
      </c>
      <c r="N20" s="94">
        <f>SUMIFS('Statusa tabula'!AZ:AZ,'Statusa tabula'!P:P,A20)</f>
        <v>179357103.91999993</v>
      </c>
      <c r="O20" s="95">
        <f t="shared" si="3"/>
        <v>0.20116803226347663</v>
      </c>
      <c r="P20" s="112"/>
      <c r="Q20" s="112"/>
      <c r="R20" s="112"/>
      <c r="S20" s="112"/>
      <c r="T20" s="112"/>
      <c r="U20" s="112"/>
      <c r="V20" s="112"/>
      <c r="W20" s="112"/>
      <c r="Z20" s="230">
        <v>3</v>
      </c>
      <c r="AA20" s="230" t="str">
        <f t="shared" si="6"/>
        <v>EM</v>
      </c>
      <c r="AB20" s="230">
        <f t="shared" si="7"/>
        <v>247905348.58000001</v>
      </c>
      <c r="AC20" s="230">
        <f t="shared" si="8"/>
        <v>721631114.58999991</v>
      </c>
      <c r="AD20" s="230">
        <f t="shared" si="9"/>
        <v>750195410.46000004</v>
      </c>
      <c r="AE20" s="230">
        <f t="shared" si="10"/>
        <v>820600037</v>
      </c>
      <c r="AH20" s="233">
        <f t="shared" si="11"/>
        <v>0</v>
      </c>
      <c r="AI20" s="230">
        <f t="shared" si="13"/>
        <v>820600037</v>
      </c>
      <c r="AJ20" s="230" t="str">
        <f t="shared" si="14"/>
        <v>247,9;  30,2%</v>
      </c>
      <c r="AK20" s="230" t="str">
        <f t="shared" si="15"/>
        <v>721,6;  87,9%</v>
      </c>
      <c r="AL20" s="230" t="str">
        <f t="shared" si="16"/>
        <v>750,2;  91,4%</v>
      </c>
      <c r="AM20" s="230" t="str">
        <f t="shared" si="17"/>
        <v>820,6</v>
      </c>
      <c r="AN20" s="230" t="str">
        <f t="shared" si="18"/>
        <v xml:space="preserve">0,0 </v>
      </c>
    </row>
    <row r="21" spans="1:44" ht="18.75" x14ac:dyDescent="0.3">
      <c r="A21" t="s">
        <v>415</v>
      </c>
      <c r="B21">
        <f t="shared" si="12"/>
        <v>11</v>
      </c>
      <c r="C21">
        <f t="shared" si="5"/>
        <v>11</v>
      </c>
      <c r="D21" s="96"/>
      <c r="E21" s="61" t="str">
        <f t="shared" si="19"/>
        <v>VK</v>
      </c>
      <c r="F21" s="94">
        <f>SUMIFS('Statusa tabula'!Q:Q,'Statusa tabula'!P:P,A21)</f>
        <v>58816425</v>
      </c>
      <c r="G21" s="94">
        <f>SUMIFS('Statusa tabula'!R:R,'Statusa tabula'!P:P,A21)</f>
        <v>0</v>
      </c>
      <c r="H21" s="94">
        <f t="shared" si="4"/>
        <v>58816425</v>
      </c>
      <c r="I21" s="94">
        <f>SUMIFS('Statusa tabula'!S:S,'Statusa tabula'!P:P,A21)</f>
        <v>69195799</v>
      </c>
      <c r="J21" s="94">
        <f>SUMIFS('Statusa tabula'!X:X,'Statusa tabula'!P:P,A21)</f>
        <v>57145163</v>
      </c>
      <c r="K21" s="100">
        <f t="shared" si="1"/>
        <v>0.97158511419216653</v>
      </c>
      <c r="L21" s="94">
        <f>SUMIFS('Statusa tabula'!AL:AL,'Statusa tabula'!P:P,A21)</f>
        <v>37365903</v>
      </c>
      <c r="M21" s="100">
        <f t="shared" si="2"/>
        <v>0.63529707900471677</v>
      </c>
      <c r="N21" s="94">
        <f>SUMIFS('Statusa tabula'!AZ:AZ,'Statusa tabula'!P:P,A21)</f>
        <v>7361916.9399999995</v>
      </c>
      <c r="O21" s="95">
        <f t="shared" si="3"/>
        <v>0.12516770510958461</v>
      </c>
      <c r="P21" s="112"/>
      <c r="Q21" s="112"/>
      <c r="R21" s="112"/>
      <c r="S21" s="112"/>
      <c r="T21" s="112"/>
      <c r="U21" s="112"/>
      <c r="V21" s="112"/>
      <c r="W21" s="112"/>
      <c r="Z21" s="230">
        <v>2</v>
      </c>
      <c r="AA21" s="230" t="str">
        <f t="shared" si="6"/>
        <v>SM</v>
      </c>
      <c r="AB21" s="230">
        <f t="shared" si="7"/>
        <v>160744218.44</v>
      </c>
      <c r="AC21" s="230">
        <f t="shared" si="8"/>
        <v>497646094.66999996</v>
      </c>
      <c r="AD21" s="230">
        <f t="shared" si="9"/>
        <v>825639901.35000002</v>
      </c>
      <c r="AE21" s="230">
        <f t="shared" si="10"/>
        <v>841370826</v>
      </c>
      <c r="AH21" s="233">
        <f t="shared" si="11"/>
        <v>0</v>
      </c>
      <c r="AI21" s="230">
        <f t="shared" si="13"/>
        <v>841370826</v>
      </c>
      <c r="AJ21" s="230" t="str">
        <f t="shared" si="14"/>
        <v>160,7;  19,1%</v>
      </c>
      <c r="AK21" s="230" t="str">
        <f t="shared" si="15"/>
        <v>497,6;  59,1%</v>
      </c>
      <c r="AL21" s="230" t="str">
        <f t="shared" si="16"/>
        <v>825,6;  98,1%</v>
      </c>
      <c r="AM21" s="230" t="str">
        <f t="shared" si="17"/>
        <v>841,4</v>
      </c>
      <c r="AN21" s="230" t="str">
        <f t="shared" si="18"/>
        <v xml:space="preserve">0,0 </v>
      </c>
    </row>
    <row r="22" spans="1:44" ht="18.75" x14ac:dyDescent="0.3">
      <c r="A22" t="s">
        <v>416</v>
      </c>
      <c r="B22">
        <f t="shared" si="12"/>
        <v>5</v>
      </c>
      <c r="C22">
        <f t="shared" si="5"/>
        <v>5</v>
      </c>
      <c r="D22" s="96"/>
      <c r="E22" s="61" t="str">
        <f t="shared" si="19"/>
        <v>VM</v>
      </c>
      <c r="F22" s="94">
        <f>SUMIFS('Statusa tabula'!Q:Q,'Statusa tabula'!P:P,A22)</f>
        <v>374395678</v>
      </c>
      <c r="G22" s="94">
        <f>SUMIFS('Statusa tabula'!R:R,'Statusa tabula'!P:P,A22)</f>
        <v>0</v>
      </c>
      <c r="H22" s="94">
        <f t="shared" si="4"/>
        <v>374395678</v>
      </c>
      <c r="I22" s="94">
        <f>SUMIFS('Statusa tabula'!S:S,'Statusa tabula'!P:P,A22)</f>
        <v>440465509</v>
      </c>
      <c r="J22" s="94">
        <f>SUMIFS('Statusa tabula'!X:X,'Statusa tabula'!P:P,A22)</f>
        <v>368736954.37000006</v>
      </c>
      <c r="K22" s="100">
        <f t="shared" si="1"/>
        <v>0.98488571326402985</v>
      </c>
      <c r="L22" s="94">
        <f>SUMIFS('Statusa tabula'!AL:AL,'Statusa tabula'!P:P,A22)</f>
        <v>360650079.5800001</v>
      </c>
      <c r="M22" s="100">
        <f t="shared" si="2"/>
        <v>0.96328590518611734</v>
      </c>
      <c r="N22" s="94">
        <f>SUMIFS('Statusa tabula'!AZ:AZ,'Statusa tabula'!P:P,A22)</f>
        <v>89587682.909999996</v>
      </c>
      <c r="O22" s="95">
        <f t="shared" si="3"/>
        <v>0.23928610337750747</v>
      </c>
      <c r="P22" s="112"/>
      <c r="Q22" s="112"/>
      <c r="R22" s="112"/>
      <c r="S22" s="112"/>
      <c r="T22" s="112"/>
      <c r="U22" s="112"/>
      <c r="V22" s="112"/>
      <c r="W22" s="112"/>
      <c r="Z22" s="230">
        <v>1</v>
      </c>
      <c r="AA22" s="230" t="str">
        <f t="shared" si="6"/>
        <v>VARAM</v>
      </c>
      <c r="AB22" s="230">
        <f t="shared" si="7"/>
        <v>179357103.91999993</v>
      </c>
      <c r="AC22" s="230">
        <f t="shared" si="8"/>
        <v>568873875.25</v>
      </c>
      <c r="AD22" s="230">
        <f t="shared" si="9"/>
        <v>751872890.6099999</v>
      </c>
      <c r="AE22" s="230">
        <f t="shared" si="10"/>
        <v>891578557</v>
      </c>
      <c r="AH22" s="233">
        <f t="shared" si="11"/>
        <v>0</v>
      </c>
      <c r="AI22" s="230">
        <f t="shared" si="13"/>
        <v>891578557</v>
      </c>
      <c r="AJ22" s="230" t="str">
        <f t="shared" si="14"/>
        <v>179,4;  20,1%</v>
      </c>
      <c r="AK22" s="230" t="str">
        <f t="shared" si="15"/>
        <v>568,9;  63,8%</v>
      </c>
      <c r="AL22" s="230" t="str">
        <f t="shared" si="16"/>
        <v>751,9;  84,3%</v>
      </c>
      <c r="AM22" s="230" t="str">
        <f t="shared" si="17"/>
        <v>891,6</v>
      </c>
      <c r="AN22" s="230" t="str">
        <f t="shared" si="18"/>
        <v xml:space="preserve">0,0 </v>
      </c>
    </row>
    <row r="23" spans="1:44" ht="20.25" x14ac:dyDescent="0.3">
      <c r="D23" s="96"/>
      <c r="E23" s="97" t="s">
        <v>38</v>
      </c>
      <c r="F23" s="93">
        <f>SUM(F24:F35)</f>
        <v>651907354.79999995</v>
      </c>
      <c r="G23" s="93">
        <f>SUM(G24:G35)</f>
        <v>0</v>
      </c>
      <c r="H23" s="93">
        <f t="shared" si="4"/>
        <v>651907354.79999995</v>
      </c>
      <c r="I23" s="93">
        <f t="shared" ref="I23:N23" si="20">SUM(I24:I35)</f>
        <v>762525138.79999995</v>
      </c>
      <c r="J23" s="93">
        <f t="shared" si="20"/>
        <v>625353289.18999994</v>
      </c>
      <c r="K23" s="99">
        <f t="shared" si="1"/>
        <v>0.95926711761344274</v>
      </c>
      <c r="L23" s="93">
        <f t="shared" si="20"/>
        <v>590232985.1099999</v>
      </c>
      <c r="M23" s="99">
        <f t="shared" si="2"/>
        <v>0.90539396551382478</v>
      </c>
      <c r="N23" s="93">
        <f t="shared" si="20"/>
        <v>114705085.78879999</v>
      </c>
      <c r="O23" s="99">
        <f t="shared" si="3"/>
        <v>0.175953047536932</v>
      </c>
      <c r="P23" s="112"/>
      <c r="Q23" s="112"/>
      <c r="R23" s="112"/>
      <c r="S23" s="112"/>
      <c r="T23" s="112"/>
      <c r="U23" s="112"/>
      <c r="V23" s="112"/>
      <c r="W23" s="112"/>
      <c r="AH23" s="233"/>
    </row>
    <row r="24" spans="1:44" ht="18.75" x14ac:dyDescent="0.3">
      <c r="A24" t="s">
        <v>406</v>
      </c>
      <c r="C24" s="20" t="s">
        <v>38</v>
      </c>
      <c r="D24" s="96"/>
      <c r="E24" s="98" t="str">
        <f t="shared" ref="E24:E35" si="21">A24</f>
        <v>EM</v>
      </c>
      <c r="F24" s="94">
        <f>SUMIFS('Statusa tabula'!Q:Q,'Statusa tabula'!O:O,C24,'Statusa tabula'!P:P,A24)</f>
        <v>10363449</v>
      </c>
      <c r="G24" s="94">
        <f>SUMIFS('Statusa tabula'!R:R,'Statusa tabula'!O:O,C24,'Statusa tabula'!P:P,A24)</f>
        <v>0</v>
      </c>
      <c r="H24" s="94">
        <f t="shared" si="4"/>
        <v>10363449</v>
      </c>
      <c r="I24" s="94">
        <f>SUMIFS('Statusa tabula'!S:S,'Statusa tabula'!O:O,C24,'Statusa tabula'!P:P,A24)</f>
        <v>12192295</v>
      </c>
      <c r="J24" s="94">
        <f>SUMIFS('Statusa tabula'!X:X,'Statusa tabula'!O:O,C24,'Statusa tabula'!P:P,A24)</f>
        <v>10363448.460000001</v>
      </c>
      <c r="K24" s="100">
        <f t="shared" si="1"/>
        <v>0.99999994789379487</v>
      </c>
      <c r="L24" s="94">
        <f>SUMIFS('Statusa tabula'!AL:AL,'Statusa tabula'!O:O,C24,'Statusa tabula'!P:P,A24)</f>
        <v>10363448.460000001</v>
      </c>
      <c r="M24" s="100">
        <f t="shared" si="2"/>
        <v>0.99999994789379487</v>
      </c>
      <c r="N24" s="94">
        <f>SUMIFS('Statusa tabula'!AZ:AZ,'Statusa tabula'!O:O,C24,'Statusa tabula'!P:P,A24)</f>
        <v>3139458.32</v>
      </c>
      <c r="O24" s="95">
        <f t="shared" si="3"/>
        <v>0.30293566552988294</v>
      </c>
      <c r="P24" s="112"/>
      <c r="Q24" s="112"/>
      <c r="R24" s="112"/>
      <c r="S24" s="112"/>
      <c r="T24" s="112"/>
      <c r="U24" s="112"/>
      <c r="V24" s="112"/>
      <c r="W24" s="112"/>
      <c r="AH24" s="233"/>
    </row>
    <row r="25" spans="1:44" ht="18.75" x14ac:dyDescent="0.3">
      <c r="A25" t="s">
        <v>321</v>
      </c>
      <c r="C25" s="20" t="s">
        <v>38</v>
      </c>
      <c r="D25" s="96"/>
      <c r="E25" s="98" t="str">
        <f t="shared" si="21"/>
        <v>FM</v>
      </c>
      <c r="F25" s="94">
        <f>SUMIFS('Statusa tabula'!Q:Q,'Statusa tabula'!O:O,C25,'Statusa tabula'!P:P,A25)</f>
        <v>26717207.800000001</v>
      </c>
      <c r="G25" s="94">
        <f>SUMIFS('Statusa tabula'!R:R,'Statusa tabula'!O:O,C25,'Statusa tabula'!P:P,A25)</f>
        <v>0</v>
      </c>
      <c r="H25" s="94">
        <f t="shared" si="4"/>
        <v>26717207.800000001</v>
      </c>
      <c r="I25" s="94">
        <f>SUMIFS('Statusa tabula'!S:S,'Statusa tabula'!O:O,C25,'Statusa tabula'!P:P,A25)</f>
        <v>27007298.800000001</v>
      </c>
      <c r="J25" s="94">
        <f>SUMIFS('Statusa tabula'!X:X,'Statusa tabula'!O:O,C25,'Statusa tabula'!P:P,A25)</f>
        <v>26717207.800000001</v>
      </c>
      <c r="K25" s="100">
        <f t="shared" si="1"/>
        <v>1</v>
      </c>
      <c r="L25" s="94">
        <f>SUMIFS('Statusa tabula'!AL:AL,'Statusa tabula'!O:O,C25,'Statusa tabula'!P:P,A25)</f>
        <v>26717207.800000001</v>
      </c>
      <c r="M25" s="100">
        <f t="shared" si="2"/>
        <v>1</v>
      </c>
      <c r="N25" s="94">
        <f>SUMIFS('Statusa tabula'!AZ:AZ,'Statusa tabula'!O:O,C25,'Statusa tabula'!P:P,A25)</f>
        <v>5042366.9188000001</v>
      </c>
      <c r="O25" s="95">
        <f t="shared" si="3"/>
        <v>0.18873105889456007</v>
      </c>
      <c r="P25" s="112"/>
      <c r="Q25" s="112"/>
      <c r="R25" s="112"/>
      <c r="S25" s="112"/>
      <c r="T25" s="112"/>
      <c r="U25" s="112"/>
      <c r="V25" s="112"/>
      <c r="W25" s="112"/>
    </row>
    <row r="26" spans="1:44" s="114" customFormat="1" ht="18.75" hidden="1" x14ac:dyDescent="0.3">
      <c r="A26" t="s">
        <v>407</v>
      </c>
      <c r="B26"/>
      <c r="C26" s="20" t="s">
        <v>38</v>
      </c>
      <c r="D26" s="96"/>
      <c r="E26" s="98" t="str">
        <f t="shared" si="21"/>
        <v>IeM</v>
      </c>
      <c r="F26" s="94">
        <f>SUMIFS('Statusa tabula'!Q:Q,'Statusa tabula'!O:O,C26,'Statusa tabula'!P:P,A26)</f>
        <v>0</v>
      </c>
      <c r="G26" s="94">
        <f>SUMIFS('Statusa tabula'!R:R,'Statusa tabula'!O:O,C26,'Statusa tabula'!P:P,A26)</f>
        <v>0</v>
      </c>
      <c r="H26" s="94"/>
      <c r="I26" s="94">
        <f>SUMIFS('Statusa tabula'!S:S,'Statusa tabula'!O:O,C26,'Statusa tabula'!P:P,A26)</f>
        <v>0</v>
      </c>
      <c r="J26" s="94">
        <f>SUMIFS('Statusa tabula'!X:X,'Statusa tabula'!O:O,C26,'Statusa tabula'!P:P,A26)</f>
        <v>0</v>
      </c>
      <c r="K26" s="100" t="e">
        <f t="shared" si="1"/>
        <v>#DIV/0!</v>
      </c>
      <c r="L26" s="94">
        <f>SUMIFS('Statusa tabula'!AL:AL,'Statusa tabula'!O:O,C26,'Statusa tabula'!P:P,A26)</f>
        <v>0</v>
      </c>
      <c r="M26" s="100" t="e">
        <f t="shared" si="2"/>
        <v>#DIV/0!</v>
      </c>
      <c r="N26" s="94">
        <f>SUMIFS('Statusa tabula'!AZ:AZ,'Statusa tabula'!O:O,C26,'Statusa tabula'!P:P,A26)</f>
        <v>0</v>
      </c>
      <c r="O26" s="95" t="e">
        <f t="shared" si="3"/>
        <v>#DIV/0!</v>
      </c>
      <c r="P26" s="112"/>
      <c r="Q26" s="112"/>
      <c r="R26" s="112"/>
      <c r="S26" s="112"/>
      <c r="T26" s="112"/>
      <c r="U26" s="112"/>
      <c r="V26" s="112"/>
      <c r="W26" s="112"/>
      <c r="X26" s="112"/>
      <c r="Y26" s="112"/>
      <c r="Z26" s="116"/>
      <c r="AA26" s="116"/>
      <c r="AB26" s="117"/>
      <c r="AC26" s="117"/>
      <c r="AD26" s="117"/>
      <c r="AE26" s="117"/>
      <c r="AF26" s="117"/>
      <c r="AG26" s="117"/>
      <c r="AH26" s="117"/>
      <c r="AI26" s="117"/>
      <c r="AJ26" s="117"/>
      <c r="AK26" s="117"/>
      <c r="AL26" s="117"/>
      <c r="AM26" s="117"/>
      <c r="AN26" s="117"/>
      <c r="AO26" s="118"/>
      <c r="AP26" s="115"/>
      <c r="AQ26" s="115"/>
      <c r="AR26" s="115"/>
    </row>
    <row r="27" spans="1:44" ht="18.75" x14ac:dyDescent="0.3">
      <c r="A27" t="s">
        <v>408</v>
      </c>
      <c r="C27" s="20" t="s">
        <v>38</v>
      </c>
      <c r="D27" s="96"/>
      <c r="E27" s="98" t="str">
        <f t="shared" si="21"/>
        <v>IZM</v>
      </c>
      <c r="F27" s="94">
        <f>SUMIFS('Statusa tabula'!Q:Q,'Statusa tabula'!O:O,C27,'Statusa tabula'!P:P,A27)</f>
        <v>218947399</v>
      </c>
      <c r="G27" s="94">
        <f>SUMIFS('Statusa tabula'!R:R,'Statusa tabula'!O:O,C27,'Statusa tabula'!P:P,A27)</f>
        <v>0</v>
      </c>
      <c r="H27" s="94">
        <f>F27+G27</f>
        <v>218947399</v>
      </c>
      <c r="I27" s="94">
        <f>SUMIFS('Statusa tabula'!S:S,'Statusa tabula'!O:O,C27,'Statusa tabula'!P:P,A27)</f>
        <v>257585179</v>
      </c>
      <c r="J27" s="94">
        <f>SUMIFS('Statusa tabula'!X:X,'Statusa tabula'!O:O,C27,'Statusa tabula'!P:P,A27)</f>
        <v>210349200.63999999</v>
      </c>
      <c r="K27" s="100">
        <f t="shared" si="1"/>
        <v>0.96072938797505414</v>
      </c>
      <c r="L27" s="94">
        <f>SUMIFS('Statusa tabula'!AL:AL,'Statusa tabula'!O:O,C27,'Statusa tabula'!P:P,A27)</f>
        <v>210349200.63999999</v>
      </c>
      <c r="M27" s="100">
        <f t="shared" si="2"/>
        <v>0.96072938797505414</v>
      </c>
      <c r="N27" s="94">
        <f>SUMIFS('Statusa tabula'!AZ:AZ,'Statusa tabula'!O:O,C27,'Statusa tabula'!P:P,A27)</f>
        <v>27841612.789999999</v>
      </c>
      <c r="O27" s="95">
        <f t="shared" si="3"/>
        <v>0.12716119450224664</v>
      </c>
      <c r="P27" s="112"/>
      <c r="Q27" s="112"/>
      <c r="R27" s="112"/>
      <c r="S27" s="112"/>
      <c r="T27" s="112"/>
      <c r="U27" s="112"/>
      <c r="V27" s="112"/>
      <c r="W27" s="112"/>
    </row>
    <row r="28" spans="1:44" s="114" customFormat="1" ht="18.75" hidden="1" x14ac:dyDescent="0.3">
      <c r="A28" t="s">
        <v>409</v>
      </c>
      <c r="B28"/>
      <c r="C28" s="20" t="s">
        <v>38</v>
      </c>
      <c r="D28" s="96"/>
      <c r="E28" s="98" t="str">
        <f t="shared" si="21"/>
        <v>KEM</v>
      </c>
      <c r="F28" s="94">
        <f>SUMIFS('Statusa tabula'!Q:Q,'Statusa tabula'!O:O,C28,'Statusa tabula'!P:P,A28)</f>
        <v>0</v>
      </c>
      <c r="G28" s="94">
        <f>SUMIFS('Statusa tabula'!R:R,'Statusa tabula'!O:O,C28,'Statusa tabula'!P:P,A28)</f>
        <v>0</v>
      </c>
      <c r="H28" s="94"/>
      <c r="I28" s="94">
        <f>SUMIFS('Statusa tabula'!S:S,'Statusa tabula'!O:O,C28,'Statusa tabula'!P:P,A28)</f>
        <v>0</v>
      </c>
      <c r="J28" s="94">
        <f>SUMIFS('Statusa tabula'!X:X,'Statusa tabula'!O:O,C28,'Statusa tabula'!P:P,A28)</f>
        <v>0</v>
      </c>
      <c r="K28" s="100" t="e">
        <f t="shared" si="1"/>
        <v>#DIV/0!</v>
      </c>
      <c r="L28" s="94">
        <f>SUMIFS('Statusa tabula'!AL:AL,'Statusa tabula'!O:O,C28,'Statusa tabula'!P:P,A28)</f>
        <v>0</v>
      </c>
      <c r="M28" s="100" t="e">
        <f t="shared" si="2"/>
        <v>#DIV/0!</v>
      </c>
      <c r="N28" s="94">
        <f>SUMIFS('Statusa tabula'!AZ:AZ,'Statusa tabula'!O:O,C28,'Statusa tabula'!P:P,A28)</f>
        <v>0</v>
      </c>
      <c r="O28" s="95" t="e">
        <f t="shared" si="3"/>
        <v>#DIV/0!</v>
      </c>
      <c r="P28" s="112"/>
      <c r="Q28" s="112"/>
      <c r="R28" s="112"/>
      <c r="S28" s="112"/>
      <c r="T28" s="112"/>
      <c r="U28" s="112"/>
      <c r="V28" s="112"/>
      <c r="W28" s="112"/>
      <c r="X28" s="112"/>
      <c r="Y28" s="112"/>
      <c r="Z28" s="116"/>
      <c r="AA28" s="116"/>
      <c r="AB28" s="117"/>
      <c r="AC28" s="117"/>
      <c r="AD28" s="117"/>
      <c r="AE28" s="117"/>
      <c r="AF28" s="117"/>
      <c r="AG28" s="117"/>
      <c r="AH28" s="117"/>
      <c r="AI28" s="117"/>
      <c r="AJ28" s="117"/>
      <c r="AK28" s="117"/>
      <c r="AL28" s="117"/>
      <c r="AM28" s="117"/>
      <c r="AN28" s="117"/>
      <c r="AO28" s="118"/>
      <c r="AP28" s="115"/>
      <c r="AQ28" s="115"/>
      <c r="AR28" s="115"/>
    </row>
    <row r="29" spans="1:44" ht="18.75" x14ac:dyDescent="0.3">
      <c r="A29" t="s">
        <v>410</v>
      </c>
      <c r="C29" s="20" t="s">
        <v>38</v>
      </c>
      <c r="D29" s="96"/>
      <c r="E29" s="98" t="str">
        <f t="shared" si="21"/>
        <v>KM</v>
      </c>
      <c r="F29" s="94">
        <f>SUMIFS('Statusa tabula'!Q:Q,'Statusa tabula'!O:O,C29,'Statusa tabula'!P:P,A29)</f>
        <v>7429225</v>
      </c>
      <c r="G29" s="94">
        <f>SUMIFS('Statusa tabula'!R:R,'Statusa tabula'!O:O,C29,'Statusa tabula'!P:P,A29)</f>
        <v>0</v>
      </c>
      <c r="H29" s="94">
        <f t="shared" ref="H29:H30" si="22">F29+G29</f>
        <v>7429225</v>
      </c>
      <c r="I29" s="94">
        <f>SUMIFS('Statusa tabula'!S:S,'Statusa tabula'!O:O,C29,'Statusa tabula'!P:P,A29)</f>
        <v>8740266</v>
      </c>
      <c r="J29" s="94">
        <f>SUMIFS('Statusa tabula'!X:X,'Statusa tabula'!O:O,C29,'Statusa tabula'!P:P,A29)</f>
        <v>6613724</v>
      </c>
      <c r="K29" s="100">
        <f t="shared" si="1"/>
        <v>0.89023067682026058</v>
      </c>
      <c r="L29" s="94">
        <f>SUMIFS('Statusa tabula'!AL:AL,'Statusa tabula'!O:O,C29,'Statusa tabula'!P:P,A29)</f>
        <v>6613724</v>
      </c>
      <c r="M29" s="100">
        <f t="shared" si="2"/>
        <v>0.89023067682026058</v>
      </c>
      <c r="N29" s="94">
        <f>SUMIFS('Statusa tabula'!AZ:AZ,'Statusa tabula'!O:O,C29,'Statusa tabula'!P:P,A29)</f>
        <v>1383048.23</v>
      </c>
      <c r="O29" s="95">
        <f t="shared" si="3"/>
        <v>0.18616319064236175</v>
      </c>
      <c r="P29" s="112"/>
      <c r="Q29" s="112"/>
      <c r="R29" s="112"/>
      <c r="S29" s="112"/>
      <c r="T29" s="112"/>
      <c r="U29" s="112"/>
      <c r="V29" s="112"/>
      <c r="W29" s="112"/>
    </row>
    <row r="30" spans="1:44" ht="18.75" x14ac:dyDescent="0.3">
      <c r="A30" t="s">
        <v>411</v>
      </c>
      <c r="C30" s="20" t="s">
        <v>38</v>
      </c>
      <c r="D30" s="96"/>
      <c r="E30" s="98" t="str">
        <f t="shared" si="21"/>
        <v>LM</v>
      </c>
      <c r="F30" s="94">
        <f>SUMIFS('Statusa tabula'!Q:Q,'Statusa tabula'!O:O,C30,'Statusa tabula'!P:P,A30)</f>
        <v>262904493</v>
      </c>
      <c r="G30" s="94">
        <f>SUMIFS('Statusa tabula'!R:R,'Statusa tabula'!O:O,C30,'Statusa tabula'!P:P,A30)</f>
        <v>0</v>
      </c>
      <c r="H30" s="94">
        <f t="shared" si="22"/>
        <v>262904493</v>
      </c>
      <c r="I30" s="94">
        <f>SUMIFS('Statusa tabula'!S:S,'Statusa tabula'!O:O,C30,'Statusa tabula'!P:P,A30)</f>
        <v>309299410</v>
      </c>
      <c r="J30" s="94">
        <f>SUMIFS('Statusa tabula'!X:X,'Statusa tabula'!O:O,C30,'Statusa tabula'!P:P,A30)</f>
        <v>248019610.22999996</v>
      </c>
      <c r="K30" s="100">
        <f t="shared" si="1"/>
        <v>0.94338292738876839</v>
      </c>
      <c r="L30" s="94">
        <f>SUMIFS('Statusa tabula'!AL:AL,'Statusa tabula'!O:O,C30,'Statusa tabula'!P:P,A30)</f>
        <v>228981066.14999995</v>
      </c>
      <c r="M30" s="100">
        <f t="shared" si="2"/>
        <v>0.87096672840049161</v>
      </c>
      <c r="N30" s="94">
        <f>SUMIFS('Statusa tabula'!AZ:AZ,'Statusa tabula'!O:O,C30,'Statusa tabula'!P:P,A30)</f>
        <v>49548766.160000004</v>
      </c>
      <c r="O30" s="95">
        <f t="shared" si="3"/>
        <v>0.18846679109436143</v>
      </c>
      <c r="P30" s="112"/>
      <c r="Q30" s="112"/>
      <c r="R30" s="112"/>
      <c r="S30" s="112"/>
      <c r="T30" s="112"/>
      <c r="U30" s="112"/>
      <c r="V30" s="112"/>
      <c r="W30" s="112"/>
    </row>
    <row r="31" spans="1:44" s="114" customFormat="1" ht="18.75" hidden="1" x14ac:dyDescent="0.3">
      <c r="A31" t="s">
        <v>412</v>
      </c>
      <c r="B31"/>
      <c r="C31" s="20" t="s">
        <v>38</v>
      </c>
      <c r="D31" s="96"/>
      <c r="E31" s="98" t="str">
        <f t="shared" si="21"/>
        <v>SM</v>
      </c>
      <c r="F31" s="94">
        <f>SUMIFS('Statusa tabula'!Q:Q,'Statusa tabula'!O:O,C31,'Statusa tabula'!P:P,A31)</f>
        <v>0</v>
      </c>
      <c r="G31" s="94">
        <f>SUMIFS('Statusa tabula'!R:R,'Statusa tabula'!O:O,C31,'Statusa tabula'!P:P,A31)</f>
        <v>0</v>
      </c>
      <c r="H31" s="94"/>
      <c r="I31" s="94">
        <f>SUMIFS('Statusa tabula'!S:S,'Statusa tabula'!O:O,C31,'Statusa tabula'!P:P,A31)</f>
        <v>0</v>
      </c>
      <c r="J31" s="94">
        <f>SUMIFS('Statusa tabula'!X:X,'Statusa tabula'!O:O,C31,'Statusa tabula'!P:P,A31)</f>
        <v>0</v>
      </c>
      <c r="K31" s="100" t="e">
        <f t="shared" si="1"/>
        <v>#DIV/0!</v>
      </c>
      <c r="L31" s="94">
        <f>SUMIFS('Statusa tabula'!AL:AL,'Statusa tabula'!O:O,C31,'Statusa tabula'!P:P,A31)</f>
        <v>0</v>
      </c>
      <c r="M31" s="100" t="e">
        <f t="shared" si="2"/>
        <v>#DIV/0!</v>
      </c>
      <c r="N31" s="94">
        <f>SUMIFS('Statusa tabula'!AZ:AZ,'Statusa tabula'!O:O,C31,'Statusa tabula'!P:P,A31)</f>
        <v>0</v>
      </c>
      <c r="O31" s="95" t="e">
        <f t="shared" si="3"/>
        <v>#DIV/0!</v>
      </c>
      <c r="P31" s="112"/>
      <c r="Q31" s="112"/>
      <c r="R31" s="112"/>
      <c r="S31" s="112"/>
      <c r="T31" s="112"/>
      <c r="U31" s="112"/>
      <c r="V31" s="112"/>
      <c r="W31" s="112"/>
      <c r="X31" s="112"/>
      <c r="Y31" s="112"/>
      <c r="Z31" s="116"/>
      <c r="AA31" s="116"/>
      <c r="AB31" s="117"/>
      <c r="AC31" s="117"/>
      <c r="AD31" s="117"/>
      <c r="AE31" s="117"/>
      <c r="AF31" s="117"/>
      <c r="AG31" s="117"/>
      <c r="AH31" s="117"/>
      <c r="AI31" s="117"/>
      <c r="AJ31" s="117"/>
      <c r="AK31" s="117"/>
      <c r="AL31" s="117"/>
      <c r="AM31" s="117"/>
      <c r="AN31" s="117"/>
      <c r="AO31" s="118"/>
      <c r="AP31" s="115"/>
      <c r="AQ31" s="115"/>
      <c r="AR31" s="115"/>
    </row>
    <row r="32" spans="1:44" ht="18.75" x14ac:dyDescent="0.3">
      <c r="A32" t="s">
        <v>413</v>
      </c>
      <c r="C32" s="20" t="s">
        <v>38</v>
      </c>
      <c r="D32" s="96"/>
      <c r="E32" s="98" t="str">
        <f t="shared" si="21"/>
        <v>TM</v>
      </c>
      <c r="F32" s="94">
        <f>SUMIFS('Statusa tabula'!Q:Q,'Statusa tabula'!O:O,C32,'Statusa tabula'!P:P,A32)</f>
        <v>6704058</v>
      </c>
      <c r="G32" s="94">
        <f>SUMIFS('Statusa tabula'!R:R,'Statusa tabula'!O:O,C32,'Statusa tabula'!P:P,A32)</f>
        <v>0</v>
      </c>
      <c r="H32" s="94">
        <f t="shared" ref="H32:H44" si="23">F32+G32</f>
        <v>6704058</v>
      </c>
      <c r="I32" s="94">
        <f>SUMIFS('Statusa tabula'!S:S,'Statusa tabula'!O:O,C32,'Statusa tabula'!P:P,A32)</f>
        <v>7887128</v>
      </c>
      <c r="J32" s="94">
        <f>SUMIFS('Statusa tabula'!X:X,'Statusa tabula'!O:O,C32,'Statusa tabula'!P:P,A32)</f>
        <v>6704058</v>
      </c>
      <c r="K32" s="100">
        <f t="shared" si="1"/>
        <v>1</v>
      </c>
      <c r="L32" s="94">
        <f>SUMIFS('Statusa tabula'!AL:AL,'Statusa tabula'!O:O,C32,'Statusa tabula'!P:P,A32)</f>
        <v>6704058</v>
      </c>
      <c r="M32" s="100">
        <f t="shared" si="2"/>
        <v>1</v>
      </c>
      <c r="N32" s="94">
        <f>SUMIFS('Statusa tabula'!AZ:AZ,'Statusa tabula'!O:O,C32,'Statusa tabula'!P:P,A32)</f>
        <v>1926324.63</v>
      </c>
      <c r="O32" s="95">
        <f t="shared" si="3"/>
        <v>0.28733710686870545</v>
      </c>
      <c r="P32" s="112"/>
      <c r="Q32" s="112"/>
      <c r="R32" s="112"/>
      <c r="S32" s="112"/>
      <c r="T32" s="112"/>
      <c r="U32" s="112"/>
      <c r="V32" s="112"/>
      <c r="W32" s="112"/>
    </row>
    <row r="33" spans="1:44" ht="18.75" x14ac:dyDescent="0.3">
      <c r="A33" t="s">
        <v>414</v>
      </c>
      <c r="C33" s="20" t="s">
        <v>38</v>
      </c>
      <c r="D33" s="96"/>
      <c r="E33" s="98" t="str">
        <f t="shared" si="21"/>
        <v>VARAM</v>
      </c>
      <c r="F33" s="94">
        <f>SUMIFS('Statusa tabula'!Q:Q,'Statusa tabula'!O:O,C33,'Statusa tabula'!P:P,A33)</f>
        <v>15026149</v>
      </c>
      <c r="G33" s="94">
        <f>SUMIFS('Statusa tabula'!R:R,'Statusa tabula'!O:O,C33,'Statusa tabula'!P:P,A33)</f>
        <v>0</v>
      </c>
      <c r="H33" s="94">
        <f t="shared" si="23"/>
        <v>15026149</v>
      </c>
      <c r="I33" s="94">
        <f>SUMIFS('Statusa tabula'!S:S,'Statusa tabula'!O:O,C33,'Statusa tabula'!P:P,A33)</f>
        <v>17677823</v>
      </c>
      <c r="J33" s="94">
        <f>SUMIFS('Statusa tabula'!X:X,'Statusa tabula'!O:O,C33,'Statusa tabula'!P:P,A33)</f>
        <v>14444741.4</v>
      </c>
      <c r="K33" s="100">
        <f t="shared" si="1"/>
        <v>0.96130694564522157</v>
      </c>
      <c r="L33" s="94">
        <f>SUMIFS('Statusa tabula'!AL:AL,'Statusa tabula'!O:O,C33,'Statusa tabula'!P:P,A33)</f>
        <v>14444741.4</v>
      </c>
      <c r="M33" s="100">
        <f t="shared" si="2"/>
        <v>0.96130694564522157</v>
      </c>
      <c r="N33" s="94">
        <f>SUMIFS('Statusa tabula'!AZ:AZ,'Statusa tabula'!O:O,C33,'Statusa tabula'!P:P,A33)</f>
        <v>6139362.7899999991</v>
      </c>
      <c r="O33" s="95">
        <f t="shared" si="3"/>
        <v>0.40857859122786544</v>
      </c>
      <c r="P33" s="112"/>
      <c r="Q33" s="112"/>
      <c r="R33" s="112"/>
      <c r="S33" s="112"/>
      <c r="T33" s="112"/>
      <c r="U33" s="112"/>
      <c r="V33" s="112"/>
      <c r="W33" s="112"/>
    </row>
    <row r="34" spans="1:44" ht="30.75" customHeight="1" x14ac:dyDescent="0.3">
      <c r="A34" t="s">
        <v>415</v>
      </c>
      <c r="C34" s="20" t="s">
        <v>38</v>
      </c>
      <c r="D34" s="96"/>
      <c r="E34" s="98" t="str">
        <f t="shared" si="21"/>
        <v>VK</v>
      </c>
      <c r="F34" s="94">
        <f>SUMIFS('Statusa tabula'!Q:Q,'Statusa tabula'!O:O,C34,'Statusa tabula'!P:P,A34)</f>
        <v>54024153</v>
      </c>
      <c r="G34" s="94">
        <f>SUMIFS('Statusa tabula'!R:R,'Statusa tabula'!O:O,C34,'Statusa tabula'!P:P,A34)</f>
        <v>0</v>
      </c>
      <c r="H34" s="94">
        <f t="shared" si="23"/>
        <v>54024153</v>
      </c>
      <c r="I34" s="94">
        <f>SUMIFS('Statusa tabula'!S:S,'Statusa tabula'!O:O,C34,'Statusa tabula'!P:P,A34)</f>
        <v>63557831</v>
      </c>
      <c r="J34" s="94">
        <f>SUMIFS('Statusa tabula'!X:X,'Statusa tabula'!O:O,C34,'Statusa tabula'!P:P,A34)</f>
        <v>52352891</v>
      </c>
      <c r="K34" s="100">
        <f t="shared" si="1"/>
        <v>0.96906454044730694</v>
      </c>
      <c r="L34" s="94">
        <f>SUMIFS('Statusa tabula'!AL:AL,'Statusa tabula'!O:O,C34,'Statusa tabula'!P:P,A34)</f>
        <v>36271131</v>
      </c>
      <c r="M34" s="100">
        <f t="shared" si="2"/>
        <v>0.67138731448506006</v>
      </c>
      <c r="N34" s="94">
        <f>SUMIFS('Statusa tabula'!AZ:AZ,'Statusa tabula'!O:O,C34,'Statusa tabula'!P:P,A34)</f>
        <v>6943451.1400000006</v>
      </c>
      <c r="O34" s="95">
        <f t="shared" si="3"/>
        <v>0.12852494216799662</v>
      </c>
      <c r="P34" s="112"/>
      <c r="Q34" s="112"/>
      <c r="R34" s="112"/>
      <c r="S34" s="112"/>
      <c r="T34" s="112"/>
      <c r="U34" s="112"/>
      <c r="V34" s="112"/>
      <c r="W34" s="112"/>
    </row>
    <row r="35" spans="1:44" ht="20.25" customHeight="1" x14ac:dyDescent="0.3">
      <c r="A35" t="s">
        <v>416</v>
      </c>
      <c r="C35" s="20" t="s">
        <v>38</v>
      </c>
      <c r="D35" s="96"/>
      <c r="E35" s="98" t="str">
        <f t="shared" si="21"/>
        <v>VM</v>
      </c>
      <c r="F35" s="94">
        <f>SUMIFS('Statusa tabula'!Q:Q,'Statusa tabula'!O:O,C35,'Statusa tabula'!P:P,A35)</f>
        <v>49791221</v>
      </c>
      <c r="G35" s="94">
        <f>SUMIFS('Statusa tabula'!R:R,'Statusa tabula'!O:O,C35,'Statusa tabula'!P:P,A35)</f>
        <v>0</v>
      </c>
      <c r="H35" s="94">
        <f t="shared" si="23"/>
        <v>49791221</v>
      </c>
      <c r="I35" s="94">
        <f>SUMIFS('Statusa tabula'!S:S,'Statusa tabula'!O:O,C35,'Statusa tabula'!P:P,A35)</f>
        <v>58577908</v>
      </c>
      <c r="J35" s="94">
        <f>SUMIFS('Statusa tabula'!X:X,'Statusa tabula'!O:O,C35,'Statusa tabula'!P:P,A35)</f>
        <v>49788407.659999996</v>
      </c>
      <c r="K35" s="100">
        <f t="shared" si="1"/>
        <v>0.99994349726832354</v>
      </c>
      <c r="L35" s="94">
        <f>SUMIFS('Statusa tabula'!AL:AL,'Statusa tabula'!O:O,C35,'Statusa tabula'!P:P,A35)</f>
        <v>49788407.659999996</v>
      </c>
      <c r="M35" s="100">
        <f t="shared" si="2"/>
        <v>0.99994349726832354</v>
      </c>
      <c r="N35" s="94">
        <f>SUMIFS('Statusa tabula'!AZ:AZ,'Statusa tabula'!O:O,C35,'Statusa tabula'!P:P,A35)</f>
        <v>12740694.809999997</v>
      </c>
      <c r="O35" s="95">
        <f t="shared" si="3"/>
        <v>0.25588235343736593</v>
      </c>
      <c r="P35" s="112"/>
      <c r="Q35" s="112"/>
      <c r="R35" s="112"/>
      <c r="S35" s="112"/>
      <c r="T35" s="112"/>
      <c r="U35" s="112"/>
      <c r="V35" s="112"/>
      <c r="W35" s="112"/>
    </row>
    <row r="36" spans="1:44" ht="20.25" x14ac:dyDescent="0.3">
      <c r="C36" s="20"/>
      <c r="D36" s="96"/>
      <c r="E36" s="97" t="s">
        <v>39</v>
      </c>
      <c r="F36" s="93">
        <f>SUM(F37:F48)</f>
        <v>2666416953.9250002</v>
      </c>
      <c r="G36" s="93">
        <f>SUM(G37:G48)</f>
        <v>155767728</v>
      </c>
      <c r="H36" s="93">
        <f t="shared" si="23"/>
        <v>2822184681.9250002</v>
      </c>
      <c r="I36" s="93">
        <f t="shared" ref="I36:L36" si="24">SUM(I37:I48)</f>
        <v>3089334341.9250002</v>
      </c>
      <c r="J36" s="93">
        <f t="shared" si="24"/>
        <v>2604768395.6950002</v>
      </c>
      <c r="K36" s="99">
        <f t="shared" si="1"/>
        <v>0.97687962561922193</v>
      </c>
      <c r="L36" s="93">
        <f t="shared" si="24"/>
        <v>2287385969.7249994</v>
      </c>
      <c r="M36" s="99">
        <f t="shared" si="2"/>
        <v>0.85785006968168942</v>
      </c>
      <c r="N36" s="93">
        <f>SUM(N37:N48)</f>
        <v>697619145.30800009</v>
      </c>
      <c r="O36" s="99">
        <f t="shared" si="3"/>
        <v>0.26163167927697717</v>
      </c>
      <c r="P36" s="112"/>
      <c r="Q36" s="112"/>
      <c r="R36" s="112"/>
      <c r="S36" s="112"/>
      <c r="T36" s="112"/>
      <c r="U36" s="112"/>
      <c r="V36" s="112"/>
      <c r="W36" s="112"/>
    </row>
    <row r="37" spans="1:44" ht="18.75" x14ac:dyDescent="0.3">
      <c r="A37" t="s">
        <v>406</v>
      </c>
      <c r="C37" s="20" t="s">
        <v>39</v>
      </c>
      <c r="D37" s="96"/>
      <c r="E37" s="98" t="str">
        <f t="shared" ref="E37:E48" si="25">A37</f>
        <v>EM</v>
      </c>
      <c r="F37" s="94">
        <f>SUMIFS('Statusa tabula'!Q:Q,'Statusa tabula'!O:O,C37,'Statusa tabula'!P:P,A37)</f>
        <v>774937738</v>
      </c>
      <c r="G37" s="94">
        <f>SUMIFS('Statusa tabula'!R:R,'Statusa tabula'!O:O,C37,'Statusa tabula'!P:P,A37)</f>
        <v>0</v>
      </c>
      <c r="H37" s="94">
        <f t="shared" si="23"/>
        <v>774937738</v>
      </c>
      <c r="I37" s="94">
        <f>SUMIFS('Statusa tabula'!S:S,'Statusa tabula'!O:O,C37,'Statusa tabula'!P:P,A37)</f>
        <v>888800427</v>
      </c>
      <c r="J37" s="94">
        <f>SUMIFS('Statusa tabula'!X:X,'Statusa tabula'!O:O,C37,'Statusa tabula'!P:P,A37)</f>
        <v>704533112</v>
      </c>
      <c r="K37" s="100">
        <f t="shared" si="1"/>
        <v>0.90914802241828618</v>
      </c>
      <c r="L37" s="94">
        <f>SUMIFS('Statusa tabula'!AL:AL,'Statusa tabula'!O:O,C37,'Statusa tabula'!P:P,A37)</f>
        <v>675968816.12999988</v>
      </c>
      <c r="M37" s="100">
        <f t="shared" si="2"/>
        <v>0.87228790518651944</v>
      </c>
      <c r="N37" s="94">
        <f>SUMIFS('Statusa tabula'!AZ:AZ,'Statusa tabula'!O:O,C37,'Statusa tabula'!P:P,A37)</f>
        <v>234176235.22000003</v>
      </c>
      <c r="O37" s="95">
        <f t="shared" si="3"/>
        <v>0.30218716128649814</v>
      </c>
      <c r="P37"/>
      <c r="Q37"/>
      <c r="R37"/>
      <c r="S37"/>
      <c r="T37"/>
      <c r="U37"/>
      <c r="V37"/>
      <c r="W37"/>
    </row>
    <row r="38" spans="1:44" ht="18.75" x14ac:dyDescent="0.3">
      <c r="A38" t="s">
        <v>321</v>
      </c>
      <c r="C38" s="20" t="s">
        <v>39</v>
      </c>
      <c r="D38" s="96"/>
      <c r="E38" s="98" t="str">
        <f t="shared" si="25"/>
        <v>FM</v>
      </c>
      <c r="F38" s="94">
        <f>SUMIFS('Statusa tabula'!Q:Q,'Statusa tabula'!O:O,C38,'Statusa tabula'!P:P,A38)</f>
        <v>93169498.925000012</v>
      </c>
      <c r="G38" s="94">
        <f>SUMIFS('Statusa tabula'!R:R,'Statusa tabula'!O:O,C38,'Statusa tabula'!P:P,A38)</f>
        <v>0</v>
      </c>
      <c r="H38" s="94">
        <f t="shared" si="23"/>
        <v>93169498.925000012</v>
      </c>
      <c r="I38" s="94">
        <f>SUMIFS('Statusa tabula'!S:S,'Statusa tabula'!O:O,C38,'Statusa tabula'!P:P,A38)</f>
        <v>93698910.925000012</v>
      </c>
      <c r="J38" s="94">
        <f>SUMIFS('Statusa tabula'!X:X,'Statusa tabula'!O:O,C38,'Statusa tabula'!P:P,A38)</f>
        <v>93169498.925000012</v>
      </c>
      <c r="K38" s="100">
        <f t="shared" si="1"/>
        <v>1</v>
      </c>
      <c r="L38" s="94">
        <f>SUMIFS('Statusa tabula'!AL:AL,'Statusa tabula'!O:O,C38,'Statusa tabula'!P:P,A38)</f>
        <v>93169498.925000012</v>
      </c>
      <c r="M38" s="100">
        <f t="shared" si="2"/>
        <v>1</v>
      </c>
      <c r="N38" s="94">
        <f>SUMIFS('Statusa tabula'!AZ:AZ,'Statusa tabula'!O:O,C38,'Statusa tabula'!P:P,A38)</f>
        <v>24890516.508000009</v>
      </c>
      <c r="O38" s="95">
        <f t="shared" si="3"/>
        <v>0.26715305754769042</v>
      </c>
      <c r="P38" s="112"/>
      <c r="Q38" s="112"/>
      <c r="R38" s="112"/>
      <c r="S38" s="112"/>
      <c r="T38" s="112"/>
      <c r="U38" s="112"/>
      <c r="V38" s="112"/>
      <c r="W38" s="112"/>
    </row>
    <row r="39" spans="1:44" ht="18.75" x14ac:dyDescent="0.3">
      <c r="A39" t="s">
        <v>407</v>
      </c>
      <c r="C39" s="20" t="s">
        <v>39</v>
      </c>
      <c r="D39" s="96"/>
      <c r="E39" s="98" t="str">
        <f t="shared" si="25"/>
        <v>IeM</v>
      </c>
      <c r="F39" s="94">
        <f>SUMIFS('Statusa tabula'!Q:Q,'Statusa tabula'!O:O,C39,'Statusa tabula'!P:P,A39)</f>
        <v>74794476</v>
      </c>
      <c r="G39" s="94">
        <f>SUMIFS('Statusa tabula'!R:R,'Statusa tabula'!O:O,C39,'Statusa tabula'!P:P,A39)</f>
        <v>153241282</v>
      </c>
      <c r="H39" s="94">
        <f t="shared" si="23"/>
        <v>228035758</v>
      </c>
      <c r="I39" s="94">
        <f>SUMIFS('Statusa tabula'!S:S,'Statusa tabula'!O:O,C39,'Statusa tabula'!P:P,A39)</f>
        <v>87993502</v>
      </c>
      <c r="J39" s="94">
        <f>SUMIFS('Statusa tabula'!X:X,'Statusa tabula'!O:O,C39,'Statusa tabula'!P:P,A39)</f>
        <v>228035758</v>
      </c>
      <c r="K39" s="100">
        <f t="shared" si="1"/>
        <v>3.0488315473993026</v>
      </c>
      <c r="L39" s="94">
        <f>SUMIFS('Statusa tabula'!AL:AL,'Statusa tabula'!O:O,C39,'Statusa tabula'!P:P,A39)</f>
        <v>228035758</v>
      </c>
      <c r="M39" s="100">
        <f t="shared" si="2"/>
        <v>3.0488315473993026</v>
      </c>
      <c r="N39" s="94">
        <f>SUMIFS('Statusa tabula'!AZ:AZ,'Statusa tabula'!O:O,C39,'Statusa tabula'!P:P,A39)</f>
        <v>96967147.549999997</v>
      </c>
      <c r="O39" s="95">
        <f t="shared" si="3"/>
        <v>1.2964479830034505</v>
      </c>
      <c r="P39"/>
      <c r="Q39"/>
      <c r="R39"/>
      <c r="S39"/>
      <c r="T39"/>
      <c r="U39"/>
      <c r="V39"/>
      <c r="W39"/>
    </row>
    <row r="40" spans="1:44" ht="18.75" x14ac:dyDescent="0.3">
      <c r="A40" t="s">
        <v>408</v>
      </c>
      <c r="C40" s="20" t="s">
        <v>39</v>
      </c>
      <c r="D40" s="96"/>
      <c r="E40" s="98" t="str">
        <f t="shared" si="25"/>
        <v>IZM</v>
      </c>
      <c r="F40" s="94">
        <f>SUMIFS('Statusa tabula'!Q:Q,'Statusa tabula'!O:O,C40,'Statusa tabula'!P:P,A40)</f>
        <v>412945568</v>
      </c>
      <c r="G40" s="94">
        <f>SUMIFS('Statusa tabula'!R:R,'Statusa tabula'!O:O,C40,'Statusa tabula'!P:P,A40)</f>
        <v>0</v>
      </c>
      <c r="H40" s="94">
        <f t="shared" si="23"/>
        <v>412945568</v>
      </c>
      <c r="I40" s="94">
        <f>SUMIFS('Statusa tabula'!S:S,'Statusa tabula'!O:O,C40,'Statusa tabula'!P:P,A40)</f>
        <v>485818326</v>
      </c>
      <c r="J40" s="94">
        <f>SUMIFS('Statusa tabula'!X:X,'Statusa tabula'!O:O,C40,'Statusa tabula'!P:P,A40)</f>
        <v>425991689.76999998</v>
      </c>
      <c r="K40" s="100">
        <f t="shared" si="1"/>
        <v>1.0315928363953284</v>
      </c>
      <c r="L40" s="94">
        <f>SUMIFS('Statusa tabula'!AL:AL,'Statusa tabula'!O:O,C40,'Statusa tabula'!P:P,A40)</f>
        <v>356329693.15999997</v>
      </c>
      <c r="M40" s="100">
        <f t="shared" si="2"/>
        <v>0.862897487641761</v>
      </c>
      <c r="N40" s="94">
        <f>SUMIFS('Statusa tabula'!AZ:AZ,'Statusa tabula'!O:O,C40,'Statusa tabula'!P:P,A40)</f>
        <v>88101680.89000003</v>
      </c>
      <c r="O40" s="95">
        <f t="shared" si="3"/>
        <v>0.21334937995992739</v>
      </c>
      <c r="P40" s="112"/>
      <c r="Q40" s="112"/>
      <c r="R40" s="112"/>
      <c r="S40" s="112"/>
      <c r="T40" s="112"/>
      <c r="U40" s="112"/>
      <c r="V40" s="112"/>
      <c r="W40" s="112"/>
    </row>
    <row r="41" spans="1:44" ht="18.75" x14ac:dyDescent="0.3">
      <c r="A41" t="s">
        <v>409</v>
      </c>
      <c r="C41" s="20" t="s">
        <v>39</v>
      </c>
      <c r="D41" s="96"/>
      <c r="E41" s="98" t="str">
        <f t="shared" si="25"/>
        <v>KEM</v>
      </c>
      <c r="F41" s="94">
        <f>SUMIFS('Statusa tabula'!Q:Q,'Statusa tabula'!O:O,C41,'Statusa tabula'!P:P,A41)</f>
        <v>82440102</v>
      </c>
      <c r="G41" s="94">
        <f>SUMIFS('Statusa tabula'!R:R,'Statusa tabula'!O:O,C41,'Statusa tabula'!P:P,A41)</f>
        <v>0</v>
      </c>
      <c r="H41" s="94">
        <f t="shared" si="23"/>
        <v>82440102</v>
      </c>
      <c r="I41" s="94">
        <f>SUMIFS('Statusa tabula'!S:S,'Statusa tabula'!O:O,C41,'Statusa tabula'!P:P,A41)</f>
        <v>96988357</v>
      </c>
      <c r="J41" s="94">
        <f>SUMIFS('Statusa tabula'!X:X,'Statusa tabula'!O:O,C41,'Statusa tabula'!P:P,A41)</f>
        <v>47440102</v>
      </c>
      <c r="K41" s="100">
        <f t="shared" si="1"/>
        <v>0.57544933653769614</v>
      </c>
      <c r="L41" s="94">
        <f>SUMIFS('Statusa tabula'!AL:AL,'Statusa tabula'!O:O,C41,'Statusa tabula'!P:P,A41)</f>
        <v>47440102</v>
      </c>
      <c r="M41" s="100">
        <f t="shared" si="2"/>
        <v>0.57544933653769614</v>
      </c>
      <c r="N41" s="94">
        <f>SUMIFS('Statusa tabula'!AZ:AZ,'Statusa tabula'!O:O,C41,'Statusa tabula'!P:P,A41)</f>
        <v>14232030.68</v>
      </c>
      <c r="O41" s="95">
        <f t="shared" si="3"/>
        <v>0.17263480193171038</v>
      </c>
      <c r="P41" s="112"/>
      <c r="Q41" s="112"/>
      <c r="R41" s="112"/>
      <c r="S41" s="112"/>
      <c r="T41" s="112"/>
      <c r="U41" s="112"/>
      <c r="V41" s="112"/>
      <c r="W41" s="112"/>
    </row>
    <row r="42" spans="1:44" ht="18.75" x14ac:dyDescent="0.3">
      <c r="A42" t="s">
        <v>410</v>
      </c>
      <c r="C42" s="20" t="s">
        <v>39</v>
      </c>
      <c r="D42" s="96"/>
      <c r="E42" s="98" t="str">
        <f t="shared" si="25"/>
        <v>KM</v>
      </c>
      <c r="F42" s="94">
        <f>SUMIFS('Statusa tabula'!Q:Q,'Statusa tabula'!O:O,C42,'Statusa tabula'!P:P,A42)</f>
        <v>67981757</v>
      </c>
      <c r="G42" s="94">
        <f>SUMIFS('Statusa tabula'!R:R,'Statusa tabula'!O:O,C42,'Statusa tabula'!P:P,A42)</f>
        <v>2526446</v>
      </c>
      <c r="H42" s="94">
        <f t="shared" si="23"/>
        <v>70508203</v>
      </c>
      <c r="I42" s="94">
        <f>SUMIFS('Statusa tabula'!S:S,'Statusa tabula'!O:O,C42,'Statusa tabula'!P:P,A42)</f>
        <v>79978539</v>
      </c>
      <c r="J42" s="94">
        <f>SUMIFS('Statusa tabula'!X:X,'Statusa tabula'!O:O,C42,'Statusa tabula'!P:P,A42)</f>
        <v>63553537.140000001</v>
      </c>
      <c r="K42" s="100">
        <f t="shared" si="1"/>
        <v>0.93486164442616571</v>
      </c>
      <c r="L42" s="94">
        <f>SUMIFS('Statusa tabula'!AL:AL,'Statusa tabula'!O:O,C42,'Statusa tabula'!P:P,A42)</f>
        <v>62236064.57</v>
      </c>
      <c r="M42" s="100">
        <f t="shared" si="2"/>
        <v>0.91548184860829651</v>
      </c>
      <c r="N42" s="94">
        <f>SUMIFS('Statusa tabula'!AZ:AZ,'Statusa tabula'!O:O,C42,'Statusa tabula'!P:P,A42)</f>
        <v>20716745.050000001</v>
      </c>
      <c r="O42" s="95">
        <f t="shared" si="3"/>
        <v>0.30473977084764081</v>
      </c>
      <c r="P42"/>
      <c r="Q42"/>
      <c r="R42"/>
      <c r="S42"/>
      <c r="T42"/>
      <c r="U42"/>
      <c r="V42"/>
      <c r="W42"/>
    </row>
    <row r="43" spans="1:44" ht="18.75" x14ac:dyDescent="0.3">
      <c r="A43" t="s">
        <v>411</v>
      </c>
      <c r="C43" s="20" t="s">
        <v>39</v>
      </c>
      <c r="D43" s="96"/>
      <c r="E43" s="98" t="str">
        <f t="shared" si="25"/>
        <v>LM</v>
      </c>
      <c r="F43" s="94">
        <f>SUMIFS('Statusa tabula'!Q:Q,'Statusa tabula'!O:O,C43,'Statusa tabula'!P:P,A43)</f>
        <v>32180513</v>
      </c>
      <c r="G43" s="94">
        <f>SUMIFS('Statusa tabula'!R:R,'Statusa tabula'!O:O,C43,'Statusa tabula'!P:P,A43)</f>
        <v>0</v>
      </c>
      <c r="H43" s="94">
        <f t="shared" si="23"/>
        <v>32180513</v>
      </c>
      <c r="I43" s="94">
        <f>SUMIFS('Statusa tabula'!S:S,'Statusa tabula'!O:O,C43,'Statusa tabula'!P:P,A43)</f>
        <v>37859428</v>
      </c>
      <c r="J43" s="94">
        <f>SUMIFS('Statusa tabula'!X:X,'Statusa tabula'!O:O,C43,'Statusa tabula'!P:P,A43)</f>
        <v>32180513</v>
      </c>
      <c r="K43" s="100">
        <f t="shared" si="1"/>
        <v>1</v>
      </c>
      <c r="L43" s="94">
        <f>SUMIFS('Statusa tabula'!AL:AL,'Statusa tabula'!O:O,C43,'Statusa tabula'!P:P,A43)</f>
        <v>32180513</v>
      </c>
      <c r="M43" s="100">
        <f t="shared" si="2"/>
        <v>1</v>
      </c>
      <c r="N43" s="94">
        <f>SUMIFS('Statusa tabula'!AZ:AZ,'Statusa tabula'!O:O,C43,'Statusa tabula'!P:P,A43)</f>
        <v>2115669.88</v>
      </c>
      <c r="O43" s="95">
        <f t="shared" si="3"/>
        <v>6.5743820802359493E-2</v>
      </c>
      <c r="P43" s="112"/>
      <c r="Q43" s="112"/>
      <c r="R43" s="112"/>
      <c r="S43" s="112"/>
      <c r="T43" s="112"/>
      <c r="U43" s="112"/>
      <c r="V43" s="112"/>
      <c r="W43" s="112"/>
    </row>
    <row r="44" spans="1:44" ht="18" customHeight="1" x14ac:dyDescent="0.3">
      <c r="A44" t="s">
        <v>412</v>
      </c>
      <c r="C44" s="20" t="s">
        <v>39</v>
      </c>
      <c r="D44" s="96"/>
      <c r="E44" s="98" t="str">
        <f t="shared" si="25"/>
        <v>SM</v>
      </c>
      <c r="F44" s="94">
        <f>SUMIFS('Statusa tabula'!Q:Q,'Statusa tabula'!O:O,C44,'Statusa tabula'!P:P,A44)</f>
        <v>118872866</v>
      </c>
      <c r="G44" s="94">
        <f>SUMIFS('Statusa tabula'!R:R,'Statusa tabula'!O:O,C44,'Statusa tabula'!P:P,A44)</f>
        <v>0</v>
      </c>
      <c r="H44" s="94">
        <f t="shared" si="23"/>
        <v>118872866</v>
      </c>
      <c r="I44" s="94">
        <f>SUMIFS('Statusa tabula'!S:S,'Statusa tabula'!O:O,C44,'Statusa tabula'!P:P,A44)</f>
        <v>139850434</v>
      </c>
      <c r="J44" s="94">
        <f>SUMIFS('Statusa tabula'!X:X,'Statusa tabula'!O:O,C44,'Statusa tabula'!P:P,A44)</f>
        <v>103611788.05999999</v>
      </c>
      <c r="K44" s="100">
        <f t="shared" si="1"/>
        <v>0.87161849080007869</v>
      </c>
      <c r="L44" s="94">
        <f>SUMIFS('Statusa tabula'!AL:AL,'Statusa tabula'!O:O,C44,'Statusa tabula'!P:P,A44)</f>
        <v>45293359.379999995</v>
      </c>
      <c r="M44" s="100">
        <f t="shared" si="2"/>
        <v>0.38102353299027886</v>
      </c>
      <c r="N44" s="94">
        <f>SUMIFS('Statusa tabula'!AZ:AZ,'Statusa tabula'!O:O,C44,'Statusa tabula'!P:P,A44)</f>
        <v>15520321.129999999</v>
      </c>
      <c r="O44" s="95">
        <f t="shared" si="3"/>
        <v>0.13056235331282412</v>
      </c>
      <c r="P44" s="112"/>
      <c r="Q44" s="112"/>
      <c r="R44" s="112"/>
      <c r="S44" s="112"/>
      <c r="T44" s="112"/>
      <c r="U44" s="112"/>
      <c r="V44" s="112"/>
      <c r="W44" s="112"/>
    </row>
    <row r="45" spans="1:44" s="114" customFormat="1" ht="18.75" hidden="1" x14ac:dyDescent="0.3">
      <c r="A45" t="s">
        <v>413</v>
      </c>
      <c r="B45"/>
      <c r="C45" s="20" t="s">
        <v>39</v>
      </c>
      <c r="D45" s="96"/>
      <c r="E45" s="98" t="str">
        <f t="shared" si="25"/>
        <v>TM</v>
      </c>
      <c r="F45" s="94">
        <f>SUMIFS('Statusa tabula'!Q:Q,'Statusa tabula'!O:O,C45,'Statusa tabula'!P:P,A45)</f>
        <v>0</v>
      </c>
      <c r="G45" s="94">
        <f>SUMIFS('Statusa tabula'!R:R,'Statusa tabula'!O:O,C45,'Statusa tabula'!P:P,A45)</f>
        <v>0</v>
      </c>
      <c r="H45" s="94"/>
      <c r="I45" s="94">
        <f>SUMIFS('Statusa tabula'!S:S,'Statusa tabula'!O:O,C45,'Statusa tabula'!P:P,A45)</f>
        <v>0</v>
      </c>
      <c r="J45" s="94">
        <f>SUMIFS('Statusa tabula'!X:X,'Statusa tabula'!O:O,C45,'Statusa tabula'!P:P,A45)</f>
        <v>0</v>
      </c>
      <c r="K45" s="100" t="e">
        <f t="shared" si="1"/>
        <v>#DIV/0!</v>
      </c>
      <c r="L45" s="94">
        <f>SUMIFS('Statusa tabula'!AL:AL,'Statusa tabula'!O:O,C45,'Statusa tabula'!P:P,A45)</f>
        <v>0</v>
      </c>
      <c r="M45" s="100" t="e">
        <f t="shared" si="2"/>
        <v>#DIV/0!</v>
      </c>
      <c r="N45" s="94">
        <f>SUMIFS('Statusa tabula'!AZ:AZ,'Statusa tabula'!O:O,C45,'Statusa tabula'!P:P,A45)</f>
        <v>0</v>
      </c>
      <c r="O45" s="95" t="e">
        <f t="shared" si="3"/>
        <v>#DIV/0!</v>
      </c>
      <c r="P45" s="112"/>
      <c r="Q45" s="112"/>
      <c r="R45" s="112"/>
      <c r="S45" s="112"/>
      <c r="T45" s="112"/>
      <c r="U45" s="112"/>
      <c r="V45" s="112"/>
      <c r="W45" s="112"/>
      <c r="X45" s="112"/>
      <c r="Y45" s="112"/>
      <c r="Z45" s="116"/>
      <c r="AA45" s="116"/>
      <c r="AB45" s="116"/>
      <c r="AC45" s="116"/>
      <c r="AD45" s="116"/>
      <c r="AE45" s="116"/>
      <c r="AF45" s="116"/>
      <c r="AG45" s="116"/>
      <c r="AH45" s="116"/>
      <c r="AI45" s="116"/>
      <c r="AJ45" s="116"/>
      <c r="AK45" s="116"/>
      <c r="AL45" s="116"/>
      <c r="AM45" s="116"/>
      <c r="AN45" s="117"/>
      <c r="AO45" s="117"/>
      <c r="AP45" s="115"/>
      <c r="AQ45" s="115"/>
      <c r="AR45" s="115"/>
    </row>
    <row r="46" spans="1:44" ht="18.75" x14ac:dyDescent="0.3">
      <c r="A46" t="s">
        <v>414</v>
      </c>
      <c r="C46" s="20" t="s">
        <v>39</v>
      </c>
      <c r="D46" s="96"/>
      <c r="E46" s="98" t="str">
        <f t="shared" si="25"/>
        <v>VARAM</v>
      </c>
      <c r="F46" s="94">
        <f>SUMIFS('Statusa tabula'!Q:Q,'Statusa tabula'!O:O,C46,'Statusa tabula'!P:P,A46)</f>
        <v>679697706</v>
      </c>
      <c r="G46" s="94">
        <f>SUMIFS('Statusa tabula'!R:R,'Statusa tabula'!O:O,C46,'Statusa tabula'!P:P,A46)</f>
        <v>0</v>
      </c>
      <c r="H46" s="94">
        <f t="shared" ref="H46:H49" si="26">F46+G46</f>
        <v>679697706</v>
      </c>
      <c r="I46" s="94">
        <f>SUMIFS('Statusa tabula'!S:S,'Statusa tabula'!O:O,C46,'Statusa tabula'!P:P,A46)</f>
        <v>790820849</v>
      </c>
      <c r="J46" s="94">
        <f>SUMIFS('Statusa tabula'!X:X,'Statusa tabula'!O:O,C46,'Statusa tabula'!P:P,A46)</f>
        <v>582511578.09000003</v>
      </c>
      <c r="K46" s="100">
        <f t="shared" si="1"/>
        <v>0.8570156599734059</v>
      </c>
      <c r="L46" s="94">
        <f>SUMIFS('Statusa tabula'!AL:AL,'Statusa tabula'!O:O,C46,'Statusa tabula'!P:P,A46)</f>
        <v>434775720.64000005</v>
      </c>
      <c r="M46" s="100">
        <f t="shared" si="2"/>
        <v>0.6396604208047747</v>
      </c>
      <c r="N46" s="94">
        <f>SUMIFS('Statusa tabula'!AZ:AZ,'Statusa tabula'!O:O,C46,'Statusa tabula'!P:P,A46)</f>
        <v>123633344.49999997</v>
      </c>
      <c r="O46" s="95">
        <f t="shared" si="3"/>
        <v>0.18189460315759837</v>
      </c>
      <c r="P46" s="112"/>
      <c r="Q46" s="112"/>
      <c r="R46" s="112"/>
      <c r="S46" s="112"/>
      <c r="T46" s="112"/>
      <c r="U46" s="112"/>
      <c r="V46" s="112"/>
      <c r="W46" s="112"/>
    </row>
    <row r="47" spans="1:44" ht="20.25" x14ac:dyDescent="0.3">
      <c r="A47" t="s">
        <v>415</v>
      </c>
      <c r="C47" s="20" t="s">
        <v>39</v>
      </c>
      <c r="D47" s="97"/>
      <c r="E47" s="98" t="str">
        <f t="shared" si="25"/>
        <v>VK</v>
      </c>
      <c r="F47" s="94">
        <f>SUMIFS('Statusa tabula'!Q:Q,'Statusa tabula'!O:O,C47,'Statusa tabula'!P:P,A47)</f>
        <v>4792272</v>
      </c>
      <c r="G47" s="94">
        <f>SUMIFS('Statusa tabula'!R:R,'Statusa tabula'!O:O,C47,'Statusa tabula'!P:P,A47)</f>
        <v>0</v>
      </c>
      <c r="H47" s="94">
        <f t="shared" si="26"/>
        <v>4792272</v>
      </c>
      <c r="I47" s="94">
        <f>SUMIFS('Statusa tabula'!S:S,'Statusa tabula'!O:O,C47,'Statusa tabula'!P:P,A47)</f>
        <v>5637968</v>
      </c>
      <c r="J47" s="94">
        <f>SUMIFS('Statusa tabula'!X:X,'Statusa tabula'!O:O,C47,'Statusa tabula'!P:P,A47)</f>
        <v>4792272</v>
      </c>
      <c r="K47" s="100">
        <f t="shared" si="1"/>
        <v>1</v>
      </c>
      <c r="L47" s="94">
        <f>SUMIFS('Statusa tabula'!AL:AL,'Statusa tabula'!O:O,C47,'Statusa tabula'!P:P,A47)</f>
        <v>1094772</v>
      </c>
      <c r="M47" s="100">
        <f t="shared" si="2"/>
        <v>0.22844529692805415</v>
      </c>
      <c r="N47" s="94">
        <f>SUMIFS('Statusa tabula'!AZ:AZ,'Statusa tabula'!O:O,C47,'Statusa tabula'!P:P,A47)</f>
        <v>418465.8</v>
      </c>
      <c r="O47" s="95">
        <f t="shared" si="3"/>
        <v>8.7320961748414944E-2</v>
      </c>
      <c r="P47" s="112"/>
      <c r="Q47" s="112"/>
      <c r="R47" s="112"/>
      <c r="S47" s="112"/>
      <c r="T47" s="112"/>
      <c r="U47" s="112"/>
      <c r="V47" s="112"/>
      <c r="W47" s="112"/>
    </row>
    <row r="48" spans="1:44" ht="18.75" x14ac:dyDescent="0.3">
      <c r="A48" t="s">
        <v>416</v>
      </c>
      <c r="C48" s="20" t="s">
        <v>39</v>
      </c>
      <c r="D48" s="96"/>
      <c r="E48" s="98" t="str">
        <f t="shared" si="25"/>
        <v>VM</v>
      </c>
      <c r="F48" s="94">
        <f>SUMIFS('Statusa tabula'!Q:Q,'Statusa tabula'!O:O,C48,'Statusa tabula'!P:P,A48)</f>
        <v>324604457</v>
      </c>
      <c r="G48" s="94">
        <f>SUMIFS('Statusa tabula'!R:R,'Statusa tabula'!O:O,C48,'Statusa tabula'!P:P,A48)</f>
        <v>0</v>
      </c>
      <c r="H48" s="94">
        <f t="shared" si="26"/>
        <v>324604457</v>
      </c>
      <c r="I48" s="94">
        <f>SUMIFS('Statusa tabula'!S:S,'Statusa tabula'!O:O,C48,'Statusa tabula'!P:P,A48)</f>
        <v>381887601</v>
      </c>
      <c r="J48" s="94">
        <f>SUMIFS('Statusa tabula'!X:X,'Statusa tabula'!O:O,C48,'Statusa tabula'!P:P,A48)</f>
        <v>318948546.71000004</v>
      </c>
      <c r="K48" s="100">
        <f t="shared" si="1"/>
        <v>0.98257599312630517</v>
      </c>
      <c r="L48" s="94">
        <f>SUMIFS('Statusa tabula'!AL:AL,'Statusa tabula'!O:O,C48,'Statusa tabula'!P:P,A48)</f>
        <v>310861671.92000008</v>
      </c>
      <c r="M48" s="100">
        <f t="shared" si="2"/>
        <v>0.9576629809491497</v>
      </c>
      <c r="N48" s="94">
        <f>SUMIFS('Statusa tabula'!AZ:AZ,'Statusa tabula'!O:O,C48,'Statusa tabula'!P:P,A48)</f>
        <v>76846988.099999994</v>
      </c>
      <c r="O48" s="95">
        <f t="shared" si="3"/>
        <v>0.23674039725215479</v>
      </c>
      <c r="P48" s="112"/>
      <c r="Q48" s="112"/>
      <c r="R48" s="112"/>
      <c r="S48" s="112"/>
      <c r="T48" s="112"/>
      <c r="U48" s="112"/>
      <c r="V48" s="112"/>
      <c r="W48" s="112"/>
    </row>
    <row r="49" spans="1:41" ht="20.25" x14ac:dyDescent="0.3">
      <c r="C49" s="20"/>
      <c r="D49" s="96"/>
      <c r="E49" s="97" t="s">
        <v>40</v>
      </c>
      <c r="F49" s="93">
        <f>SUM(F50:F61)</f>
        <v>864461785.79999995</v>
      </c>
      <c r="G49" s="93">
        <f>SUM(G50:G61)</f>
        <v>0</v>
      </c>
      <c r="H49" s="93">
        <f t="shared" si="26"/>
        <v>864461785.79999995</v>
      </c>
      <c r="I49" s="93">
        <f>SUM(I50:I61)</f>
        <v>1016241560.8</v>
      </c>
      <c r="J49" s="93">
        <f>SUM(J50:J61)</f>
        <v>861289938.76999998</v>
      </c>
      <c r="K49" s="99">
        <f t="shared" si="1"/>
        <v>0.9963308418230834</v>
      </c>
      <c r="L49" s="93">
        <f>SUM(L50:L61)</f>
        <v>578245551.75</v>
      </c>
      <c r="M49" s="99">
        <f t="shared" si="2"/>
        <v>0.6689081706658363</v>
      </c>
      <c r="N49" s="93">
        <f>SUM(N50:N61)</f>
        <v>173033324.50799999</v>
      </c>
      <c r="O49" s="99">
        <f t="shared" si="3"/>
        <v>0.20016306949632198</v>
      </c>
      <c r="P49" s="112"/>
      <c r="Q49" s="112"/>
      <c r="R49" s="112"/>
      <c r="S49" s="112"/>
      <c r="T49" s="112"/>
      <c r="U49" s="112"/>
      <c r="V49" s="112"/>
      <c r="W49" s="112"/>
    </row>
    <row r="50" spans="1:41" s="114" customFormat="1" ht="18.75" hidden="1" x14ac:dyDescent="0.3">
      <c r="A50" t="s">
        <v>406</v>
      </c>
      <c r="B50"/>
      <c r="C50" s="20" t="s">
        <v>40</v>
      </c>
      <c r="D50" s="96"/>
      <c r="E50" s="98" t="str">
        <f t="shared" ref="E50:E61" si="27">A50</f>
        <v>EM</v>
      </c>
      <c r="F50" s="94">
        <f>SUMIFS('Statusa tabula'!Q:Q,'Statusa tabula'!O:O,C50,'Statusa tabula'!P:P,A50)</f>
        <v>0</v>
      </c>
      <c r="G50" s="94">
        <f>SUMIFS('Statusa tabula'!R:R,'Statusa tabula'!O:O,C50,'Statusa tabula'!P:P,A50)</f>
        <v>0</v>
      </c>
      <c r="H50" s="94"/>
      <c r="I50" s="94">
        <f>SUMIFS('Statusa tabula'!S:S,'Statusa tabula'!O:O,C50,'Statusa tabula'!P:P,A50)</f>
        <v>0</v>
      </c>
      <c r="J50" s="94">
        <f>SUMIFS('Statusa tabula'!X:X,'Statusa tabula'!O:O,C50,'Statusa tabula'!P:P,A50)</f>
        <v>0</v>
      </c>
      <c r="K50" s="100" t="e">
        <f t="shared" si="1"/>
        <v>#DIV/0!</v>
      </c>
      <c r="L50" s="94">
        <f>SUMIFS('Statusa tabula'!AL:AL,'Statusa tabula'!O:O,C50,'Statusa tabula'!P:P,A50)</f>
        <v>0</v>
      </c>
      <c r="M50" s="100" t="e">
        <f t="shared" si="2"/>
        <v>#DIV/0!</v>
      </c>
      <c r="N50" s="94">
        <f>SUMIFS('Statusa tabula'!AZ:AZ,'Statusa tabula'!O:O,C50,'Statusa tabula'!P:P,A50)</f>
        <v>0</v>
      </c>
      <c r="O50" s="95" t="e">
        <f t="shared" si="3"/>
        <v>#DIV/0!</v>
      </c>
      <c r="P50" s="112"/>
      <c r="Q50" s="112"/>
      <c r="R50" s="112"/>
      <c r="S50" s="112"/>
      <c r="T50" s="112"/>
      <c r="U50" s="112"/>
      <c r="V50" s="112"/>
      <c r="W50" s="112"/>
      <c r="X50" s="112"/>
      <c r="Y50" s="112"/>
      <c r="Z50" s="116"/>
      <c r="AA50" s="116"/>
      <c r="AB50" s="116"/>
      <c r="AC50" s="116"/>
      <c r="AD50" s="116"/>
      <c r="AE50" s="116"/>
      <c r="AF50" s="116"/>
      <c r="AG50" s="116"/>
      <c r="AH50" s="116"/>
      <c r="AI50" s="116"/>
      <c r="AJ50" s="116"/>
      <c r="AK50" s="116"/>
      <c r="AL50" s="116"/>
      <c r="AM50" s="116"/>
      <c r="AN50" s="112"/>
      <c r="AO50" s="112"/>
    </row>
    <row r="51" spans="1:41" ht="18.75" x14ac:dyDescent="0.3">
      <c r="A51" t="s">
        <v>321</v>
      </c>
      <c r="C51" s="20" t="s">
        <v>40</v>
      </c>
      <c r="D51" s="96"/>
      <c r="E51" s="98" t="str">
        <f t="shared" si="27"/>
        <v>FM</v>
      </c>
      <c r="F51" s="94">
        <f>SUMIFS('Statusa tabula'!Q:Q,'Statusa tabula'!O:O,C51,'Statusa tabula'!P:P,A51)</f>
        <v>53771003.799999997</v>
      </c>
      <c r="G51" s="94">
        <f>SUMIFS('Statusa tabula'!R:R,'Statusa tabula'!O:O,C51,'Statusa tabula'!P:P,A51)</f>
        <v>0</v>
      </c>
      <c r="H51" s="94">
        <f>F51+G51</f>
        <v>53771003.799999997</v>
      </c>
      <c r="I51" s="94">
        <f>SUMIFS('Statusa tabula'!S:S,'Statusa tabula'!O:O,C51,'Statusa tabula'!P:P,A51)</f>
        <v>59539224.799999997</v>
      </c>
      <c r="J51" s="94">
        <f>SUMIFS('Statusa tabula'!X:X,'Statusa tabula'!O:O,C51,'Statusa tabula'!P:P,A51)</f>
        <v>51452797.799999997</v>
      </c>
      <c r="K51" s="100">
        <f t="shared" si="1"/>
        <v>0.95688743307410606</v>
      </c>
      <c r="L51" s="94">
        <f>SUMIFS('Statusa tabula'!AL:AL,'Statusa tabula'!O:O,C51,'Statusa tabula'!P:P,A51)</f>
        <v>51452797.799999997</v>
      </c>
      <c r="M51" s="100">
        <f t="shared" si="2"/>
        <v>0.95688743307410606</v>
      </c>
      <c r="N51" s="94">
        <f>SUMIFS('Statusa tabula'!AZ:AZ,'Statusa tabula'!O:O,C51,'Statusa tabula'!P:P,A51)</f>
        <v>5742196.2980000004</v>
      </c>
      <c r="O51" s="95">
        <f t="shared" si="3"/>
        <v>0.10678982894494525</v>
      </c>
      <c r="P51" s="112"/>
      <c r="Q51" s="112"/>
      <c r="R51" s="112"/>
      <c r="S51" s="112"/>
      <c r="T51" s="112"/>
      <c r="U51" s="112"/>
      <c r="V51" s="112"/>
      <c r="W51" s="112"/>
    </row>
    <row r="52" spans="1:41" s="114" customFormat="1" ht="18.75" hidden="1" x14ac:dyDescent="0.3">
      <c r="A52" t="s">
        <v>407</v>
      </c>
      <c r="B52"/>
      <c r="C52" s="20" t="s">
        <v>40</v>
      </c>
      <c r="D52" s="96"/>
      <c r="E52" s="98" t="str">
        <f t="shared" si="27"/>
        <v>IeM</v>
      </c>
      <c r="F52" s="94">
        <f>SUMIFS('Statusa tabula'!Q:Q,'Statusa tabula'!O:O,C52,'Statusa tabula'!P:P,A52)</f>
        <v>0</v>
      </c>
      <c r="G52" s="94">
        <f>SUMIFS('Statusa tabula'!R:R,'Statusa tabula'!O:O,C52,'Statusa tabula'!P:P,A52)</f>
        <v>0</v>
      </c>
      <c r="H52" s="94"/>
      <c r="I52" s="94">
        <f>SUMIFS('Statusa tabula'!S:S,'Statusa tabula'!O:O,C52,'Statusa tabula'!P:P,A52)</f>
        <v>0</v>
      </c>
      <c r="J52" s="94">
        <f>SUMIFS('Statusa tabula'!X:X,'Statusa tabula'!O:O,C52,'Statusa tabula'!P:P,A52)</f>
        <v>0</v>
      </c>
      <c r="K52" s="100" t="e">
        <f t="shared" si="1"/>
        <v>#DIV/0!</v>
      </c>
      <c r="L52" s="94">
        <f>SUMIFS('Statusa tabula'!AL:AL,'Statusa tabula'!O:O,C52,'Statusa tabula'!P:P,A52)</f>
        <v>0</v>
      </c>
      <c r="M52" s="100" t="e">
        <f t="shared" si="2"/>
        <v>#DIV/0!</v>
      </c>
      <c r="N52" s="94">
        <f>SUMIFS('Statusa tabula'!AZ:AZ,'Statusa tabula'!O:O,C52,'Statusa tabula'!P:P,A52)</f>
        <v>0</v>
      </c>
      <c r="O52" s="95" t="e">
        <f t="shared" si="3"/>
        <v>#DIV/0!</v>
      </c>
      <c r="P52" s="112"/>
      <c r="Q52" s="112"/>
      <c r="R52" s="112"/>
      <c r="S52" s="112"/>
      <c r="T52" s="112"/>
      <c r="U52" s="112"/>
      <c r="V52" s="112"/>
      <c r="W52" s="112"/>
      <c r="X52" s="112"/>
      <c r="Y52" s="112"/>
      <c r="Z52"/>
      <c r="AA52"/>
      <c r="AB52"/>
      <c r="AC52"/>
      <c r="AD52"/>
      <c r="AE52"/>
      <c r="AF52"/>
      <c r="AG52"/>
      <c r="AH52"/>
      <c r="AI52"/>
      <c r="AJ52"/>
      <c r="AK52"/>
      <c r="AL52"/>
      <c r="AM52"/>
      <c r="AN52" s="112"/>
      <c r="AO52" s="112"/>
    </row>
    <row r="53" spans="1:41" s="114" customFormat="1" ht="18.75" hidden="1" x14ac:dyDescent="0.3">
      <c r="A53" t="s">
        <v>408</v>
      </c>
      <c r="B53"/>
      <c r="C53" s="20" t="s">
        <v>40</v>
      </c>
      <c r="D53" s="96"/>
      <c r="E53" s="98" t="str">
        <f t="shared" si="27"/>
        <v>IZM</v>
      </c>
      <c r="F53" s="94">
        <f>SUMIFS('Statusa tabula'!Q:Q,'Statusa tabula'!O:O,C53,'Statusa tabula'!P:P,A53)</f>
        <v>0</v>
      </c>
      <c r="G53" s="94">
        <f>SUMIFS('Statusa tabula'!R:R,'Statusa tabula'!O:O,C53,'Statusa tabula'!P:P,A53)</f>
        <v>0</v>
      </c>
      <c r="H53" s="94"/>
      <c r="I53" s="94">
        <f>SUMIFS('Statusa tabula'!S:S,'Statusa tabula'!O:O,C53,'Statusa tabula'!P:P,A53)</f>
        <v>0</v>
      </c>
      <c r="J53" s="94">
        <f>SUMIFS('Statusa tabula'!X:X,'Statusa tabula'!O:O,C53,'Statusa tabula'!P:P,A53)</f>
        <v>0</v>
      </c>
      <c r="K53" s="100" t="e">
        <f t="shared" si="1"/>
        <v>#DIV/0!</v>
      </c>
      <c r="L53" s="94">
        <f>SUMIFS('Statusa tabula'!AL:AL,'Statusa tabula'!O:O,C53,'Statusa tabula'!P:P,A53)</f>
        <v>0</v>
      </c>
      <c r="M53" s="100" t="e">
        <f t="shared" si="2"/>
        <v>#DIV/0!</v>
      </c>
      <c r="N53" s="94">
        <f>SUMIFS('Statusa tabula'!AZ:AZ,'Statusa tabula'!O:O,C53,'Statusa tabula'!P:P,A53)</f>
        <v>0</v>
      </c>
      <c r="O53" s="95" t="e">
        <f t="shared" si="3"/>
        <v>#DIV/0!</v>
      </c>
      <c r="P53" s="112"/>
      <c r="Q53" s="112"/>
      <c r="R53" s="112"/>
      <c r="S53" s="112"/>
      <c r="T53" s="112"/>
      <c r="U53" s="112"/>
      <c r="V53" s="112"/>
      <c r="W53" s="112"/>
      <c r="X53" s="112"/>
      <c r="Y53" s="112"/>
      <c r="Z53" s="116"/>
      <c r="AA53" s="116"/>
      <c r="AB53" s="116"/>
      <c r="AC53" s="116"/>
      <c r="AD53" s="116"/>
      <c r="AE53" s="116"/>
      <c r="AF53" s="116"/>
      <c r="AG53" s="116"/>
      <c r="AH53" s="116"/>
      <c r="AI53" s="116"/>
      <c r="AJ53" s="116"/>
      <c r="AK53" s="116"/>
      <c r="AL53" s="116"/>
      <c r="AM53" s="116"/>
      <c r="AN53" s="112"/>
      <c r="AO53" s="112"/>
    </row>
    <row r="54" spans="1:41" ht="18.75" x14ac:dyDescent="0.3">
      <c r="A54" t="s">
        <v>409</v>
      </c>
      <c r="C54" s="20" t="s">
        <v>40</v>
      </c>
      <c r="D54" s="96"/>
      <c r="E54" s="98" t="str">
        <f t="shared" si="27"/>
        <v>KEM</v>
      </c>
      <c r="F54" s="94">
        <f>SUMIFS('Statusa tabula'!Q:Q,'Statusa tabula'!O:O,C54,'Statusa tabula'!P:P,A54)</f>
        <v>18246193</v>
      </c>
      <c r="G54" s="94">
        <f>SUMIFS('Statusa tabula'!R:R,'Statusa tabula'!O:O,C54,'Statusa tabula'!P:P,A54)</f>
        <v>0</v>
      </c>
      <c r="H54" s="94">
        <f>F54+G54</f>
        <v>18246193</v>
      </c>
      <c r="I54" s="94">
        <f>SUMIFS('Statusa tabula'!S:S,'Statusa tabula'!O:O,C54,'Statusa tabula'!P:P,A54)</f>
        <v>21466110</v>
      </c>
      <c r="J54" s="94">
        <f>SUMIFS('Statusa tabula'!X:X,'Statusa tabula'!O:O,C54,'Statusa tabula'!P:P,A54)</f>
        <v>18246193</v>
      </c>
      <c r="K54" s="100">
        <f t="shared" si="1"/>
        <v>1</v>
      </c>
      <c r="L54" s="94">
        <f>SUMIFS('Statusa tabula'!AL:AL,'Statusa tabula'!O:O,C54,'Statusa tabula'!P:P,A54)</f>
        <v>18246193</v>
      </c>
      <c r="M54" s="100">
        <f t="shared" si="2"/>
        <v>1</v>
      </c>
      <c r="N54" s="94">
        <f>SUMIFS('Statusa tabula'!AZ:AZ,'Statusa tabula'!O:O,C54,'Statusa tabula'!P:P,A54)</f>
        <v>5473858.0499999998</v>
      </c>
      <c r="O54" s="95">
        <f t="shared" si="3"/>
        <v>0.30000000822089296</v>
      </c>
      <c r="P54" s="112"/>
      <c r="Q54" s="112"/>
      <c r="R54" s="112"/>
      <c r="S54" s="112"/>
      <c r="T54" s="112"/>
      <c r="U54" s="112"/>
      <c r="V54" s="112"/>
      <c r="W54" s="112"/>
    </row>
    <row r="55" spans="1:41" s="114" customFormat="1" ht="18.75" hidden="1" x14ac:dyDescent="0.3">
      <c r="A55" t="s">
        <v>410</v>
      </c>
      <c r="B55"/>
      <c r="C55" s="20" t="s">
        <v>40</v>
      </c>
      <c r="D55" s="96"/>
      <c r="E55" s="98" t="str">
        <f t="shared" si="27"/>
        <v>KM</v>
      </c>
      <c r="F55" s="94">
        <f>SUMIFS('Statusa tabula'!Q:Q,'Statusa tabula'!O:O,C55,'Statusa tabula'!P:P,A55)</f>
        <v>0</v>
      </c>
      <c r="G55" s="94">
        <f>SUMIFS('Statusa tabula'!R:R,'Statusa tabula'!O:O,C55,'Statusa tabula'!P:P,A55)</f>
        <v>0</v>
      </c>
      <c r="H55" s="94"/>
      <c r="I55" s="94">
        <f>SUMIFS('Statusa tabula'!S:S,'Statusa tabula'!O:O,C55,'Statusa tabula'!P:P,A55)</f>
        <v>0</v>
      </c>
      <c r="J55" s="94">
        <f>SUMIFS('Statusa tabula'!X:X,'Statusa tabula'!O:O,C55,'Statusa tabula'!P:P,A55)</f>
        <v>0</v>
      </c>
      <c r="K55" s="100" t="e">
        <f t="shared" si="1"/>
        <v>#DIV/0!</v>
      </c>
      <c r="L55" s="94">
        <f>SUMIFS('Statusa tabula'!AL:AL,'Statusa tabula'!O:O,C55,'Statusa tabula'!P:P,A55)</f>
        <v>0</v>
      </c>
      <c r="M55" s="100" t="e">
        <f t="shared" si="2"/>
        <v>#DIV/0!</v>
      </c>
      <c r="N55" s="94">
        <f>SUMIFS('Statusa tabula'!AZ:AZ,'Statusa tabula'!O:O,C55,'Statusa tabula'!P:P,A55)</f>
        <v>0</v>
      </c>
      <c r="O55" s="95" t="e">
        <f t="shared" si="3"/>
        <v>#DIV/0!</v>
      </c>
      <c r="P55" s="112"/>
      <c r="Q55" s="112"/>
      <c r="R55" s="112"/>
      <c r="S55" s="112"/>
      <c r="T55" s="112"/>
      <c r="U55" s="112"/>
      <c r="V55" s="112"/>
      <c r="W55" s="112"/>
      <c r="X55" s="112"/>
      <c r="Y55" s="112"/>
      <c r="Z55"/>
      <c r="AA55"/>
      <c r="AB55"/>
      <c r="AC55"/>
      <c r="AD55"/>
      <c r="AE55"/>
      <c r="AF55"/>
      <c r="AG55"/>
      <c r="AH55"/>
      <c r="AI55"/>
      <c r="AJ55"/>
      <c r="AK55"/>
      <c r="AL55"/>
      <c r="AM55"/>
      <c r="AN55" s="112"/>
      <c r="AO55" s="112"/>
    </row>
    <row r="56" spans="1:41" customFormat="1" ht="18.75" hidden="1" x14ac:dyDescent="0.3">
      <c r="A56" t="s">
        <v>411</v>
      </c>
      <c r="C56" s="20" t="s">
        <v>40</v>
      </c>
      <c r="D56" s="96"/>
      <c r="E56" s="98" t="str">
        <f t="shared" si="27"/>
        <v>LM</v>
      </c>
      <c r="F56" s="94">
        <f>SUMIFS('Statusa tabula'!Q:Q,'Statusa tabula'!O:O,C56,'Statusa tabula'!P:P,A56)</f>
        <v>0</v>
      </c>
      <c r="G56" s="94">
        <f>SUMIFS('Statusa tabula'!R:R,'Statusa tabula'!O:O,C56,'Statusa tabula'!P:P,A56)</f>
        <v>0</v>
      </c>
      <c r="H56" s="94"/>
      <c r="I56" s="94">
        <f>SUMIFS('Statusa tabula'!S:S,'Statusa tabula'!O:O,C56,'Statusa tabula'!P:P,A56)</f>
        <v>0</v>
      </c>
      <c r="J56" s="94">
        <f>SUMIFS('Statusa tabula'!X:X,'Statusa tabula'!O:O,C56,'Statusa tabula'!P:P,A56)</f>
        <v>0</v>
      </c>
      <c r="K56" s="100" t="e">
        <f t="shared" si="1"/>
        <v>#DIV/0!</v>
      </c>
      <c r="L56" s="94">
        <f>SUMIFS('Statusa tabula'!AL:AL,'Statusa tabula'!O:O,C56,'Statusa tabula'!P:P,A56)</f>
        <v>0</v>
      </c>
      <c r="M56" s="100" t="e">
        <f t="shared" si="2"/>
        <v>#DIV/0!</v>
      </c>
      <c r="N56" s="94">
        <f>SUMIFS('Statusa tabula'!AZ:AZ,'Statusa tabula'!O:O,C56,'Statusa tabula'!P:P,A56)</f>
        <v>0</v>
      </c>
      <c r="O56" s="95" t="e">
        <f t="shared" si="3"/>
        <v>#DIV/0!</v>
      </c>
      <c r="Z56" s="116"/>
      <c r="AA56" s="116"/>
      <c r="AB56" s="116"/>
      <c r="AC56" s="116"/>
      <c r="AD56" s="116"/>
      <c r="AE56" s="116"/>
      <c r="AF56" s="116"/>
      <c r="AG56" s="116"/>
      <c r="AH56" s="116"/>
      <c r="AI56" s="116"/>
      <c r="AJ56" s="116"/>
      <c r="AK56" s="116"/>
      <c r="AL56" s="116"/>
      <c r="AM56" s="116"/>
      <c r="AN56" s="112"/>
    </row>
    <row r="57" spans="1:41" ht="18.75" x14ac:dyDescent="0.3">
      <c r="A57" t="s">
        <v>412</v>
      </c>
      <c r="C57" s="20" t="s">
        <v>40</v>
      </c>
      <c r="D57" s="96"/>
      <c r="E57" s="98" t="str">
        <f t="shared" si="27"/>
        <v>SM</v>
      </c>
      <c r="F57" s="94">
        <f>SUMIFS('Statusa tabula'!Q:Q,'Statusa tabula'!O:O,C57,'Statusa tabula'!P:P,A57)</f>
        <v>722497960</v>
      </c>
      <c r="G57" s="94">
        <f>SUMIFS('Statusa tabula'!R:R,'Statusa tabula'!O:O,C57,'Statusa tabula'!P:P,A57)</f>
        <v>0</v>
      </c>
      <c r="H57" s="94">
        <f>F57+G57</f>
        <v>722497960</v>
      </c>
      <c r="I57" s="94">
        <f>SUMIFS('Statusa tabula'!S:S,'Statusa tabula'!O:O,C57,'Statusa tabula'!P:P,A57)</f>
        <v>852946073</v>
      </c>
      <c r="J57" s="94">
        <f>SUMIFS('Statusa tabula'!X:X,'Statusa tabula'!O:O,C57,'Statusa tabula'!P:P,A57)</f>
        <v>722028113.28999996</v>
      </c>
      <c r="K57" s="100">
        <f t="shared" si="1"/>
        <v>0.99934969129878226</v>
      </c>
      <c r="L57" s="94">
        <f>SUMIFS('Statusa tabula'!AL:AL,'Statusa tabula'!O:O,C57,'Statusa tabula'!P:P,A57)</f>
        <v>452352735.28999996</v>
      </c>
      <c r="M57" s="100">
        <f t="shared" si="2"/>
        <v>0.62609551906554861</v>
      </c>
      <c r="N57" s="94">
        <f>SUMIFS('Statusa tabula'!AZ:AZ,'Statusa tabula'!O:O,C57,'Statusa tabula'!P:P,A57)</f>
        <v>145223897.31</v>
      </c>
      <c r="O57" s="95">
        <f t="shared" si="3"/>
        <v>0.20100250152955448</v>
      </c>
      <c r="P57" s="112"/>
      <c r="Q57" s="112"/>
      <c r="R57" s="112"/>
      <c r="S57" s="112"/>
      <c r="T57" s="112"/>
      <c r="U57" s="112"/>
      <c r="V57" s="112"/>
      <c r="W57" s="112"/>
    </row>
    <row r="58" spans="1:41" s="114" customFormat="1" ht="18.75" hidden="1" x14ac:dyDescent="0.3">
      <c r="A58" t="s">
        <v>413</v>
      </c>
      <c r="B58"/>
      <c r="C58" s="20" t="s">
        <v>40</v>
      </c>
      <c r="D58" s="96"/>
      <c r="E58" s="98" t="str">
        <f t="shared" si="27"/>
        <v>TM</v>
      </c>
      <c r="F58" s="94">
        <f>SUMIFS('Statusa tabula'!Q:Q,'Statusa tabula'!O:O,C58,'Statusa tabula'!P:P,A58)</f>
        <v>0</v>
      </c>
      <c r="G58" s="94">
        <f>SUMIFS('Statusa tabula'!R:R,'Statusa tabula'!O:O,C58,'Statusa tabula'!P:P,A58)</f>
        <v>0</v>
      </c>
      <c r="H58" s="94"/>
      <c r="I58" s="94">
        <f>SUMIFS('Statusa tabula'!S:S,'Statusa tabula'!O:O,C58,'Statusa tabula'!P:P,A58)</f>
        <v>0</v>
      </c>
      <c r="J58" s="94">
        <f>SUMIFS('Statusa tabula'!X:X,'Statusa tabula'!O:O,C58,'Statusa tabula'!P:P,A58)</f>
        <v>0</v>
      </c>
      <c r="K58" s="100" t="e">
        <f t="shared" si="1"/>
        <v>#DIV/0!</v>
      </c>
      <c r="L58" s="94">
        <f>SUMIFS('Statusa tabula'!AL:AL,'Statusa tabula'!O:O,C58,'Statusa tabula'!P:P,A58)</f>
        <v>0</v>
      </c>
      <c r="M58" s="100" t="e">
        <f t="shared" si="2"/>
        <v>#DIV/0!</v>
      </c>
      <c r="N58" s="94">
        <f>SUMIFS('Statusa tabula'!AZ:AZ,'Statusa tabula'!O:O,C58,'Statusa tabula'!P:P,A58)</f>
        <v>0</v>
      </c>
      <c r="O58" s="95" t="e">
        <f t="shared" si="3"/>
        <v>#DIV/0!</v>
      </c>
      <c r="P58" s="112"/>
      <c r="Q58" s="112"/>
      <c r="R58" s="112"/>
      <c r="S58" s="112"/>
      <c r="T58" s="112"/>
      <c r="U58" s="112"/>
      <c r="V58" s="112"/>
      <c r="W58" s="112"/>
      <c r="X58" s="112"/>
      <c r="Y58" s="112"/>
      <c r="Z58" s="116"/>
      <c r="AA58" s="116"/>
      <c r="AB58" s="116"/>
      <c r="AC58" s="116"/>
      <c r="AD58" s="116"/>
      <c r="AE58" s="116"/>
      <c r="AF58" s="116"/>
      <c r="AG58" s="116"/>
      <c r="AH58" s="116"/>
      <c r="AI58" s="116"/>
      <c r="AJ58" s="116"/>
      <c r="AK58" s="116"/>
      <c r="AL58" s="116"/>
      <c r="AM58" s="116"/>
      <c r="AN58" s="112"/>
      <c r="AO58" s="112"/>
    </row>
    <row r="59" spans="1:41" ht="18.75" x14ac:dyDescent="0.3">
      <c r="A59" t="s">
        <v>414</v>
      </c>
      <c r="C59" s="20" t="s">
        <v>40</v>
      </c>
      <c r="D59" s="96"/>
      <c r="E59" s="98" t="str">
        <f t="shared" si="27"/>
        <v>VARAM</v>
      </c>
      <c r="F59" s="94">
        <f>SUMIFS('Statusa tabula'!Q:Q,'Statusa tabula'!O:O,C59,'Statusa tabula'!P:P,A59)</f>
        <v>69946629</v>
      </c>
      <c r="G59" s="94">
        <f>SUMIFS('Statusa tabula'!R:R,'Statusa tabula'!O:O,C59,'Statusa tabula'!P:P,A59)</f>
        <v>0</v>
      </c>
      <c r="H59" s="94">
        <f>F59+G59</f>
        <v>69946629</v>
      </c>
      <c r="I59" s="94">
        <f>SUMIFS('Statusa tabula'!S:S,'Statusa tabula'!O:O,C59,'Statusa tabula'!P:P,A59)</f>
        <v>82290153</v>
      </c>
      <c r="J59" s="94">
        <f>SUMIFS('Statusa tabula'!X:X,'Statusa tabula'!O:O,C59,'Statusa tabula'!P:P,A59)</f>
        <v>69562834.680000007</v>
      </c>
      <c r="K59" s="100">
        <f t="shared" si="1"/>
        <v>0.99451304050692713</v>
      </c>
      <c r="L59" s="94">
        <f>SUMIFS('Statusa tabula'!AL:AL,'Statusa tabula'!O:O,C59,'Statusa tabula'!P:P,A59)</f>
        <v>56193825.659999996</v>
      </c>
      <c r="M59" s="100">
        <f t="shared" si="2"/>
        <v>0.80338147046371589</v>
      </c>
      <c r="N59" s="94">
        <f>SUMIFS('Statusa tabula'!AZ:AZ,'Statusa tabula'!O:O,C59,'Statusa tabula'!P:P,A59)</f>
        <v>16593372.850000001</v>
      </c>
      <c r="O59" s="95">
        <f t="shared" si="3"/>
        <v>0.2372290571715758</v>
      </c>
      <c r="P59" s="112"/>
      <c r="Q59" s="112"/>
      <c r="R59" s="112"/>
      <c r="S59" s="112"/>
      <c r="T59" s="112"/>
      <c r="U59" s="112"/>
      <c r="V59" s="112"/>
      <c r="W59" s="112"/>
    </row>
    <row r="60" spans="1:41" s="114" customFormat="1" ht="20.25" hidden="1" x14ac:dyDescent="0.3">
      <c r="A60" t="s">
        <v>415</v>
      </c>
      <c r="B60"/>
      <c r="C60" s="20" t="s">
        <v>40</v>
      </c>
      <c r="D60" s="97"/>
      <c r="E60" s="98" t="str">
        <f t="shared" si="27"/>
        <v>VK</v>
      </c>
      <c r="F60" s="94">
        <f>SUMIFS('Statusa tabula'!Q:Q,'Statusa tabula'!O:O,C60,'Statusa tabula'!P:P,A60)</f>
        <v>0</v>
      </c>
      <c r="G60" s="94">
        <f>SUMIFS('Statusa tabula'!R:R,'Statusa tabula'!O:O,C60,'Statusa tabula'!P:P,A60)</f>
        <v>0</v>
      </c>
      <c r="H60" s="94"/>
      <c r="I60" s="94">
        <f>SUMIFS('Statusa tabula'!S:S,'Statusa tabula'!O:O,C60,'Statusa tabula'!P:P,A60)</f>
        <v>0</v>
      </c>
      <c r="J60" s="94">
        <f>SUMIFS('Statusa tabula'!X:X,'Statusa tabula'!O:O,C60,'Statusa tabula'!P:P,A60)</f>
        <v>0</v>
      </c>
      <c r="K60" s="100" t="e">
        <f t="shared" si="1"/>
        <v>#DIV/0!</v>
      </c>
      <c r="L60" s="94">
        <f>SUMIFS('Statusa tabula'!AL:AL,'Statusa tabula'!O:O,C60,'Statusa tabula'!P:P,A60)</f>
        <v>0</v>
      </c>
      <c r="M60" s="100" t="e">
        <f t="shared" si="2"/>
        <v>#DIV/0!</v>
      </c>
      <c r="N60" s="94">
        <f>SUMIFS('Statusa tabula'!AZ:AZ,'Statusa tabula'!O:O,C60,'Statusa tabula'!P:P,A60)</f>
        <v>0</v>
      </c>
      <c r="O60" s="95" t="e">
        <f t="shared" si="3"/>
        <v>#DIV/0!</v>
      </c>
      <c r="P60" s="112"/>
      <c r="Q60" s="112"/>
      <c r="R60" s="112"/>
      <c r="S60" s="112"/>
      <c r="T60" s="112"/>
      <c r="U60" s="112"/>
      <c r="V60" s="112"/>
      <c r="W60" s="112"/>
      <c r="X60" s="112"/>
      <c r="Y60" s="112"/>
      <c r="Z60"/>
      <c r="AA60"/>
      <c r="AB60"/>
      <c r="AC60"/>
      <c r="AD60"/>
      <c r="AE60"/>
      <c r="AF60"/>
      <c r="AG60"/>
      <c r="AH60"/>
      <c r="AI60"/>
      <c r="AJ60"/>
      <c r="AK60"/>
      <c r="AL60"/>
      <c r="AM60"/>
      <c r="AN60" s="112"/>
      <c r="AO60" s="112"/>
    </row>
    <row r="61" spans="1:41" customFormat="1" ht="18.75" hidden="1" x14ac:dyDescent="0.3">
      <c r="A61" t="s">
        <v>416</v>
      </c>
      <c r="C61" s="20" t="s">
        <v>40</v>
      </c>
      <c r="D61" s="96"/>
      <c r="E61" s="98" t="str">
        <f t="shared" si="27"/>
        <v>VM</v>
      </c>
      <c r="F61" s="94">
        <f>SUMIFS('Statusa tabula'!Q:Q,'Statusa tabula'!O:O,C61,'Statusa tabula'!P:P,A61)</f>
        <v>0</v>
      </c>
      <c r="G61" s="94">
        <f>SUMIFS('Statusa tabula'!R:R,'Statusa tabula'!O:O,C61,'Statusa tabula'!P:P,A61)</f>
        <v>0</v>
      </c>
      <c r="H61" s="94"/>
      <c r="I61" s="94">
        <f>SUMIFS('Statusa tabula'!S:S,'Statusa tabula'!O:O,C61,'Statusa tabula'!P:P,A61)</f>
        <v>0</v>
      </c>
      <c r="J61" s="94">
        <f>SUMIFS('Statusa tabula'!X:X,'Statusa tabula'!O:O,C61,'Statusa tabula'!P:P,A61)</f>
        <v>0</v>
      </c>
      <c r="K61" s="100" t="e">
        <f t="shared" si="1"/>
        <v>#DIV/0!</v>
      </c>
      <c r="L61" s="94">
        <f>SUMIFS('Statusa tabula'!AL:AL,'Statusa tabula'!O:O,C61,'Statusa tabula'!P:P,A61)</f>
        <v>0</v>
      </c>
      <c r="M61" s="100" t="e">
        <f t="shared" si="2"/>
        <v>#DIV/0!</v>
      </c>
      <c r="N61" s="94">
        <f>SUMIFS('Statusa tabula'!AZ:AZ,'Statusa tabula'!O:O,C61,'Statusa tabula'!P:P,A61)</f>
        <v>0</v>
      </c>
      <c r="O61" s="95" t="e">
        <f t="shared" si="3"/>
        <v>#DIV/0!</v>
      </c>
      <c r="Z61" s="116"/>
      <c r="AA61" s="116"/>
      <c r="AB61" s="116"/>
      <c r="AC61" s="116"/>
      <c r="AD61" s="116"/>
      <c r="AE61" s="116"/>
      <c r="AF61" s="116"/>
      <c r="AG61" s="116"/>
      <c r="AH61" s="116"/>
      <c r="AI61" s="116"/>
      <c r="AJ61" s="116"/>
      <c r="AK61" s="116"/>
      <c r="AL61" s="116"/>
      <c r="AM61" s="116"/>
    </row>
    <row r="62" spans="1:41" ht="20.25" x14ac:dyDescent="0.3">
      <c r="C62" s="20"/>
      <c r="D62" s="96"/>
      <c r="E62" s="97" t="s">
        <v>41</v>
      </c>
      <c r="F62" s="93">
        <f>SUM(F63:F74)</f>
        <v>191606820.07999998</v>
      </c>
      <c r="G62" s="93">
        <f>SUM(G63:G74)</f>
        <v>0</v>
      </c>
      <c r="H62" s="93">
        <f t="shared" ref="H62:H64" si="28">F62+G62</f>
        <v>191606820.07999998</v>
      </c>
      <c r="I62" s="93">
        <f>SUM(I63:I74)</f>
        <v>224119295.07999998</v>
      </c>
      <c r="J62" s="93">
        <f>SUM(J63:J74)</f>
        <v>148605530.51999998</v>
      </c>
      <c r="K62" s="99">
        <f t="shared" si="1"/>
        <v>0.77557537074073857</v>
      </c>
      <c r="L62" s="93">
        <f>SUM(L63:L74)</f>
        <v>126711381.63</v>
      </c>
      <c r="M62" s="99">
        <f t="shared" si="2"/>
        <v>0.66130934993386592</v>
      </c>
      <c r="N62" s="93">
        <f>SUM(N63:N74)</f>
        <v>46489938.528799996</v>
      </c>
      <c r="O62" s="99">
        <f t="shared" si="3"/>
        <v>0.24263196116604535</v>
      </c>
      <c r="P62" s="112"/>
      <c r="Q62" s="112"/>
      <c r="R62" s="112"/>
      <c r="S62" s="112"/>
      <c r="T62" s="112"/>
      <c r="U62" s="112"/>
      <c r="V62" s="112"/>
      <c r="W62" s="112"/>
    </row>
    <row r="63" spans="1:41" ht="18.75" x14ac:dyDescent="0.3">
      <c r="A63" t="s">
        <v>406</v>
      </c>
      <c r="C63" s="20" t="s">
        <v>41</v>
      </c>
      <c r="D63" s="96"/>
      <c r="E63" s="98" t="str">
        <f t="shared" ref="E63:E74" si="29">A63</f>
        <v>EM</v>
      </c>
      <c r="F63" s="94">
        <f>SUMIFS('Statusa tabula'!Q:Q,'Statusa tabula'!O:O,C63,'Statusa tabula'!P:P,A63)</f>
        <v>35298850</v>
      </c>
      <c r="G63" s="94">
        <f>SUMIFS('Statusa tabula'!R:R,'Statusa tabula'!O:O,C63,'Statusa tabula'!P:P,A63)</f>
        <v>0</v>
      </c>
      <c r="H63" s="94">
        <f t="shared" si="28"/>
        <v>35298850</v>
      </c>
      <c r="I63" s="94">
        <f>SUMIFS('Statusa tabula'!S:S,'Statusa tabula'!O:O,C63,'Statusa tabula'!P:P,A63)</f>
        <v>41528059</v>
      </c>
      <c r="J63" s="94">
        <f>SUMIFS('Statusa tabula'!X:X,'Statusa tabula'!O:O,C63,'Statusa tabula'!P:P,A63)</f>
        <v>35298850</v>
      </c>
      <c r="K63" s="100">
        <f t="shared" si="1"/>
        <v>1</v>
      </c>
      <c r="L63" s="94">
        <f>SUMIFS('Statusa tabula'!AL:AL,'Statusa tabula'!O:O,C63,'Statusa tabula'!P:P,A63)</f>
        <v>35298850</v>
      </c>
      <c r="M63" s="100">
        <f t="shared" si="2"/>
        <v>1</v>
      </c>
      <c r="N63" s="94">
        <f>SUMIFS('Statusa tabula'!AZ:AZ,'Statusa tabula'!O:O,C63,'Statusa tabula'!P:P,A63)</f>
        <v>10589655.039999999</v>
      </c>
      <c r="O63" s="95">
        <f t="shared" si="3"/>
        <v>0.30000000113318137</v>
      </c>
      <c r="P63" s="112"/>
      <c r="Q63" s="112"/>
      <c r="R63" s="112"/>
      <c r="S63" s="112"/>
      <c r="T63" s="112"/>
      <c r="U63" s="112"/>
      <c r="V63" s="112"/>
      <c r="W63" s="112"/>
    </row>
    <row r="64" spans="1:41" ht="18.75" x14ac:dyDescent="0.3">
      <c r="A64" t="s">
        <v>321</v>
      </c>
      <c r="C64" s="20" t="s">
        <v>41</v>
      </c>
      <c r="D64" s="96"/>
      <c r="E64" s="98" t="str">
        <f t="shared" si="29"/>
        <v>FM</v>
      </c>
      <c r="F64" s="94">
        <f>SUMIFS('Statusa tabula'!Q:Q,'Statusa tabula'!O:O,C64,'Statusa tabula'!P:P,A64)</f>
        <v>7369493.0800000001</v>
      </c>
      <c r="G64" s="94">
        <f>SUMIFS('Statusa tabula'!R:R,'Statusa tabula'!O:O,C64,'Statusa tabula'!P:P,A64)</f>
        <v>0</v>
      </c>
      <c r="H64" s="94">
        <f t="shared" si="28"/>
        <v>7369493.0800000001</v>
      </c>
      <c r="I64" s="94">
        <f>SUMIFS('Statusa tabula'!S:S,'Statusa tabula'!O:O,C64,'Statusa tabula'!P:P,A64)</f>
        <v>7369493.0800000001</v>
      </c>
      <c r="J64" s="94">
        <f>SUMIFS('Statusa tabula'!X:X,'Statusa tabula'!O:O,C64,'Statusa tabula'!P:P,A64)</f>
        <v>7369493.0800000001</v>
      </c>
      <c r="K64" s="100">
        <f t="shared" si="1"/>
        <v>1</v>
      </c>
      <c r="L64" s="94">
        <f>SUMIFS('Statusa tabula'!AL:AL,'Statusa tabula'!O:O,C64,'Statusa tabula'!P:P,A64)</f>
        <v>7369493.0800000001</v>
      </c>
      <c r="M64" s="100">
        <f t="shared" si="2"/>
        <v>1</v>
      </c>
      <c r="N64" s="94">
        <f>SUMIFS('Statusa tabula'!AZ:AZ,'Statusa tabula'!O:O,C64,'Statusa tabula'!P:P,A64)</f>
        <v>1788074.5588000002</v>
      </c>
      <c r="O64" s="95">
        <f t="shared" si="3"/>
        <v>0.24263196116604538</v>
      </c>
      <c r="P64" s="112"/>
      <c r="Q64" s="112"/>
      <c r="R64" s="112"/>
      <c r="S64" s="112"/>
      <c r="T64" s="112"/>
      <c r="U64" s="112"/>
      <c r="V64" s="112"/>
      <c r="W64" s="112"/>
    </row>
    <row r="65" spans="1:41" s="114" customFormat="1" ht="18.75" hidden="1" x14ac:dyDescent="0.3">
      <c r="A65" t="s">
        <v>407</v>
      </c>
      <c r="B65"/>
      <c r="C65" s="20" t="s">
        <v>41</v>
      </c>
      <c r="D65" s="96"/>
      <c r="E65" s="98" t="str">
        <f t="shared" si="29"/>
        <v>IeM</v>
      </c>
      <c r="F65" s="94">
        <f>SUMIFS('Statusa tabula'!Q:Q,'Statusa tabula'!O:O,C65,'Statusa tabula'!P:P,A65)</f>
        <v>0</v>
      </c>
      <c r="G65" s="94">
        <f>SUMIFS('Statusa tabula'!R:R,'Statusa tabula'!O:O,C65,'Statusa tabula'!P:P,A65)</f>
        <v>0</v>
      </c>
      <c r="H65" s="94"/>
      <c r="I65" s="94">
        <f>SUMIFS('Statusa tabula'!S:S,'Statusa tabula'!O:O,C65,'Statusa tabula'!P:P,A65)</f>
        <v>0</v>
      </c>
      <c r="J65" s="94">
        <f>SUMIFS('Statusa tabula'!X:X,'Statusa tabula'!O:O,C65,'Statusa tabula'!P:P,A65)</f>
        <v>0</v>
      </c>
      <c r="K65" s="100" t="e">
        <f t="shared" si="1"/>
        <v>#DIV/0!</v>
      </c>
      <c r="L65" s="94">
        <f>SUMIFS('Statusa tabula'!AL:AL,'Statusa tabula'!O:O,C65,'Statusa tabula'!P:P,A65)</f>
        <v>0</v>
      </c>
      <c r="M65" s="100" t="e">
        <f t="shared" si="2"/>
        <v>#DIV/0!</v>
      </c>
      <c r="N65" s="94">
        <f>SUMIFS('Statusa tabula'!AZ:AZ,'Statusa tabula'!O:O,C65,'Statusa tabula'!P:P,A65)</f>
        <v>0</v>
      </c>
      <c r="O65" s="95" t="e">
        <f t="shared" si="3"/>
        <v>#DIV/0!</v>
      </c>
      <c r="P65" s="112"/>
      <c r="Q65" s="112"/>
      <c r="R65" s="112"/>
      <c r="S65" s="112"/>
      <c r="T65" s="112"/>
      <c r="U65" s="112"/>
      <c r="V65" s="112"/>
      <c r="W65" s="112"/>
      <c r="X65" s="112"/>
      <c r="Y65" s="112"/>
      <c r="Z65" s="116"/>
      <c r="AA65" s="116"/>
      <c r="AB65" s="116"/>
      <c r="AC65" s="116"/>
      <c r="AD65" s="116"/>
      <c r="AE65" s="116"/>
      <c r="AF65" s="116"/>
      <c r="AG65" s="116"/>
      <c r="AH65" s="116"/>
      <c r="AI65" s="116"/>
      <c r="AJ65" s="116"/>
      <c r="AK65" s="116"/>
      <c r="AL65" s="116"/>
      <c r="AM65" s="116"/>
      <c r="AN65"/>
      <c r="AO65" s="112"/>
    </row>
    <row r="66" spans="1:41" ht="18.75" x14ac:dyDescent="0.3">
      <c r="A66" t="s">
        <v>408</v>
      </c>
      <c r="C66" s="20" t="s">
        <v>41</v>
      </c>
      <c r="D66" s="96"/>
      <c r="E66" s="98" t="str">
        <f t="shared" si="29"/>
        <v>IZM</v>
      </c>
      <c r="F66" s="94">
        <f>SUMIFS('Statusa tabula'!Q:Q,'Statusa tabula'!O:O,C66,'Statusa tabula'!P:P,A66)</f>
        <v>22030404</v>
      </c>
      <c r="G66" s="94">
        <f>SUMIFS('Statusa tabula'!R:R,'Statusa tabula'!O:O,C66,'Statusa tabula'!P:P,A66)</f>
        <v>0</v>
      </c>
      <c r="H66" s="94">
        <f>F66+G66</f>
        <v>22030404</v>
      </c>
      <c r="I66" s="94">
        <f>SUMIFS('Statusa tabula'!S:S,'Statusa tabula'!O:O,C66,'Statusa tabula'!P:P,A66)</f>
        <v>25918123</v>
      </c>
      <c r="J66" s="94">
        <f>SUMIFS('Statusa tabula'!X:X,'Statusa tabula'!O:O,C66,'Statusa tabula'!P:P,A66)</f>
        <v>20583451</v>
      </c>
      <c r="K66" s="100">
        <f t="shared" si="1"/>
        <v>0.93432017860407823</v>
      </c>
      <c r="L66" s="94">
        <f>SUMIFS('Statusa tabula'!AL:AL,'Statusa tabula'!O:O,C66,'Statusa tabula'!P:P,A66)</f>
        <v>20583451</v>
      </c>
      <c r="M66" s="100">
        <f t="shared" si="2"/>
        <v>0.93432017860407823</v>
      </c>
      <c r="N66" s="94">
        <f>SUMIFS('Statusa tabula'!AZ:AZ,'Statusa tabula'!O:O,C66,'Statusa tabula'!P:P,A66)</f>
        <v>1121185.1500000001</v>
      </c>
      <c r="O66" s="95">
        <f t="shared" si="3"/>
        <v>5.0892627752082989E-2</v>
      </c>
      <c r="P66" s="112"/>
      <c r="Q66" s="112"/>
      <c r="R66" s="112"/>
      <c r="S66" s="112"/>
      <c r="T66" s="112"/>
      <c r="U66" s="112"/>
      <c r="V66" s="112"/>
      <c r="W66" s="112"/>
    </row>
    <row r="67" spans="1:41" customFormat="1" ht="18.75" hidden="1" x14ac:dyDescent="0.3">
      <c r="A67" t="s">
        <v>409</v>
      </c>
      <c r="C67" s="20" t="s">
        <v>41</v>
      </c>
      <c r="D67" s="96"/>
      <c r="E67" s="98" t="str">
        <f t="shared" si="29"/>
        <v>KEM</v>
      </c>
      <c r="F67" s="94">
        <f>SUMIFS('Statusa tabula'!Q:Q,'Statusa tabula'!O:O,C67,'Statusa tabula'!P:P,A67)</f>
        <v>0</v>
      </c>
      <c r="G67" s="94">
        <f>SUMIFS('Statusa tabula'!R:R,'Statusa tabula'!O:O,C67,'Statusa tabula'!P:P,A67)</f>
        <v>0</v>
      </c>
      <c r="H67" s="94"/>
      <c r="I67" s="94">
        <f>SUMIFS('Statusa tabula'!S:S,'Statusa tabula'!O:O,C67,'Statusa tabula'!P:P,A67)</f>
        <v>0</v>
      </c>
      <c r="J67" s="94">
        <f>SUMIFS('Statusa tabula'!X:X,'Statusa tabula'!O:O,C67,'Statusa tabula'!P:P,A67)</f>
        <v>0</v>
      </c>
      <c r="K67" s="100" t="e">
        <f t="shared" si="1"/>
        <v>#DIV/0!</v>
      </c>
      <c r="L67" s="94">
        <f>SUMIFS('Statusa tabula'!AL:AL,'Statusa tabula'!O:O,C67,'Statusa tabula'!P:P,A67)</f>
        <v>0</v>
      </c>
      <c r="M67" s="100" t="e">
        <f t="shared" si="2"/>
        <v>#DIV/0!</v>
      </c>
      <c r="N67" s="94">
        <f>SUMIFS('Statusa tabula'!AZ:AZ,'Statusa tabula'!O:O,C67,'Statusa tabula'!P:P,A67)</f>
        <v>0</v>
      </c>
      <c r="O67" s="95" t="e">
        <f t="shared" si="3"/>
        <v>#DIV/0!</v>
      </c>
    </row>
    <row r="68" spans="1:41" s="114" customFormat="1" ht="18.75" hidden="1" x14ac:dyDescent="0.3">
      <c r="A68" t="s">
        <v>410</v>
      </c>
      <c r="B68"/>
      <c r="C68" s="20" t="s">
        <v>41</v>
      </c>
      <c r="D68" s="96"/>
      <c r="E68" s="98" t="str">
        <f t="shared" si="29"/>
        <v>KM</v>
      </c>
      <c r="F68" s="94">
        <f>SUMIFS('Statusa tabula'!Q:Q,'Statusa tabula'!O:O,C68,'Statusa tabula'!P:P,A68)</f>
        <v>0</v>
      </c>
      <c r="G68" s="94">
        <f>SUMIFS('Statusa tabula'!R:R,'Statusa tabula'!O:O,C68,'Statusa tabula'!P:P,A68)</f>
        <v>0</v>
      </c>
      <c r="H68" s="94"/>
      <c r="I68" s="94">
        <f>SUMIFS('Statusa tabula'!S:S,'Statusa tabula'!O:O,C68,'Statusa tabula'!P:P,A68)</f>
        <v>0</v>
      </c>
      <c r="J68" s="94">
        <f>SUMIFS('Statusa tabula'!X:X,'Statusa tabula'!O:O,C68,'Statusa tabula'!P:P,A68)</f>
        <v>0</v>
      </c>
      <c r="K68" s="100" t="e">
        <f t="shared" si="1"/>
        <v>#DIV/0!</v>
      </c>
      <c r="L68" s="94">
        <f>SUMIFS('Statusa tabula'!AL:AL,'Statusa tabula'!O:O,C68,'Statusa tabula'!P:P,A68)</f>
        <v>0</v>
      </c>
      <c r="M68" s="100" t="e">
        <f t="shared" si="2"/>
        <v>#DIV/0!</v>
      </c>
      <c r="N68" s="94">
        <f>SUMIFS('Statusa tabula'!AZ:AZ,'Statusa tabula'!O:O,C68,'Statusa tabula'!P:P,A68)</f>
        <v>0</v>
      </c>
      <c r="O68" s="95" t="e">
        <f t="shared" si="3"/>
        <v>#DIV/0!</v>
      </c>
      <c r="P68" s="112"/>
      <c r="Q68" s="112"/>
      <c r="R68" s="112"/>
      <c r="S68" s="112"/>
      <c r="T68" s="112"/>
      <c r="U68" s="112"/>
      <c r="V68" s="112"/>
      <c r="W68" s="112"/>
      <c r="X68" s="112"/>
      <c r="Y68" s="112"/>
      <c r="Z68"/>
      <c r="AA68"/>
      <c r="AB68"/>
      <c r="AC68"/>
      <c r="AD68"/>
      <c r="AE68"/>
      <c r="AF68"/>
      <c r="AG68"/>
      <c r="AH68"/>
      <c r="AI68"/>
      <c r="AJ68"/>
      <c r="AK68"/>
      <c r="AL68"/>
      <c r="AM68"/>
      <c r="AN68" s="112"/>
      <c r="AO68" s="112"/>
    </row>
    <row r="69" spans="1:41" customFormat="1" ht="18.75" hidden="1" x14ac:dyDescent="0.3">
      <c r="A69" t="s">
        <v>411</v>
      </c>
      <c r="C69" s="20" t="s">
        <v>41</v>
      </c>
      <c r="D69" s="96"/>
      <c r="E69" s="98" t="str">
        <f t="shared" si="29"/>
        <v>LM</v>
      </c>
      <c r="F69" s="94">
        <f>SUMIFS('Statusa tabula'!Q:Q,'Statusa tabula'!O:O,C69,'Statusa tabula'!P:P,A69)</f>
        <v>0</v>
      </c>
      <c r="G69" s="94">
        <f>SUMIFS('Statusa tabula'!R:R,'Statusa tabula'!O:O,C69,'Statusa tabula'!P:P,A69)</f>
        <v>0</v>
      </c>
      <c r="H69" s="94"/>
      <c r="I69" s="94">
        <f>SUMIFS('Statusa tabula'!S:S,'Statusa tabula'!O:O,C69,'Statusa tabula'!P:P,A69)</f>
        <v>0</v>
      </c>
      <c r="J69" s="94">
        <f>SUMIFS('Statusa tabula'!X:X,'Statusa tabula'!O:O,C69,'Statusa tabula'!P:P,A69)</f>
        <v>0</v>
      </c>
      <c r="K69" s="100" t="e">
        <f t="shared" si="1"/>
        <v>#DIV/0!</v>
      </c>
      <c r="L69" s="94">
        <f>SUMIFS('Statusa tabula'!AL:AL,'Statusa tabula'!O:O,C69,'Statusa tabula'!P:P,A69)</f>
        <v>0</v>
      </c>
      <c r="M69" s="100" t="e">
        <f t="shared" si="2"/>
        <v>#DIV/0!</v>
      </c>
      <c r="N69" s="94">
        <f>SUMIFS('Statusa tabula'!AZ:AZ,'Statusa tabula'!O:O,C69,'Statusa tabula'!P:P,A69)</f>
        <v>0</v>
      </c>
      <c r="O69" s="95" t="e">
        <f t="shared" si="3"/>
        <v>#DIV/0!</v>
      </c>
    </row>
    <row r="70" spans="1:41" s="114" customFormat="1" ht="18.75" hidden="1" x14ac:dyDescent="0.3">
      <c r="A70" t="s">
        <v>412</v>
      </c>
      <c r="B70"/>
      <c r="C70" s="20" t="s">
        <v>41</v>
      </c>
      <c r="D70" s="96"/>
      <c r="E70" s="98" t="str">
        <f t="shared" si="29"/>
        <v>SM</v>
      </c>
      <c r="F70" s="94">
        <f>SUMIFS('Statusa tabula'!Q:Q,'Statusa tabula'!O:O,C70,'Statusa tabula'!P:P,A70)</f>
        <v>0</v>
      </c>
      <c r="G70" s="94">
        <f>SUMIFS('Statusa tabula'!R:R,'Statusa tabula'!O:O,C70,'Statusa tabula'!P:P,A70)</f>
        <v>0</v>
      </c>
      <c r="H70" s="94"/>
      <c r="I70" s="94">
        <f>SUMIFS('Statusa tabula'!S:S,'Statusa tabula'!O:O,C70,'Statusa tabula'!P:P,A70)</f>
        <v>0</v>
      </c>
      <c r="J70" s="94">
        <f>SUMIFS('Statusa tabula'!X:X,'Statusa tabula'!O:O,C70,'Statusa tabula'!P:P,A70)</f>
        <v>0</v>
      </c>
      <c r="K70" s="100" t="e">
        <f t="shared" ref="K70:K74" si="30">J70/F70</f>
        <v>#DIV/0!</v>
      </c>
      <c r="L70" s="94">
        <f>SUMIFS('Statusa tabula'!AL:AL,'Statusa tabula'!O:O,C70,'Statusa tabula'!P:P,A70)</f>
        <v>0</v>
      </c>
      <c r="M70" s="100" t="e">
        <f t="shared" ref="M70:M74" si="31">L70/F70</f>
        <v>#DIV/0!</v>
      </c>
      <c r="N70" s="94">
        <f>SUMIFS('Statusa tabula'!AZ:AZ,'Statusa tabula'!O:O,C70,'Statusa tabula'!P:P,A70)</f>
        <v>0</v>
      </c>
      <c r="O70" s="95" t="e">
        <f t="shared" ref="O70:O74" si="32">N70/F70</f>
        <v>#DIV/0!</v>
      </c>
      <c r="P70" s="112"/>
      <c r="Q70" s="112"/>
      <c r="R70" s="112"/>
      <c r="S70" s="112"/>
      <c r="T70" s="112"/>
      <c r="U70" s="112"/>
      <c r="V70" s="112"/>
      <c r="W70" s="112"/>
      <c r="X70" s="112"/>
      <c r="Y70" s="112"/>
      <c r="Z70"/>
      <c r="AA70"/>
      <c r="AB70"/>
      <c r="AC70"/>
      <c r="AD70"/>
      <c r="AE70"/>
      <c r="AF70"/>
      <c r="AG70"/>
      <c r="AH70"/>
      <c r="AI70"/>
      <c r="AJ70"/>
      <c r="AK70"/>
      <c r="AL70"/>
      <c r="AM70"/>
      <c r="AN70"/>
      <c r="AO70" s="112"/>
    </row>
    <row r="71" spans="1:41" customFormat="1" ht="18.75" hidden="1" x14ac:dyDescent="0.3">
      <c r="A71" t="s">
        <v>413</v>
      </c>
      <c r="C71" s="20" t="s">
        <v>41</v>
      </c>
      <c r="D71" s="96"/>
      <c r="E71" s="98" t="str">
        <f t="shared" si="29"/>
        <v>TM</v>
      </c>
      <c r="F71" s="94">
        <f>SUMIFS('Statusa tabula'!Q:Q,'Statusa tabula'!O:O,C71,'Statusa tabula'!P:P,A71)</f>
        <v>0</v>
      </c>
      <c r="G71" s="94">
        <f>SUMIFS('Statusa tabula'!R:R,'Statusa tabula'!O:O,C71,'Statusa tabula'!P:P,A71)</f>
        <v>0</v>
      </c>
      <c r="H71" s="94"/>
      <c r="I71" s="94">
        <f>SUMIFS('Statusa tabula'!S:S,'Statusa tabula'!O:O,C71,'Statusa tabula'!P:P,A71)</f>
        <v>0</v>
      </c>
      <c r="J71" s="94">
        <f>SUMIFS('Statusa tabula'!X:X,'Statusa tabula'!O:O,C71,'Statusa tabula'!P:P,A71)</f>
        <v>0</v>
      </c>
      <c r="K71" s="100" t="e">
        <f t="shared" si="30"/>
        <v>#DIV/0!</v>
      </c>
      <c r="L71" s="94">
        <f>SUMIFS('Statusa tabula'!AL:AL,'Statusa tabula'!O:O,C71,'Statusa tabula'!P:P,A71)</f>
        <v>0</v>
      </c>
      <c r="M71" s="100" t="e">
        <f t="shared" si="31"/>
        <v>#DIV/0!</v>
      </c>
      <c r="N71" s="94">
        <f>SUMIFS('Statusa tabula'!AZ:AZ,'Statusa tabula'!O:O,C71,'Statusa tabula'!P:P,A71)</f>
        <v>0</v>
      </c>
      <c r="O71" s="95" t="e">
        <f t="shared" si="32"/>
        <v>#DIV/0!</v>
      </c>
      <c r="Z71" s="116"/>
      <c r="AA71" s="116"/>
      <c r="AB71" s="116"/>
      <c r="AC71" s="116"/>
      <c r="AD71" s="116"/>
      <c r="AE71" s="116"/>
      <c r="AF71" s="116"/>
      <c r="AG71" s="116"/>
      <c r="AH71" s="116"/>
      <c r="AI71" s="116"/>
      <c r="AJ71" s="116"/>
      <c r="AK71" s="116"/>
      <c r="AL71" s="116"/>
      <c r="AM71" s="116"/>
      <c r="AN71" s="112"/>
    </row>
    <row r="72" spans="1:41" ht="18.75" x14ac:dyDescent="0.3">
      <c r="A72" t="s">
        <v>414</v>
      </c>
      <c r="C72" s="20" t="s">
        <v>41</v>
      </c>
      <c r="D72" s="96"/>
      <c r="E72" s="98" t="str">
        <f t="shared" si="29"/>
        <v>VARAM</v>
      </c>
      <c r="F72" s="94">
        <f>SUMIFS('Statusa tabula'!Q:Q,'Statusa tabula'!O:O,C72,'Statusa tabula'!P:P,A72)</f>
        <v>126908073</v>
      </c>
      <c r="G72" s="94">
        <f>SUMIFS('Statusa tabula'!R:R,'Statusa tabula'!O:O,C72,'Statusa tabula'!P:P,A72)</f>
        <v>0</v>
      </c>
      <c r="H72" s="94">
        <f>F72+G72</f>
        <v>126908073</v>
      </c>
      <c r="I72" s="94">
        <f>SUMIFS('Statusa tabula'!S:S,'Statusa tabula'!O:O,C72,'Statusa tabula'!P:P,A72)</f>
        <v>149303620</v>
      </c>
      <c r="J72" s="94">
        <f>SUMIFS('Statusa tabula'!X:X,'Statusa tabula'!O:O,C72,'Statusa tabula'!P:P,A72)</f>
        <v>85353736.439999998</v>
      </c>
      <c r="K72" s="100">
        <f t="shared" si="30"/>
        <v>0.67256348963710133</v>
      </c>
      <c r="L72" s="94">
        <f>SUMIFS('Statusa tabula'!AL:AL,'Statusa tabula'!O:O,C72,'Statusa tabula'!P:P,A72)</f>
        <v>63459587.549999997</v>
      </c>
      <c r="M72" s="100">
        <f t="shared" si="31"/>
        <v>0.50004374071616386</v>
      </c>
      <c r="N72" s="94">
        <f>SUMIFS('Statusa tabula'!AZ:AZ,'Statusa tabula'!O:O,C72,'Statusa tabula'!P:P,A72)</f>
        <v>32991023.779999997</v>
      </c>
      <c r="O72" s="95">
        <f t="shared" si="32"/>
        <v>0.25996000884829445</v>
      </c>
      <c r="P72" s="112"/>
      <c r="Q72" s="112"/>
      <c r="R72" s="112"/>
      <c r="S72" s="112"/>
      <c r="T72" s="112"/>
      <c r="U72" s="112"/>
      <c r="V72" s="112"/>
      <c r="W72" s="112"/>
    </row>
    <row r="73" spans="1:41" s="114" customFormat="1" ht="20.25" hidden="1" x14ac:dyDescent="0.3">
      <c r="A73" t="s">
        <v>415</v>
      </c>
      <c r="B73"/>
      <c r="C73" s="20" t="s">
        <v>41</v>
      </c>
      <c r="D73" s="97"/>
      <c r="E73" s="98" t="str">
        <f t="shared" si="29"/>
        <v>VK</v>
      </c>
      <c r="F73" s="94">
        <f>SUMIFS('Statusa tabula'!Q:Q,'Statusa tabula'!O:O,C73,'Statusa tabula'!P:P,A73)</f>
        <v>0</v>
      </c>
      <c r="G73" s="94">
        <f>SUMIFS('Statusa tabula'!R:R,'Statusa tabula'!O:O,C73,'Statusa tabula'!P:P,A73)</f>
        <v>0</v>
      </c>
      <c r="H73" s="94"/>
      <c r="I73" s="94">
        <f>SUMIFS('Statusa tabula'!S:S,'Statusa tabula'!O:O,C73,'Statusa tabula'!P:P,A73)</f>
        <v>0</v>
      </c>
      <c r="J73" s="94">
        <f>SUMIFS('Statusa tabula'!X:X,'Statusa tabula'!O:O,C73,'Statusa tabula'!P:P,A73)</f>
        <v>0</v>
      </c>
      <c r="K73" s="100" t="e">
        <f t="shared" si="30"/>
        <v>#DIV/0!</v>
      </c>
      <c r="L73" s="94">
        <f>SUMIFS('Statusa tabula'!AL:AL,'Statusa tabula'!O:O,C73,'Statusa tabula'!P:P,A73)</f>
        <v>0</v>
      </c>
      <c r="M73" s="100" t="e">
        <f t="shared" si="31"/>
        <v>#DIV/0!</v>
      </c>
      <c r="N73" s="94">
        <f>SUMIFS('Statusa tabula'!AZ:AZ,'Statusa tabula'!O:O,C73,'Statusa tabula'!P:P,A73)</f>
        <v>0</v>
      </c>
      <c r="O73" s="95" t="e">
        <f t="shared" si="32"/>
        <v>#DIV/0!</v>
      </c>
      <c r="P73" s="112"/>
      <c r="Q73" s="112"/>
      <c r="R73" s="112"/>
      <c r="S73" s="112"/>
      <c r="T73" s="112"/>
      <c r="U73" s="112"/>
      <c r="V73" s="112"/>
      <c r="W73" s="112"/>
      <c r="X73" s="112"/>
      <c r="Y73" s="112"/>
      <c r="Z73"/>
      <c r="AA73"/>
      <c r="AB73"/>
      <c r="AC73"/>
      <c r="AD73"/>
      <c r="AE73"/>
      <c r="AF73"/>
      <c r="AG73"/>
      <c r="AH73"/>
      <c r="AI73"/>
      <c r="AJ73"/>
      <c r="AK73"/>
      <c r="AL73"/>
      <c r="AM73"/>
      <c r="AN73" s="112"/>
      <c r="AO73" s="112"/>
    </row>
    <row r="74" spans="1:41" s="114" customFormat="1" ht="18.75" hidden="1" x14ac:dyDescent="0.3">
      <c r="A74" t="s">
        <v>416</v>
      </c>
      <c r="B74"/>
      <c r="C74" s="20" t="s">
        <v>41</v>
      </c>
      <c r="D74" s="96"/>
      <c r="E74" s="98" t="str">
        <f t="shared" si="29"/>
        <v>VM</v>
      </c>
      <c r="F74" s="94">
        <f>SUMIFS('Statusa tabula'!Q:Q,'Statusa tabula'!O:O,C74,'Statusa tabula'!P:P,A74)</f>
        <v>0</v>
      </c>
      <c r="G74" s="94">
        <f>SUMIFS('Statusa tabula'!R:R,'Statusa tabula'!O:O,C74,'Statusa tabula'!P:P,A74)</f>
        <v>0</v>
      </c>
      <c r="H74" s="94"/>
      <c r="I74" s="94">
        <f>SUMIFS('Statusa tabula'!S:S,'Statusa tabula'!O:O,C74,'Statusa tabula'!P:P,A74)</f>
        <v>0</v>
      </c>
      <c r="J74" s="94">
        <f>SUMIFS('Statusa tabula'!X:X,'Statusa tabula'!O:O,C74,'Statusa tabula'!P:P,A74)</f>
        <v>0</v>
      </c>
      <c r="K74" s="100" t="e">
        <f t="shared" si="30"/>
        <v>#DIV/0!</v>
      </c>
      <c r="L74" s="94">
        <f>SUMIFS('Statusa tabula'!AL:AL,'Statusa tabula'!O:O,C74,'Statusa tabula'!P:P,A74)</f>
        <v>0</v>
      </c>
      <c r="M74" s="100" t="e">
        <f t="shared" si="31"/>
        <v>#DIV/0!</v>
      </c>
      <c r="N74" s="94">
        <f>SUMIFS('Statusa tabula'!AZ:AZ,'Statusa tabula'!O:O,C74,'Statusa tabula'!P:P,A74)</f>
        <v>0</v>
      </c>
      <c r="O74" s="95" t="e">
        <f t="shared" si="32"/>
        <v>#DIV/0!</v>
      </c>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c r="AO74" s="112"/>
    </row>
    <row r="75" spans="1:41" ht="31.5" customHeight="1" x14ac:dyDescent="0.25">
      <c r="H75" s="120"/>
    </row>
    <row r="76" spans="1:41" x14ac:dyDescent="0.25">
      <c r="H76" s="120"/>
    </row>
    <row r="77" spans="1:41" x14ac:dyDescent="0.25">
      <c r="H77" s="120"/>
    </row>
    <row r="78" spans="1:41" x14ac:dyDescent="0.25">
      <c r="H78" s="120"/>
    </row>
    <row r="79" spans="1:41" x14ac:dyDescent="0.25">
      <c r="H79" s="120"/>
    </row>
    <row r="80" spans="1:41" x14ac:dyDescent="0.25">
      <c r="H80" s="120"/>
    </row>
    <row r="81" spans="8:8" x14ac:dyDescent="0.25">
      <c r="H81" s="120"/>
    </row>
    <row r="82" spans="8:8" ht="13.5" customHeight="1" x14ac:dyDescent="0.25">
      <c r="H82" s="120"/>
    </row>
    <row r="83" spans="8:8" x14ac:dyDescent="0.25">
      <c r="H83" s="120"/>
    </row>
    <row r="84" spans="8:8" x14ac:dyDescent="0.25">
      <c r="H84" s="120"/>
    </row>
    <row r="85" spans="8:8" x14ac:dyDescent="0.25">
      <c r="H85" s="120"/>
    </row>
    <row r="86" spans="8:8" x14ac:dyDescent="0.25">
      <c r="H86" s="120"/>
    </row>
    <row r="87" spans="8:8" x14ac:dyDescent="0.25">
      <c r="H87" s="120"/>
    </row>
    <row r="88" spans="8:8" x14ac:dyDescent="0.25">
      <c r="H88" s="120"/>
    </row>
    <row r="89" spans="8:8" x14ac:dyDescent="0.25">
      <c r="H89" s="120"/>
    </row>
    <row r="90" spans="8:8" x14ac:dyDescent="0.25">
      <c r="H90" s="120"/>
    </row>
    <row r="91" spans="8:8" x14ac:dyDescent="0.25">
      <c r="H91" s="120"/>
    </row>
    <row r="92" spans="8:8" x14ac:dyDescent="0.25">
      <c r="H92" s="120"/>
    </row>
    <row r="93" spans="8:8" x14ac:dyDescent="0.25">
      <c r="H93" s="120"/>
    </row>
    <row r="94" spans="8:8" x14ac:dyDescent="0.25">
      <c r="H94" s="120"/>
    </row>
    <row r="95" spans="8:8" x14ac:dyDescent="0.25">
      <c r="H95" s="120"/>
    </row>
    <row r="96" spans="8:8" x14ac:dyDescent="0.25">
      <c r="H96" s="120"/>
    </row>
    <row r="97" spans="8:8" x14ac:dyDescent="0.25">
      <c r="H97" s="120"/>
    </row>
    <row r="98" spans="8:8" x14ac:dyDescent="0.25">
      <c r="H98" s="120"/>
    </row>
    <row r="99" spans="8:8" x14ac:dyDescent="0.25">
      <c r="H99" s="120"/>
    </row>
    <row r="100" spans="8:8" x14ac:dyDescent="0.25">
      <c r="H100" s="120"/>
    </row>
    <row r="101" spans="8:8" x14ac:dyDescent="0.25">
      <c r="H101" s="120"/>
    </row>
    <row r="102" spans="8:8" x14ac:dyDescent="0.25">
      <c r="H102" s="120"/>
    </row>
    <row r="103" spans="8:8" x14ac:dyDescent="0.25">
      <c r="H103" s="120"/>
    </row>
    <row r="104" spans="8:8" x14ac:dyDescent="0.25">
      <c r="H104" s="120"/>
    </row>
    <row r="105" spans="8:8" x14ac:dyDescent="0.25">
      <c r="H105" s="120"/>
    </row>
    <row r="106" spans="8:8" x14ac:dyDescent="0.25">
      <c r="H106" s="120"/>
    </row>
    <row r="107" spans="8:8" x14ac:dyDescent="0.25">
      <c r="H107" s="120"/>
    </row>
    <row r="108" spans="8:8" x14ac:dyDescent="0.25">
      <c r="H108" s="120"/>
    </row>
    <row r="109" spans="8:8" x14ac:dyDescent="0.25">
      <c r="H109" s="120"/>
    </row>
    <row r="110" spans="8:8" x14ac:dyDescent="0.25">
      <c r="H110" s="120"/>
    </row>
    <row r="111" spans="8:8" x14ac:dyDescent="0.25">
      <c r="H111" s="120"/>
    </row>
    <row r="112" spans="8:8" x14ac:dyDescent="0.25">
      <c r="H112" s="120"/>
    </row>
    <row r="113" spans="8:8" x14ac:dyDescent="0.25">
      <c r="H113" s="120"/>
    </row>
    <row r="114" spans="8:8" x14ac:dyDescent="0.25">
      <c r="H114" s="120"/>
    </row>
    <row r="115" spans="8:8" x14ac:dyDescent="0.25">
      <c r="H115" s="120"/>
    </row>
    <row r="116" spans="8:8" x14ac:dyDescent="0.25">
      <c r="H116" s="120"/>
    </row>
    <row r="117" spans="8:8" x14ac:dyDescent="0.25">
      <c r="H117" s="120"/>
    </row>
    <row r="118" spans="8:8" x14ac:dyDescent="0.25">
      <c r="H118" s="120"/>
    </row>
    <row r="119" spans="8:8" x14ac:dyDescent="0.25">
      <c r="H119" s="120"/>
    </row>
    <row r="120" spans="8:8" x14ac:dyDescent="0.25">
      <c r="H120" s="120"/>
    </row>
    <row r="121" spans="8:8" x14ac:dyDescent="0.25">
      <c r="H121" s="120"/>
    </row>
    <row r="122" spans="8:8" x14ac:dyDescent="0.25">
      <c r="H122" s="120"/>
    </row>
    <row r="123" spans="8:8" x14ac:dyDescent="0.25">
      <c r="H123" s="120"/>
    </row>
    <row r="124" spans="8:8" x14ac:dyDescent="0.25">
      <c r="H124" s="120"/>
    </row>
    <row r="125" spans="8:8" x14ac:dyDescent="0.25">
      <c r="H125" s="120"/>
    </row>
    <row r="126" spans="8:8" x14ac:dyDescent="0.25">
      <c r="H126" s="120"/>
    </row>
    <row r="127" spans="8:8" x14ac:dyDescent="0.25">
      <c r="H127" s="120"/>
    </row>
    <row r="128" spans="8:8" x14ac:dyDescent="0.25">
      <c r="H128" s="120"/>
    </row>
    <row r="129" spans="8:8" x14ac:dyDescent="0.25">
      <c r="H129" s="120"/>
    </row>
    <row r="130" spans="8:8" x14ac:dyDescent="0.25">
      <c r="H130" s="120"/>
    </row>
    <row r="131" spans="8:8" x14ac:dyDescent="0.25">
      <c r="H131" s="120"/>
    </row>
    <row r="132" spans="8:8" x14ac:dyDescent="0.25">
      <c r="H132" s="120"/>
    </row>
    <row r="133" spans="8:8" x14ac:dyDescent="0.25">
      <c r="H133" s="120"/>
    </row>
    <row r="134" spans="8:8" x14ac:dyDescent="0.25">
      <c r="H134" s="120"/>
    </row>
    <row r="135" spans="8:8" x14ac:dyDescent="0.25">
      <c r="H135" s="120"/>
    </row>
    <row r="136" spans="8:8" x14ac:dyDescent="0.25">
      <c r="H136" s="120"/>
    </row>
    <row r="137" spans="8:8" x14ac:dyDescent="0.25">
      <c r="H137" s="120"/>
    </row>
    <row r="138" spans="8:8" x14ac:dyDescent="0.25">
      <c r="H138" s="120"/>
    </row>
    <row r="139" spans="8:8" x14ac:dyDescent="0.25">
      <c r="H139" s="120"/>
    </row>
    <row r="140" spans="8:8" x14ac:dyDescent="0.25">
      <c r="H140" s="120"/>
    </row>
    <row r="141" spans="8:8" x14ac:dyDescent="0.25">
      <c r="H141" s="120"/>
    </row>
    <row r="142" spans="8:8" x14ac:dyDescent="0.25">
      <c r="H142" s="120"/>
    </row>
    <row r="143" spans="8:8" x14ac:dyDescent="0.25">
      <c r="H143" s="120"/>
    </row>
    <row r="144" spans="8:8" x14ac:dyDescent="0.25">
      <c r="H144" s="120"/>
    </row>
    <row r="145" spans="8:8" x14ac:dyDescent="0.25">
      <c r="H145" s="120"/>
    </row>
    <row r="146" spans="8:8" x14ac:dyDescent="0.25">
      <c r="H146" s="120"/>
    </row>
    <row r="147" spans="8:8" x14ac:dyDescent="0.25">
      <c r="H147" s="120"/>
    </row>
    <row r="148" spans="8:8" x14ac:dyDescent="0.25">
      <c r="H148" s="120"/>
    </row>
    <row r="149" spans="8:8" x14ac:dyDescent="0.25">
      <c r="H149" s="120"/>
    </row>
    <row r="150" spans="8:8" x14ac:dyDescent="0.25">
      <c r="H150" s="120"/>
    </row>
    <row r="151" spans="8:8" x14ac:dyDescent="0.25">
      <c r="H151" s="120"/>
    </row>
    <row r="152" spans="8:8" x14ac:dyDescent="0.25">
      <c r="H152" s="120"/>
    </row>
    <row r="153" spans="8:8" x14ac:dyDescent="0.25">
      <c r="H153" s="120"/>
    </row>
    <row r="154" spans="8:8" x14ac:dyDescent="0.25">
      <c r="H154" s="120"/>
    </row>
    <row r="155" spans="8:8" x14ac:dyDescent="0.25">
      <c r="H155" s="120"/>
    </row>
    <row r="156" spans="8:8" x14ac:dyDescent="0.25">
      <c r="H156" s="120"/>
    </row>
    <row r="157" spans="8:8" x14ac:dyDescent="0.25">
      <c r="H157" s="120"/>
    </row>
    <row r="158" spans="8:8" x14ac:dyDescent="0.25">
      <c r="H158" s="120"/>
    </row>
    <row r="159" spans="8:8" x14ac:dyDescent="0.25">
      <c r="H159" s="120"/>
    </row>
    <row r="160" spans="8:8" x14ac:dyDescent="0.25">
      <c r="H160" s="120"/>
    </row>
    <row r="161" spans="8:8" x14ac:dyDescent="0.25">
      <c r="H161" s="120"/>
    </row>
    <row r="162" spans="8:8" x14ac:dyDescent="0.25">
      <c r="H162" s="120"/>
    </row>
    <row r="163" spans="8:8" x14ac:dyDescent="0.25">
      <c r="H163" s="120"/>
    </row>
    <row r="164" spans="8:8" x14ac:dyDescent="0.25">
      <c r="H164" s="120"/>
    </row>
    <row r="165" spans="8:8" x14ac:dyDescent="0.25">
      <c r="H165" s="120"/>
    </row>
    <row r="166" spans="8:8" x14ac:dyDescent="0.25">
      <c r="H166" s="120"/>
    </row>
    <row r="167" spans="8:8" x14ac:dyDescent="0.25">
      <c r="H167" s="120"/>
    </row>
    <row r="168" spans="8:8" x14ac:dyDescent="0.25">
      <c r="H168" s="120"/>
    </row>
    <row r="169" spans="8:8" x14ac:dyDescent="0.25">
      <c r="H169" s="120"/>
    </row>
    <row r="170" spans="8:8" x14ac:dyDescent="0.25">
      <c r="H170" s="120"/>
    </row>
    <row r="171" spans="8:8" x14ac:dyDescent="0.25">
      <c r="H171" s="120"/>
    </row>
    <row r="172" spans="8:8" x14ac:dyDescent="0.25">
      <c r="H172" s="120"/>
    </row>
    <row r="173" spans="8:8" x14ac:dyDescent="0.25">
      <c r="H173" s="120"/>
    </row>
    <row r="174" spans="8:8" x14ac:dyDescent="0.25">
      <c r="H174" s="120"/>
    </row>
    <row r="175" spans="8:8" x14ac:dyDescent="0.25">
      <c r="H175" s="120"/>
    </row>
    <row r="176" spans="8:8" x14ac:dyDescent="0.25">
      <c r="H176" s="120"/>
    </row>
    <row r="177" spans="8:8" x14ac:dyDescent="0.25">
      <c r="H177" s="120"/>
    </row>
    <row r="178" spans="8:8" x14ac:dyDescent="0.25">
      <c r="H178" s="120"/>
    </row>
    <row r="179" spans="8:8" x14ac:dyDescent="0.25">
      <c r="H179" s="120"/>
    </row>
    <row r="180" spans="8:8" x14ac:dyDescent="0.25">
      <c r="H180" s="120"/>
    </row>
    <row r="181" spans="8:8" x14ac:dyDescent="0.25">
      <c r="H181" s="120"/>
    </row>
    <row r="182" spans="8:8" x14ac:dyDescent="0.25">
      <c r="H182" s="120"/>
    </row>
    <row r="183" spans="8:8" x14ac:dyDescent="0.25">
      <c r="H183" s="120"/>
    </row>
    <row r="184" spans="8:8" x14ac:dyDescent="0.25">
      <c r="H184" s="120"/>
    </row>
    <row r="185" spans="8:8" x14ac:dyDescent="0.25">
      <c r="H185" s="120"/>
    </row>
    <row r="186" spans="8:8" x14ac:dyDescent="0.25">
      <c r="H186" s="120"/>
    </row>
    <row r="187" spans="8:8" x14ac:dyDescent="0.25">
      <c r="H187" s="120"/>
    </row>
    <row r="188" spans="8:8" x14ac:dyDescent="0.25">
      <c r="H188" s="120"/>
    </row>
    <row r="189" spans="8:8" x14ac:dyDescent="0.25">
      <c r="H189" s="120"/>
    </row>
    <row r="190" spans="8:8" x14ac:dyDescent="0.25">
      <c r="H190" s="120"/>
    </row>
    <row r="191" spans="8:8" x14ac:dyDescent="0.25">
      <c r="H191" s="120"/>
    </row>
    <row r="192" spans="8:8" x14ac:dyDescent="0.25">
      <c r="H192" s="120"/>
    </row>
    <row r="193" spans="8:8" x14ac:dyDescent="0.25">
      <c r="H193" s="120"/>
    </row>
    <row r="194" spans="8:8" x14ac:dyDescent="0.25">
      <c r="H194" s="120"/>
    </row>
    <row r="195" spans="8:8" x14ac:dyDescent="0.25">
      <c r="H195" s="120"/>
    </row>
    <row r="196" spans="8:8" x14ac:dyDescent="0.25">
      <c r="H196" s="120"/>
    </row>
    <row r="197" spans="8:8" x14ac:dyDescent="0.25">
      <c r="H197" s="120"/>
    </row>
    <row r="198" spans="8:8" x14ac:dyDescent="0.25">
      <c r="H198" s="120"/>
    </row>
    <row r="199" spans="8:8" x14ac:dyDescent="0.25">
      <c r="H199" s="120"/>
    </row>
    <row r="200" spans="8:8" x14ac:dyDescent="0.25">
      <c r="H200" s="120"/>
    </row>
    <row r="201" spans="8:8" x14ac:dyDescent="0.25">
      <c r="H201" s="120"/>
    </row>
    <row r="202" spans="8:8" x14ac:dyDescent="0.25">
      <c r="H202" s="120"/>
    </row>
    <row r="203" spans="8:8" x14ac:dyDescent="0.25">
      <c r="H203" s="120"/>
    </row>
    <row r="204" spans="8:8" x14ac:dyDescent="0.25">
      <c r="H204" s="120"/>
    </row>
    <row r="205" spans="8:8" x14ac:dyDescent="0.25">
      <c r="H205" s="120"/>
    </row>
    <row r="206" spans="8:8" x14ac:dyDescent="0.25">
      <c r="H206" s="120"/>
    </row>
    <row r="207" spans="8:8" x14ac:dyDescent="0.25">
      <c r="H207" s="120"/>
    </row>
    <row r="208" spans="8:8" x14ac:dyDescent="0.25">
      <c r="H208" s="120"/>
    </row>
    <row r="209" spans="8:8" x14ac:dyDescent="0.25">
      <c r="H209" s="120"/>
    </row>
    <row r="210" spans="8:8" x14ac:dyDescent="0.25">
      <c r="H210" s="120"/>
    </row>
    <row r="211" spans="8:8" x14ac:dyDescent="0.25">
      <c r="H211" s="120"/>
    </row>
    <row r="212" spans="8:8" x14ac:dyDescent="0.25">
      <c r="H212" s="120"/>
    </row>
    <row r="213" spans="8:8" x14ac:dyDescent="0.25">
      <c r="H213" s="120"/>
    </row>
    <row r="214" spans="8:8" x14ac:dyDescent="0.25">
      <c r="H214" s="120"/>
    </row>
    <row r="215" spans="8:8" x14ac:dyDescent="0.25">
      <c r="H215" s="120"/>
    </row>
    <row r="216" spans="8:8" x14ac:dyDescent="0.25">
      <c r="H216" s="120"/>
    </row>
    <row r="217" spans="8:8" x14ac:dyDescent="0.25">
      <c r="H217" s="120"/>
    </row>
    <row r="218" spans="8:8" x14ac:dyDescent="0.25">
      <c r="H218" s="120"/>
    </row>
    <row r="219" spans="8:8" x14ac:dyDescent="0.25">
      <c r="H219" s="120"/>
    </row>
    <row r="220" spans="8:8" x14ac:dyDescent="0.25">
      <c r="H220" s="120"/>
    </row>
    <row r="221" spans="8:8" x14ac:dyDescent="0.25">
      <c r="H221" s="120"/>
    </row>
    <row r="222" spans="8:8" x14ac:dyDescent="0.25">
      <c r="H222" s="120"/>
    </row>
    <row r="223" spans="8:8" x14ac:dyDescent="0.25">
      <c r="H223" s="120"/>
    </row>
    <row r="224" spans="8:8" x14ac:dyDescent="0.25">
      <c r="H224" s="120"/>
    </row>
    <row r="225" spans="8:8" x14ac:dyDescent="0.25">
      <c r="H225" s="120"/>
    </row>
    <row r="226" spans="8:8" x14ac:dyDescent="0.25">
      <c r="H226" s="120"/>
    </row>
    <row r="227" spans="8:8" x14ac:dyDescent="0.25">
      <c r="H227" s="120"/>
    </row>
    <row r="228" spans="8:8" x14ac:dyDescent="0.25">
      <c r="H228" s="120"/>
    </row>
    <row r="229" spans="8:8" x14ac:dyDescent="0.25">
      <c r="H229" s="120"/>
    </row>
    <row r="230" spans="8:8" x14ac:dyDescent="0.25">
      <c r="H230" s="120"/>
    </row>
    <row r="231" spans="8:8" x14ac:dyDescent="0.25">
      <c r="H231" s="120"/>
    </row>
    <row r="232" spans="8:8" x14ac:dyDescent="0.25">
      <c r="H232" s="120"/>
    </row>
    <row r="233" spans="8:8" x14ac:dyDescent="0.25">
      <c r="H233" s="120"/>
    </row>
    <row r="234" spans="8:8" x14ac:dyDescent="0.25">
      <c r="H234" s="120"/>
    </row>
    <row r="235" spans="8:8" x14ac:dyDescent="0.25">
      <c r="H235" s="120"/>
    </row>
    <row r="236" spans="8:8" x14ac:dyDescent="0.25">
      <c r="H236" s="120"/>
    </row>
    <row r="237" spans="8:8" x14ac:dyDescent="0.25">
      <c r="H237" s="120"/>
    </row>
    <row r="238" spans="8:8" x14ac:dyDescent="0.25">
      <c r="H238" s="120"/>
    </row>
    <row r="239" spans="8:8" x14ac:dyDescent="0.25">
      <c r="H239" s="120"/>
    </row>
    <row r="240" spans="8:8" x14ac:dyDescent="0.25">
      <c r="H240" s="120"/>
    </row>
    <row r="241" spans="8:8" x14ac:dyDescent="0.25">
      <c r="H241" s="120"/>
    </row>
    <row r="242" spans="8:8" x14ac:dyDescent="0.25">
      <c r="H242" s="120"/>
    </row>
    <row r="243" spans="8:8" x14ac:dyDescent="0.25">
      <c r="H243" s="120"/>
    </row>
    <row r="244" spans="8:8" x14ac:dyDescent="0.25">
      <c r="H244" s="120"/>
    </row>
    <row r="245" spans="8:8" x14ac:dyDescent="0.25">
      <c r="H245" s="120"/>
    </row>
    <row r="246" spans="8:8" x14ac:dyDescent="0.25">
      <c r="H246" s="120"/>
    </row>
    <row r="247" spans="8:8" x14ac:dyDescent="0.25">
      <c r="H247" s="120"/>
    </row>
    <row r="248" spans="8:8" x14ac:dyDescent="0.25">
      <c r="H248" s="120"/>
    </row>
    <row r="249" spans="8:8" x14ac:dyDescent="0.25">
      <c r="H249" s="120"/>
    </row>
    <row r="250" spans="8:8" x14ac:dyDescent="0.25">
      <c r="H250" s="120"/>
    </row>
    <row r="251" spans="8:8" x14ac:dyDescent="0.25">
      <c r="H251" s="120"/>
    </row>
    <row r="252" spans="8:8" x14ac:dyDescent="0.25">
      <c r="H252" s="120"/>
    </row>
    <row r="253" spans="8:8" x14ac:dyDescent="0.25">
      <c r="H253" s="120"/>
    </row>
    <row r="254" spans="8:8" x14ac:dyDescent="0.25">
      <c r="H254" s="120"/>
    </row>
    <row r="255" spans="8:8" x14ac:dyDescent="0.25">
      <c r="H255" s="120"/>
    </row>
    <row r="256" spans="8:8" x14ac:dyDescent="0.25">
      <c r="H256" s="120"/>
    </row>
    <row r="257" spans="8:8" x14ac:dyDescent="0.25">
      <c r="H257" s="120"/>
    </row>
    <row r="258" spans="8:8" x14ac:dyDescent="0.25">
      <c r="H258" s="120"/>
    </row>
    <row r="259" spans="8:8" x14ac:dyDescent="0.25">
      <c r="H259" s="120"/>
    </row>
    <row r="260" spans="8:8" x14ac:dyDescent="0.25">
      <c r="H260" s="120"/>
    </row>
    <row r="261" spans="8:8" x14ac:dyDescent="0.25">
      <c r="H261" s="120"/>
    </row>
    <row r="262" spans="8:8" x14ac:dyDescent="0.25">
      <c r="H262" s="120"/>
    </row>
    <row r="263" spans="8:8" x14ac:dyDescent="0.25">
      <c r="H263" s="120"/>
    </row>
    <row r="264" spans="8:8" x14ac:dyDescent="0.25">
      <c r="H264" s="120"/>
    </row>
    <row r="265" spans="8:8" x14ac:dyDescent="0.25">
      <c r="H265" s="120"/>
    </row>
    <row r="266" spans="8:8" x14ac:dyDescent="0.25">
      <c r="H266" s="120"/>
    </row>
    <row r="267" spans="8:8" x14ac:dyDescent="0.25">
      <c r="H267" s="120"/>
    </row>
    <row r="268" spans="8:8" x14ac:dyDescent="0.25">
      <c r="H268" s="120"/>
    </row>
    <row r="269" spans="8:8" x14ac:dyDescent="0.25">
      <c r="H269" s="120"/>
    </row>
    <row r="270" spans="8:8" x14ac:dyDescent="0.25">
      <c r="H270" s="120"/>
    </row>
    <row r="271" spans="8:8" x14ac:dyDescent="0.25">
      <c r="H271" s="120"/>
    </row>
    <row r="272" spans="8:8" x14ac:dyDescent="0.25">
      <c r="H272" s="120"/>
    </row>
    <row r="273" spans="8:8" x14ac:dyDescent="0.25">
      <c r="H273" s="120"/>
    </row>
    <row r="274" spans="8:8" x14ac:dyDescent="0.25">
      <c r="H274" s="120"/>
    </row>
    <row r="275" spans="8:8" x14ac:dyDescent="0.25">
      <c r="H275" s="120"/>
    </row>
    <row r="276" spans="8:8" x14ac:dyDescent="0.25">
      <c r="H276" s="120"/>
    </row>
    <row r="277" spans="8:8" x14ac:dyDescent="0.25">
      <c r="H277" s="120"/>
    </row>
    <row r="278" spans="8:8" x14ac:dyDescent="0.25">
      <c r="H278" s="120"/>
    </row>
    <row r="279" spans="8:8" x14ac:dyDescent="0.25">
      <c r="H279" s="120"/>
    </row>
    <row r="280" spans="8:8" x14ac:dyDescent="0.25">
      <c r="H280" s="120"/>
    </row>
    <row r="281" spans="8:8" x14ac:dyDescent="0.25">
      <c r="H281" s="120"/>
    </row>
    <row r="282" spans="8:8" x14ac:dyDescent="0.25">
      <c r="H282" s="120"/>
    </row>
    <row r="283" spans="8:8" x14ac:dyDescent="0.25">
      <c r="H283" s="120"/>
    </row>
    <row r="284" spans="8:8" x14ac:dyDescent="0.25">
      <c r="H284" s="120"/>
    </row>
    <row r="285" spans="8:8" x14ac:dyDescent="0.25">
      <c r="H285" s="120"/>
    </row>
    <row r="286" spans="8:8" x14ac:dyDescent="0.25">
      <c r="H286" s="120"/>
    </row>
    <row r="287" spans="8:8" x14ac:dyDescent="0.25">
      <c r="H287" s="120"/>
    </row>
    <row r="288" spans="8:8" x14ac:dyDescent="0.25">
      <c r="H288" s="120"/>
    </row>
    <row r="289" spans="8:8" x14ac:dyDescent="0.25">
      <c r="H289" s="120"/>
    </row>
    <row r="290" spans="8:8" x14ac:dyDescent="0.25">
      <c r="H290" s="120"/>
    </row>
    <row r="291" spans="8:8" x14ac:dyDescent="0.25">
      <c r="H291" s="120"/>
    </row>
    <row r="292" spans="8:8" x14ac:dyDescent="0.25">
      <c r="H292" s="120"/>
    </row>
    <row r="293" spans="8:8" x14ac:dyDescent="0.25">
      <c r="H293" s="120"/>
    </row>
    <row r="294" spans="8:8" x14ac:dyDescent="0.25">
      <c r="H294" s="120"/>
    </row>
    <row r="295" spans="8:8" x14ac:dyDescent="0.25">
      <c r="H295" s="120"/>
    </row>
    <row r="296" spans="8:8" x14ac:dyDescent="0.25">
      <c r="H296" s="120"/>
    </row>
    <row r="297" spans="8:8" x14ac:dyDescent="0.25">
      <c r="H297" s="120"/>
    </row>
    <row r="298" spans="8:8" x14ac:dyDescent="0.25">
      <c r="H298" s="120"/>
    </row>
    <row r="299" spans="8:8" x14ac:dyDescent="0.25">
      <c r="H299" s="120"/>
    </row>
    <row r="300" spans="8:8" x14ac:dyDescent="0.25">
      <c r="H300" s="120"/>
    </row>
    <row r="301" spans="8:8" x14ac:dyDescent="0.25">
      <c r="H301" s="120"/>
    </row>
    <row r="302" spans="8:8" x14ac:dyDescent="0.25">
      <c r="H302" s="120"/>
    </row>
    <row r="303" spans="8:8" x14ac:dyDescent="0.25">
      <c r="H303" s="120"/>
    </row>
    <row r="304" spans="8:8" x14ac:dyDescent="0.25">
      <c r="H304" s="120"/>
    </row>
    <row r="305" spans="8:8" x14ac:dyDescent="0.25">
      <c r="H305" s="120"/>
    </row>
    <row r="306" spans="8:8" x14ac:dyDescent="0.25">
      <c r="H306" s="120"/>
    </row>
    <row r="307" spans="8:8" x14ac:dyDescent="0.25">
      <c r="H307" s="120"/>
    </row>
    <row r="308" spans="8:8" x14ac:dyDescent="0.25">
      <c r="H308" s="120"/>
    </row>
    <row r="309" spans="8:8" x14ac:dyDescent="0.25">
      <c r="H309" s="120"/>
    </row>
    <row r="310" spans="8:8" x14ac:dyDescent="0.25">
      <c r="H310" s="120"/>
    </row>
    <row r="311" spans="8:8" x14ac:dyDescent="0.25">
      <c r="H311" s="120"/>
    </row>
    <row r="312" spans="8:8" x14ac:dyDescent="0.25">
      <c r="H312" s="120"/>
    </row>
    <row r="313" spans="8:8" x14ac:dyDescent="0.25">
      <c r="H313" s="120"/>
    </row>
    <row r="314" spans="8:8" x14ac:dyDescent="0.25">
      <c r="H314" s="120"/>
    </row>
    <row r="315" spans="8:8" x14ac:dyDescent="0.25">
      <c r="H315" s="120"/>
    </row>
    <row r="316" spans="8:8" x14ac:dyDescent="0.25">
      <c r="H316" s="120"/>
    </row>
    <row r="317" spans="8:8" x14ac:dyDescent="0.25">
      <c r="H317" s="120"/>
    </row>
    <row r="318" spans="8:8" x14ac:dyDescent="0.25">
      <c r="H318" s="120"/>
    </row>
    <row r="319" spans="8:8" x14ac:dyDescent="0.25">
      <c r="H319" s="120"/>
    </row>
    <row r="320" spans="8:8" x14ac:dyDescent="0.25">
      <c r="H320" s="120"/>
    </row>
    <row r="321" spans="8:8" x14ac:dyDescent="0.25">
      <c r="H321" s="120"/>
    </row>
    <row r="322" spans="8:8" x14ac:dyDescent="0.25">
      <c r="H322" s="120"/>
    </row>
    <row r="323" spans="8:8" x14ac:dyDescent="0.25">
      <c r="H323" s="120"/>
    </row>
    <row r="324" spans="8:8" x14ac:dyDescent="0.25">
      <c r="H324" s="120"/>
    </row>
    <row r="325" spans="8:8" x14ac:dyDescent="0.25">
      <c r="H325" s="120"/>
    </row>
    <row r="326" spans="8:8" x14ac:dyDescent="0.25">
      <c r="H326" s="120"/>
    </row>
    <row r="327" spans="8:8" x14ac:dyDescent="0.25">
      <c r="H327" s="120"/>
    </row>
    <row r="328" spans="8:8" x14ac:dyDescent="0.25">
      <c r="H328" s="120"/>
    </row>
    <row r="329" spans="8:8" x14ac:dyDescent="0.25">
      <c r="H329" s="120"/>
    </row>
    <row r="330" spans="8:8" x14ac:dyDescent="0.25">
      <c r="H330" s="120"/>
    </row>
    <row r="331" spans="8:8" x14ac:dyDescent="0.25">
      <c r="H331" s="120"/>
    </row>
    <row r="332" spans="8:8" x14ac:dyDescent="0.25">
      <c r="H332" s="120"/>
    </row>
    <row r="333" spans="8:8" x14ac:dyDescent="0.25">
      <c r="H333" s="120"/>
    </row>
    <row r="334" spans="8:8" x14ac:dyDescent="0.25">
      <c r="H334" s="120"/>
    </row>
    <row r="335" spans="8:8" x14ac:dyDescent="0.25">
      <c r="H335" s="120"/>
    </row>
    <row r="336" spans="8:8" x14ac:dyDescent="0.25">
      <c r="H336" s="120"/>
    </row>
    <row r="337" spans="8:8" x14ac:dyDescent="0.25">
      <c r="H337" s="120"/>
    </row>
    <row r="338" spans="8:8" x14ac:dyDescent="0.25">
      <c r="H338" s="120"/>
    </row>
    <row r="339" spans="8:8" x14ac:dyDescent="0.25">
      <c r="H339" s="120"/>
    </row>
    <row r="340" spans="8:8" x14ac:dyDescent="0.25">
      <c r="H340" s="120"/>
    </row>
    <row r="341" spans="8:8" x14ac:dyDescent="0.25">
      <c r="H341" s="120"/>
    </row>
    <row r="342" spans="8:8" x14ac:dyDescent="0.25">
      <c r="H342" s="120"/>
    </row>
    <row r="343" spans="8:8" x14ac:dyDescent="0.25">
      <c r="H343" s="120"/>
    </row>
    <row r="344" spans="8:8" x14ac:dyDescent="0.25">
      <c r="H344" s="120"/>
    </row>
    <row r="345" spans="8:8" x14ac:dyDescent="0.25">
      <c r="H345" s="120"/>
    </row>
    <row r="346" spans="8:8" x14ac:dyDescent="0.25">
      <c r="H346" s="120"/>
    </row>
    <row r="347" spans="8:8" x14ac:dyDescent="0.25">
      <c r="H347" s="120"/>
    </row>
    <row r="348" spans="8:8" x14ac:dyDescent="0.25">
      <c r="H348" s="120"/>
    </row>
    <row r="349" spans="8:8" x14ac:dyDescent="0.25">
      <c r="H349" s="120"/>
    </row>
    <row r="350" spans="8:8" x14ac:dyDescent="0.25">
      <c r="H350" s="120"/>
    </row>
    <row r="351" spans="8:8" x14ac:dyDescent="0.25">
      <c r="H351" s="120"/>
    </row>
    <row r="352" spans="8:8" x14ac:dyDescent="0.25">
      <c r="H352" s="120"/>
    </row>
    <row r="353" spans="8:8" x14ac:dyDescent="0.25">
      <c r="H353" s="120"/>
    </row>
    <row r="354" spans="8:8" x14ac:dyDescent="0.25">
      <c r="H354" s="120"/>
    </row>
    <row r="355" spans="8:8" x14ac:dyDescent="0.25">
      <c r="H355" s="120"/>
    </row>
    <row r="356" spans="8:8" x14ac:dyDescent="0.25">
      <c r="H356" s="120"/>
    </row>
    <row r="357" spans="8:8" x14ac:dyDescent="0.25">
      <c r="H357" s="120"/>
    </row>
    <row r="358" spans="8:8" x14ac:dyDescent="0.25">
      <c r="H358" s="120"/>
    </row>
    <row r="359" spans="8:8" x14ac:dyDescent="0.25">
      <c r="H359" s="120"/>
    </row>
    <row r="360" spans="8:8" x14ac:dyDescent="0.25">
      <c r="H360" s="120"/>
    </row>
    <row r="361" spans="8:8" x14ac:dyDescent="0.25">
      <c r="H361" s="120"/>
    </row>
    <row r="362" spans="8:8" x14ac:dyDescent="0.25">
      <c r="H362" s="120"/>
    </row>
    <row r="363" spans="8:8" x14ac:dyDescent="0.25">
      <c r="H363" s="120"/>
    </row>
    <row r="364" spans="8:8" x14ac:dyDescent="0.25">
      <c r="H364" s="120"/>
    </row>
    <row r="365" spans="8:8" x14ac:dyDescent="0.25">
      <c r="H365" s="120"/>
    </row>
    <row r="366" spans="8:8" x14ac:dyDescent="0.25">
      <c r="H366" s="120"/>
    </row>
    <row r="367" spans="8:8" x14ac:dyDescent="0.25">
      <c r="H367" s="120"/>
    </row>
    <row r="368" spans="8:8" x14ac:dyDescent="0.25">
      <c r="H368" s="120"/>
    </row>
    <row r="369" spans="8:8" x14ac:dyDescent="0.25">
      <c r="H369" s="120"/>
    </row>
    <row r="370" spans="8:8" x14ac:dyDescent="0.25">
      <c r="H370" s="120"/>
    </row>
    <row r="371" spans="8:8" x14ac:dyDescent="0.25">
      <c r="H371" s="120"/>
    </row>
    <row r="372" spans="8:8" x14ac:dyDescent="0.25">
      <c r="H372" s="120"/>
    </row>
    <row r="373" spans="8:8" x14ac:dyDescent="0.25">
      <c r="H373" s="120"/>
    </row>
    <row r="374" spans="8:8" x14ac:dyDescent="0.25">
      <c r="H374" s="120"/>
    </row>
    <row r="375" spans="8:8" x14ac:dyDescent="0.25">
      <c r="H375" s="120"/>
    </row>
    <row r="376" spans="8:8" x14ac:dyDescent="0.25">
      <c r="H376" s="120"/>
    </row>
    <row r="377" spans="8:8" x14ac:dyDescent="0.25">
      <c r="H377" s="120"/>
    </row>
    <row r="378" spans="8:8" x14ac:dyDescent="0.25">
      <c r="H378" s="120"/>
    </row>
    <row r="379" spans="8:8" x14ac:dyDescent="0.25">
      <c r="H379" s="120"/>
    </row>
    <row r="380" spans="8:8" x14ac:dyDescent="0.25">
      <c r="H380" s="120"/>
    </row>
    <row r="381" spans="8:8" x14ac:dyDescent="0.25">
      <c r="H381" s="120"/>
    </row>
    <row r="382" spans="8:8" x14ac:dyDescent="0.25">
      <c r="H382" s="120"/>
    </row>
    <row r="383" spans="8:8" x14ac:dyDescent="0.25">
      <c r="H383" s="120"/>
    </row>
    <row r="384" spans="8:8" x14ac:dyDescent="0.25">
      <c r="H384" s="120"/>
    </row>
    <row r="385" spans="8:8" x14ac:dyDescent="0.25">
      <c r="H385" s="120"/>
    </row>
    <row r="386" spans="8:8" x14ac:dyDescent="0.25">
      <c r="H386" s="120"/>
    </row>
    <row r="387" spans="8:8" x14ac:dyDescent="0.25">
      <c r="H387" s="120"/>
    </row>
    <row r="388" spans="8:8" x14ac:dyDescent="0.25">
      <c r="H388" s="120"/>
    </row>
    <row r="389" spans="8:8" x14ac:dyDescent="0.25">
      <c r="H389" s="120"/>
    </row>
    <row r="390" spans="8:8" x14ac:dyDescent="0.25">
      <c r="H390" s="120"/>
    </row>
    <row r="391" spans="8:8" x14ac:dyDescent="0.25">
      <c r="H391" s="120"/>
    </row>
    <row r="392" spans="8:8" x14ac:dyDescent="0.25">
      <c r="H392" s="120"/>
    </row>
    <row r="393" spans="8:8" x14ac:dyDescent="0.25">
      <c r="H393" s="120"/>
    </row>
    <row r="394" spans="8:8" x14ac:dyDescent="0.25">
      <c r="H394" s="120"/>
    </row>
    <row r="395" spans="8:8" x14ac:dyDescent="0.25">
      <c r="H395" s="120"/>
    </row>
    <row r="396" spans="8:8" x14ac:dyDescent="0.25">
      <c r="H396" s="120"/>
    </row>
    <row r="397" spans="8:8" x14ac:dyDescent="0.25">
      <c r="H397" s="120"/>
    </row>
    <row r="398" spans="8:8" x14ac:dyDescent="0.25">
      <c r="H398" s="120"/>
    </row>
    <row r="399" spans="8:8" x14ac:dyDescent="0.25">
      <c r="H399" s="120"/>
    </row>
    <row r="400" spans="8:8" x14ac:dyDescent="0.25">
      <c r="H400" s="120"/>
    </row>
    <row r="401" spans="8:8" x14ac:dyDescent="0.25">
      <c r="H401" s="120"/>
    </row>
    <row r="402" spans="8:8" x14ac:dyDescent="0.25">
      <c r="H402" s="120"/>
    </row>
    <row r="403" spans="8:8" x14ac:dyDescent="0.25">
      <c r="H403" s="120"/>
    </row>
    <row r="404" spans="8:8" x14ac:dyDescent="0.25">
      <c r="H404" s="120"/>
    </row>
    <row r="405" spans="8:8" x14ac:dyDescent="0.25">
      <c r="H405" s="120"/>
    </row>
    <row r="406" spans="8:8" x14ac:dyDescent="0.25">
      <c r="H406" s="120"/>
    </row>
    <row r="407" spans="8:8" x14ac:dyDescent="0.25">
      <c r="H407" s="120"/>
    </row>
    <row r="408" spans="8:8" x14ac:dyDescent="0.25">
      <c r="H408" s="120"/>
    </row>
    <row r="409" spans="8:8" x14ac:dyDescent="0.25">
      <c r="H409" s="120"/>
    </row>
    <row r="410" spans="8:8" x14ac:dyDescent="0.25">
      <c r="H410" s="120"/>
    </row>
    <row r="411" spans="8:8" x14ac:dyDescent="0.25">
      <c r="H411" s="120"/>
    </row>
    <row r="412" spans="8:8" x14ac:dyDescent="0.25">
      <c r="H412" s="120"/>
    </row>
    <row r="413" spans="8:8" x14ac:dyDescent="0.25">
      <c r="H413" s="120"/>
    </row>
    <row r="414" spans="8:8" x14ac:dyDescent="0.25">
      <c r="H414" s="120"/>
    </row>
    <row r="415" spans="8:8" x14ac:dyDescent="0.25">
      <c r="H415" s="120"/>
    </row>
    <row r="416" spans="8:8" x14ac:dyDescent="0.25">
      <c r="H416" s="120"/>
    </row>
    <row r="417" spans="8:8" x14ac:dyDescent="0.25">
      <c r="H417" s="120"/>
    </row>
    <row r="418" spans="8:8" x14ac:dyDescent="0.25">
      <c r="H418" s="120"/>
    </row>
    <row r="419" spans="8:8" x14ac:dyDescent="0.25">
      <c r="H419" s="120"/>
    </row>
    <row r="420" spans="8:8" x14ac:dyDescent="0.25">
      <c r="H420" s="120"/>
    </row>
    <row r="421" spans="8:8" x14ac:dyDescent="0.25">
      <c r="H421" s="120"/>
    </row>
    <row r="422" spans="8:8" x14ac:dyDescent="0.25">
      <c r="H422" s="120"/>
    </row>
    <row r="423" spans="8:8" x14ac:dyDescent="0.25">
      <c r="H423" s="120"/>
    </row>
    <row r="424" spans="8:8" x14ac:dyDescent="0.25">
      <c r="H424" s="120"/>
    </row>
    <row r="425" spans="8:8" x14ac:dyDescent="0.25">
      <c r="H425" s="120"/>
    </row>
    <row r="426" spans="8:8" x14ac:dyDescent="0.25">
      <c r="H426" s="120"/>
    </row>
    <row r="427" spans="8:8" x14ac:dyDescent="0.25">
      <c r="H427" s="120"/>
    </row>
    <row r="428" spans="8:8" x14ac:dyDescent="0.25">
      <c r="H428" s="120"/>
    </row>
    <row r="429" spans="8:8" x14ac:dyDescent="0.25">
      <c r="H429" s="120"/>
    </row>
    <row r="430" spans="8:8" x14ac:dyDescent="0.25">
      <c r="H430" s="120"/>
    </row>
    <row r="431" spans="8:8" x14ac:dyDescent="0.25">
      <c r="H431" s="120"/>
    </row>
    <row r="432" spans="8:8" x14ac:dyDescent="0.25">
      <c r="H432" s="120"/>
    </row>
    <row r="433" spans="8:8" x14ac:dyDescent="0.25">
      <c r="H433" s="120"/>
    </row>
    <row r="434" spans="8:8" x14ac:dyDescent="0.25">
      <c r="H434" s="120"/>
    </row>
    <row r="435" spans="8:8" x14ac:dyDescent="0.25">
      <c r="H435" s="120"/>
    </row>
    <row r="436" spans="8:8" x14ac:dyDescent="0.25">
      <c r="H436" s="120"/>
    </row>
    <row r="437" spans="8:8" x14ac:dyDescent="0.25">
      <c r="H437" s="120"/>
    </row>
    <row r="438" spans="8:8" x14ac:dyDescent="0.25">
      <c r="H438" s="120"/>
    </row>
    <row r="439" spans="8:8" x14ac:dyDescent="0.25">
      <c r="H439" s="120"/>
    </row>
    <row r="440" spans="8:8" x14ac:dyDescent="0.25">
      <c r="H440" s="120"/>
    </row>
    <row r="441" spans="8:8" x14ac:dyDescent="0.25">
      <c r="H441" s="120"/>
    </row>
    <row r="442" spans="8:8" x14ac:dyDescent="0.25">
      <c r="H442" s="120"/>
    </row>
    <row r="443" spans="8:8" x14ac:dyDescent="0.25">
      <c r="H443" s="120"/>
    </row>
    <row r="444" spans="8:8" x14ac:dyDescent="0.25">
      <c r="H444" s="120"/>
    </row>
    <row r="445" spans="8:8" x14ac:dyDescent="0.25">
      <c r="H445" s="120"/>
    </row>
    <row r="446" spans="8:8" x14ac:dyDescent="0.25">
      <c r="H446" s="120"/>
    </row>
    <row r="447" spans="8:8" x14ac:dyDescent="0.25">
      <c r="H447" s="120"/>
    </row>
    <row r="448" spans="8:8" x14ac:dyDescent="0.25">
      <c r="H448" s="120"/>
    </row>
    <row r="449" spans="8:8" x14ac:dyDescent="0.25">
      <c r="H449" s="120"/>
    </row>
    <row r="450" spans="8:8" x14ac:dyDescent="0.25">
      <c r="H450" s="120"/>
    </row>
    <row r="451" spans="8:8" x14ac:dyDescent="0.25">
      <c r="H451" s="120"/>
    </row>
    <row r="452" spans="8:8" x14ac:dyDescent="0.25">
      <c r="H452" s="120"/>
    </row>
    <row r="453" spans="8:8" x14ac:dyDescent="0.25">
      <c r="H453" s="120"/>
    </row>
    <row r="454" spans="8:8" x14ac:dyDescent="0.25">
      <c r="H454" s="120"/>
    </row>
    <row r="455" spans="8:8" x14ac:dyDescent="0.25">
      <c r="H455" s="120"/>
    </row>
    <row r="456" spans="8:8" x14ac:dyDescent="0.25">
      <c r="H456" s="120"/>
    </row>
    <row r="457" spans="8:8" x14ac:dyDescent="0.25">
      <c r="H457" s="120"/>
    </row>
    <row r="458" spans="8:8" x14ac:dyDescent="0.25">
      <c r="H458" s="120"/>
    </row>
    <row r="459" spans="8:8" x14ac:dyDescent="0.25">
      <c r="H459" s="120"/>
    </row>
    <row r="460" spans="8:8" x14ac:dyDescent="0.25">
      <c r="H460" s="120"/>
    </row>
    <row r="461" spans="8:8" x14ac:dyDescent="0.25">
      <c r="H461" s="120"/>
    </row>
    <row r="462" spans="8:8" x14ac:dyDescent="0.25">
      <c r="H462" s="120"/>
    </row>
    <row r="463" spans="8:8" x14ac:dyDescent="0.25">
      <c r="H463" s="120"/>
    </row>
    <row r="464" spans="8:8" x14ac:dyDescent="0.25">
      <c r="H464" s="120"/>
    </row>
    <row r="465" spans="8:8" x14ac:dyDescent="0.25">
      <c r="H465" s="120"/>
    </row>
    <row r="466" spans="8:8" x14ac:dyDescent="0.25">
      <c r="H466" s="120"/>
    </row>
    <row r="467" spans="8:8" x14ac:dyDescent="0.25">
      <c r="H467" s="120"/>
    </row>
    <row r="468" spans="8:8" x14ac:dyDescent="0.25">
      <c r="H468" s="120"/>
    </row>
    <row r="469" spans="8:8" x14ac:dyDescent="0.25">
      <c r="H469" s="120"/>
    </row>
    <row r="470" spans="8:8" x14ac:dyDescent="0.25">
      <c r="H470" s="120"/>
    </row>
    <row r="471" spans="8:8" x14ac:dyDescent="0.25">
      <c r="H471" s="120"/>
    </row>
    <row r="472" spans="8:8" x14ac:dyDescent="0.25">
      <c r="H472" s="120"/>
    </row>
    <row r="473" spans="8:8" x14ac:dyDescent="0.25">
      <c r="H473" s="120"/>
    </row>
    <row r="474" spans="8:8" x14ac:dyDescent="0.25">
      <c r="H474" s="120"/>
    </row>
    <row r="475" spans="8:8" x14ac:dyDescent="0.25">
      <c r="H475" s="120"/>
    </row>
    <row r="476" spans="8:8" x14ac:dyDescent="0.25">
      <c r="H476" s="120"/>
    </row>
    <row r="477" spans="8:8" x14ac:dyDescent="0.25">
      <c r="H477" s="120"/>
    </row>
    <row r="478" spans="8:8" x14ac:dyDescent="0.25">
      <c r="H478" s="120"/>
    </row>
    <row r="479" spans="8:8" x14ac:dyDescent="0.25">
      <c r="H479" s="120"/>
    </row>
    <row r="480" spans="8:8" x14ac:dyDescent="0.25">
      <c r="H480" s="120"/>
    </row>
    <row r="481" spans="8:8" x14ac:dyDescent="0.25">
      <c r="H481" s="120"/>
    </row>
    <row r="482" spans="8:8" x14ac:dyDescent="0.25">
      <c r="H482" s="120"/>
    </row>
    <row r="483" spans="8:8" x14ac:dyDescent="0.25">
      <c r="H483" s="120"/>
    </row>
    <row r="484" spans="8:8" x14ac:dyDescent="0.25">
      <c r="H484" s="120"/>
    </row>
    <row r="485" spans="8:8" x14ac:dyDescent="0.25">
      <c r="H485" s="120"/>
    </row>
    <row r="486" spans="8:8" x14ac:dyDescent="0.25">
      <c r="H486" s="120"/>
    </row>
    <row r="487" spans="8:8" x14ac:dyDescent="0.25">
      <c r="H487" s="120"/>
    </row>
    <row r="488" spans="8:8" x14ac:dyDescent="0.25">
      <c r="H488" s="120"/>
    </row>
    <row r="489" spans="8:8" x14ac:dyDescent="0.25">
      <c r="H489" s="120"/>
    </row>
    <row r="490" spans="8:8" x14ac:dyDescent="0.25">
      <c r="H490" s="120"/>
    </row>
    <row r="491" spans="8:8" x14ac:dyDescent="0.25">
      <c r="H491" s="120"/>
    </row>
    <row r="492" spans="8:8" x14ac:dyDescent="0.25">
      <c r="H492" s="120"/>
    </row>
    <row r="493" spans="8:8" x14ac:dyDescent="0.25">
      <c r="H493" s="120"/>
    </row>
    <row r="494" spans="8:8" x14ac:dyDescent="0.25">
      <c r="H494" s="120"/>
    </row>
    <row r="495" spans="8:8" x14ac:dyDescent="0.25">
      <c r="H495" s="120"/>
    </row>
    <row r="496" spans="8:8" x14ac:dyDescent="0.25">
      <c r="H496" s="120"/>
    </row>
    <row r="497" spans="8:8" x14ac:dyDescent="0.25">
      <c r="H497" s="120"/>
    </row>
    <row r="498" spans="8:8" x14ac:dyDescent="0.25">
      <c r="H498" s="120"/>
    </row>
    <row r="499" spans="8:8" x14ac:dyDescent="0.25">
      <c r="H499" s="120"/>
    </row>
    <row r="500" spans="8:8" x14ac:dyDescent="0.25">
      <c r="H500" s="120"/>
    </row>
    <row r="501" spans="8:8" x14ac:dyDescent="0.25">
      <c r="H501" s="120"/>
    </row>
    <row r="502" spans="8:8" x14ac:dyDescent="0.25">
      <c r="H502" s="120"/>
    </row>
    <row r="503" spans="8:8" x14ac:dyDescent="0.25">
      <c r="H503" s="120"/>
    </row>
    <row r="504" spans="8:8" x14ac:dyDescent="0.25">
      <c r="H504" s="120"/>
    </row>
    <row r="505" spans="8:8" x14ac:dyDescent="0.25">
      <c r="H505" s="120"/>
    </row>
    <row r="506" spans="8:8" x14ac:dyDescent="0.25">
      <c r="H506" s="120"/>
    </row>
    <row r="507" spans="8:8" x14ac:dyDescent="0.25">
      <c r="H507" s="120"/>
    </row>
    <row r="508" spans="8:8" x14ac:dyDescent="0.25">
      <c r="H508" s="120"/>
    </row>
    <row r="509" spans="8:8" x14ac:dyDescent="0.25">
      <c r="H509" s="120"/>
    </row>
    <row r="510" spans="8:8" x14ac:dyDescent="0.25">
      <c r="H510" s="120"/>
    </row>
    <row r="511" spans="8:8" x14ac:dyDescent="0.25">
      <c r="H511" s="120"/>
    </row>
    <row r="512" spans="8:8" x14ac:dyDescent="0.25">
      <c r="H512" s="120"/>
    </row>
    <row r="513" spans="8:8" x14ac:dyDescent="0.25">
      <c r="H513" s="120"/>
    </row>
    <row r="514" spans="8:8" x14ac:dyDescent="0.25">
      <c r="H514" s="120"/>
    </row>
    <row r="515" spans="8:8" x14ac:dyDescent="0.25">
      <c r="H515" s="120"/>
    </row>
    <row r="516" spans="8:8" x14ac:dyDescent="0.25">
      <c r="H516" s="120"/>
    </row>
    <row r="517" spans="8:8" x14ac:dyDescent="0.25">
      <c r="H517" s="120"/>
    </row>
    <row r="518" spans="8:8" x14ac:dyDescent="0.25">
      <c r="H518" s="120"/>
    </row>
    <row r="519" spans="8:8" x14ac:dyDescent="0.25">
      <c r="H519" s="120"/>
    </row>
    <row r="520" spans="8:8" x14ac:dyDescent="0.25">
      <c r="H520" s="120"/>
    </row>
    <row r="521" spans="8:8" x14ac:dyDescent="0.25">
      <c r="H521" s="120"/>
    </row>
    <row r="522" spans="8:8" x14ac:dyDescent="0.25">
      <c r="H522" s="120"/>
    </row>
    <row r="523" spans="8:8" x14ac:dyDescent="0.25">
      <c r="H523" s="120"/>
    </row>
    <row r="524" spans="8:8" x14ac:dyDescent="0.25">
      <c r="H524" s="120"/>
    </row>
    <row r="525" spans="8:8" x14ac:dyDescent="0.25">
      <c r="H525" s="120"/>
    </row>
    <row r="526" spans="8:8" x14ac:dyDescent="0.25">
      <c r="H526" s="120"/>
    </row>
    <row r="527" spans="8:8" x14ac:dyDescent="0.25">
      <c r="H527" s="120"/>
    </row>
    <row r="528" spans="8:8" x14ac:dyDescent="0.25">
      <c r="H528" s="120"/>
    </row>
    <row r="529" spans="8:8" x14ac:dyDescent="0.25">
      <c r="H529" s="120"/>
    </row>
    <row r="530" spans="8:8" x14ac:dyDescent="0.25">
      <c r="H530" s="120"/>
    </row>
    <row r="531" spans="8:8" x14ac:dyDescent="0.25">
      <c r="H531" s="120"/>
    </row>
    <row r="532" spans="8:8" x14ac:dyDescent="0.25">
      <c r="H532" s="120"/>
    </row>
    <row r="533" spans="8:8" x14ac:dyDescent="0.25">
      <c r="H533" s="120"/>
    </row>
    <row r="534" spans="8:8" x14ac:dyDescent="0.25">
      <c r="H534" s="120"/>
    </row>
    <row r="535" spans="8:8" x14ac:dyDescent="0.25">
      <c r="H535" s="120"/>
    </row>
    <row r="536" spans="8:8" x14ac:dyDescent="0.25">
      <c r="H536" s="120"/>
    </row>
    <row r="537" spans="8:8" x14ac:dyDescent="0.25">
      <c r="H537" s="120"/>
    </row>
    <row r="538" spans="8:8" x14ac:dyDescent="0.25">
      <c r="H538" s="120"/>
    </row>
    <row r="539" spans="8:8" x14ac:dyDescent="0.25">
      <c r="H539" s="120"/>
    </row>
    <row r="540" spans="8:8" x14ac:dyDescent="0.25">
      <c r="H540" s="120"/>
    </row>
    <row r="541" spans="8:8" x14ac:dyDescent="0.25">
      <c r="H541" s="120"/>
    </row>
    <row r="542" spans="8:8" x14ac:dyDescent="0.25">
      <c r="H542" s="120"/>
    </row>
    <row r="543" spans="8:8" x14ac:dyDescent="0.25">
      <c r="H543" s="120"/>
    </row>
    <row r="544" spans="8:8" x14ac:dyDescent="0.25">
      <c r="H544" s="120"/>
    </row>
    <row r="545" spans="8:8" x14ac:dyDescent="0.25">
      <c r="H545" s="120"/>
    </row>
    <row r="546" spans="8:8" x14ac:dyDescent="0.25">
      <c r="H546" s="120"/>
    </row>
    <row r="547" spans="8:8" x14ac:dyDescent="0.25">
      <c r="H547" s="120"/>
    </row>
    <row r="548" spans="8:8" x14ac:dyDescent="0.25">
      <c r="H548" s="120"/>
    </row>
    <row r="549" spans="8:8" x14ac:dyDescent="0.25">
      <c r="H549" s="120"/>
    </row>
    <row r="550" spans="8:8" x14ac:dyDescent="0.25">
      <c r="H550" s="120"/>
    </row>
    <row r="551" spans="8:8" x14ac:dyDescent="0.25">
      <c r="H551" s="120"/>
    </row>
    <row r="552" spans="8:8" x14ac:dyDescent="0.25">
      <c r="H552" s="120"/>
    </row>
    <row r="553" spans="8:8" x14ac:dyDescent="0.25">
      <c r="H553" s="120"/>
    </row>
    <row r="554" spans="8:8" x14ac:dyDescent="0.25">
      <c r="H554" s="120"/>
    </row>
    <row r="555" spans="8:8" x14ac:dyDescent="0.25">
      <c r="H555" s="120"/>
    </row>
    <row r="556" spans="8:8" x14ac:dyDescent="0.25">
      <c r="H556" s="120"/>
    </row>
    <row r="557" spans="8:8" x14ac:dyDescent="0.25">
      <c r="H557" s="120"/>
    </row>
    <row r="558" spans="8:8" x14ac:dyDescent="0.25">
      <c r="H558" s="120"/>
    </row>
    <row r="559" spans="8:8" x14ac:dyDescent="0.25">
      <c r="H559" s="120"/>
    </row>
    <row r="560" spans="8:8" x14ac:dyDescent="0.25">
      <c r="H560" s="120"/>
    </row>
    <row r="561" spans="8:8" x14ac:dyDescent="0.25">
      <c r="H561" s="120"/>
    </row>
    <row r="562" spans="8:8" x14ac:dyDescent="0.25">
      <c r="H562" s="120"/>
    </row>
    <row r="563" spans="8:8" x14ac:dyDescent="0.25">
      <c r="H563" s="120"/>
    </row>
    <row r="564" spans="8:8" x14ac:dyDescent="0.25">
      <c r="H564" s="120"/>
    </row>
    <row r="565" spans="8:8" x14ac:dyDescent="0.25">
      <c r="H565" s="120"/>
    </row>
    <row r="566" spans="8:8" x14ac:dyDescent="0.25">
      <c r="H566" s="120"/>
    </row>
    <row r="567" spans="8:8" x14ac:dyDescent="0.25">
      <c r="H567" s="120"/>
    </row>
    <row r="568" spans="8:8" x14ac:dyDescent="0.25">
      <c r="H568" s="120"/>
    </row>
    <row r="569" spans="8:8" x14ac:dyDescent="0.25">
      <c r="H569" s="120"/>
    </row>
    <row r="570" spans="8:8" x14ac:dyDescent="0.25">
      <c r="H570" s="120"/>
    </row>
    <row r="571" spans="8:8" x14ac:dyDescent="0.25">
      <c r="H571" s="120"/>
    </row>
    <row r="572" spans="8:8" x14ac:dyDescent="0.25">
      <c r="H572" s="120"/>
    </row>
    <row r="573" spans="8:8" x14ac:dyDescent="0.25">
      <c r="H573" s="120"/>
    </row>
    <row r="574" spans="8:8" x14ac:dyDescent="0.25">
      <c r="H574" s="120"/>
    </row>
    <row r="575" spans="8:8" x14ac:dyDescent="0.25">
      <c r="H575" s="120"/>
    </row>
    <row r="576" spans="8:8" x14ac:dyDescent="0.25">
      <c r="H576" s="120"/>
    </row>
    <row r="577" spans="8:8" x14ac:dyDescent="0.25">
      <c r="H577" s="120"/>
    </row>
    <row r="578" spans="8:8" x14ac:dyDescent="0.25">
      <c r="H578" s="120"/>
    </row>
    <row r="579" spans="8:8" x14ac:dyDescent="0.25">
      <c r="H579" s="120"/>
    </row>
    <row r="580" spans="8:8" x14ac:dyDescent="0.25">
      <c r="H580" s="120"/>
    </row>
    <row r="581" spans="8:8" x14ac:dyDescent="0.25">
      <c r="H581" s="120"/>
    </row>
    <row r="582" spans="8:8" x14ac:dyDescent="0.25">
      <c r="H582" s="120"/>
    </row>
    <row r="583" spans="8:8" x14ac:dyDescent="0.25">
      <c r="H583" s="120"/>
    </row>
    <row r="584" spans="8:8" x14ac:dyDescent="0.25">
      <c r="H584" s="120"/>
    </row>
    <row r="585" spans="8:8" x14ac:dyDescent="0.25">
      <c r="H585" s="120"/>
    </row>
    <row r="586" spans="8:8" x14ac:dyDescent="0.25">
      <c r="H586" s="120"/>
    </row>
    <row r="587" spans="8:8" x14ac:dyDescent="0.25">
      <c r="H587" s="120"/>
    </row>
    <row r="588" spans="8:8" x14ac:dyDescent="0.25">
      <c r="H588" s="120"/>
    </row>
    <row r="589" spans="8:8" x14ac:dyDescent="0.25">
      <c r="H589" s="120"/>
    </row>
    <row r="590" spans="8:8" x14ac:dyDescent="0.25">
      <c r="H590" s="120"/>
    </row>
    <row r="591" spans="8:8" x14ac:dyDescent="0.25">
      <c r="H591" s="120"/>
    </row>
    <row r="592" spans="8:8" x14ac:dyDescent="0.25">
      <c r="H592" s="120"/>
    </row>
    <row r="593" spans="8:8" x14ac:dyDescent="0.25">
      <c r="H593" s="120"/>
    </row>
    <row r="594" spans="8:8" x14ac:dyDescent="0.25">
      <c r="H594" s="120"/>
    </row>
    <row r="595" spans="8:8" x14ac:dyDescent="0.25">
      <c r="H595" s="120"/>
    </row>
    <row r="596" spans="8:8" x14ac:dyDescent="0.25">
      <c r="H596" s="120"/>
    </row>
    <row r="597" spans="8:8" x14ac:dyDescent="0.25">
      <c r="H597" s="120"/>
    </row>
    <row r="598" spans="8:8" x14ac:dyDescent="0.25">
      <c r="H598" s="120"/>
    </row>
    <row r="599" spans="8:8" x14ac:dyDescent="0.25">
      <c r="H599" s="120"/>
    </row>
    <row r="600" spans="8:8" x14ac:dyDescent="0.25">
      <c r="H600" s="120"/>
    </row>
    <row r="601" spans="8:8" x14ac:dyDescent="0.25">
      <c r="H601" s="120"/>
    </row>
    <row r="602" spans="8:8" x14ac:dyDescent="0.25">
      <c r="H602" s="120"/>
    </row>
    <row r="603" spans="8:8" x14ac:dyDescent="0.25">
      <c r="H603" s="120"/>
    </row>
    <row r="604" spans="8:8" x14ac:dyDescent="0.25">
      <c r="H604" s="120"/>
    </row>
    <row r="605" spans="8:8" x14ac:dyDescent="0.25">
      <c r="H605" s="120"/>
    </row>
  </sheetData>
  <autoFilter ref="A5:O74" xr:uid="{73311EA7-478A-4A92-99B1-F18721171623}">
    <filterColumn colId="5">
      <filters>
        <filter val="10 363 449"/>
        <filter val="100 686 295"/>
        <filter val="107 864 543"/>
        <filter val="126 908 073"/>
        <filter val="15 026 148"/>
        <filter val="18 246 193"/>
        <filter val="180 648 147"/>
        <filter val="191 606 820"/>
        <filter val="2 655 114 710"/>
        <filter val="218 947 399"/>
        <filter val="22 030 404"/>
        <filter val="26 717 208"/>
        <filter val="262 904 493"/>
        <filter val="295 085 006"/>
        <filter val="32 180 513"/>
        <filter val="324 693 545"/>
        <filter val="35 298 850"/>
        <filter val="374 484 766"/>
        <filter val="4 374 392 915"/>
        <filter val="4 792 272"/>
        <filter val="412 945 568"/>
        <filter val="49 791 221"/>
        <filter val="53 774 956"/>
        <filter val="54 024 153"/>
        <filter val="58 816 425"/>
        <filter val="6 704 058"/>
        <filter val="651 907 354"/>
        <filter val="653 923 371"/>
        <filter val="67 981 757"/>
        <filter val="679 697 706"/>
        <filter val="69 946 629"/>
        <filter val="7 369 493"/>
        <filter val="7 429 225"/>
        <filter val="733 796 253"/>
        <filter val="74 794 476"/>
        <filter val="75 410 982"/>
        <filter val="774 937 738"/>
        <filter val="82 440 102"/>
        <filter val="820 600 037"/>
        <filter val="841 660 796"/>
        <filter val="875 764 031"/>
        <filter val="891 578 556"/>
        <filter val="92 786 490"/>
      </filters>
    </filterColumn>
  </autoFilter>
  <mergeCells count="7">
    <mergeCell ref="P1:W1"/>
    <mergeCell ref="E1:O1"/>
    <mergeCell ref="E3:E4"/>
    <mergeCell ref="F3:I3"/>
    <mergeCell ref="J3:K3"/>
    <mergeCell ref="L3:M3"/>
    <mergeCell ref="N3:O3"/>
  </mergeCells>
  <pageMargins left="0.7" right="0.7" top="0.75" bottom="0.75" header="0.3" footer="0.3"/>
  <pageSetup scale="1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F8EA2-50B0-4B54-BADA-2461B7291A75}">
  <sheetPr codeName="Sheet7">
    <tabColor theme="6" tint="0.59999389629810485"/>
  </sheetPr>
  <dimension ref="A1:D13"/>
  <sheetViews>
    <sheetView workbookViewId="0">
      <selection activeCell="H9" sqref="H9"/>
    </sheetView>
  </sheetViews>
  <sheetFormatPr defaultRowHeight="15" x14ac:dyDescent="0.25"/>
  <cols>
    <col min="2" max="2" width="10.28515625" customWidth="1"/>
    <col min="3" max="3" width="20.28515625" customWidth="1"/>
    <col min="4" max="4" width="10.140625" customWidth="1"/>
  </cols>
  <sheetData>
    <row r="1" spans="1:4" ht="18.75" x14ac:dyDescent="0.3">
      <c r="A1" s="9" t="s">
        <v>0</v>
      </c>
    </row>
    <row r="3" spans="1:4" x14ac:dyDescent="0.25">
      <c r="D3" s="6"/>
    </row>
    <row r="4" spans="1:4" ht="16.5" thickBot="1" x14ac:dyDescent="0.3">
      <c r="A4" s="108" t="s">
        <v>417</v>
      </c>
      <c r="B4" s="108"/>
      <c r="C4" s="108"/>
      <c r="D4" s="6"/>
    </row>
    <row r="5" spans="1:4" ht="36" customHeight="1" x14ac:dyDescent="0.25">
      <c r="A5" s="224" t="s">
        <v>21</v>
      </c>
      <c r="B5" s="226" t="s">
        <v>418</v>
      </c>
      <c r="C5" s="226" t="s">
        <v>419</v>
      </c>
      <c r="D5" s="228" t="s">
        <v>420</v>
      </c>
    </row>
    <row r="6" spans="1:4" ht="15.75" thickBot="1" x14ac:dyDescent="0.3">
      <c r="A6" s="225"/>
      <c r="B6" s="227"/>
      <c r="C6" s="227"/>
      <c r="D6" s="229"/>
    </row>
    <row r="7" spans="1:4" ht="15" customHeight="1" thickBot="1" x14ac:dyDescent="0.3">
      <c r="A7" s="107" t="s">
        <v>38</v>
      </c>
      <c r="B7" s="106"/>
      <c r="C7" s="105">
        <v>149236581.88</v>
      </c>
      <c r="D7" s="5"/>
    </row>
    <row r="8" spans="1:4" ht="15.75" thickBot="1" x14ac:dyDescent="0.3">
      <c r="A8" s="107" t="s">
        <v>40</v>
      </c>
      <c r="B8" s="106"/>
      <c r="C8" s="105">
        <v>309610611.88</v>
      </c>
      <c r="D8" s="5"/>
    </row>
    <row r="9" spans="1:4" ht="15.75" thickBot="1" x14ac:dyDescent="0.3">
      <c r="A9" s="107" t="s">
        <v>39</v>
      </c>
      <c r="B9" s="106"/>
      <c r="C9" s="105">
        <v>897932665.73000002</v>
      </c>
      <c r="D9" s="5"/>
    </row>
    <row r="10" spans="1:4" ht="15.75" thickBot="1" x14ac:dyDescent="0.3">
      <c r="A10" s="107" t="s">
        <v>41</v>
      </c>
      <c r="B10" s="106"/>
      <c r="C10" s="105">
        <v>109125572.84999999</v>
      </c>
      <c r="D10" s="5"/>
    </row>
    <row r="11" spans="1:4" ht="15.75" thickBot="1" x14ac:dyDescent="0.3">
      <c r="B11" s="6"/>
      <c r="C11" s="1">
        <f>C7+C8+C9+C10</f>
        <v>1465905432.3399999</v>
      </c>
      <c r="D11" s="6"/>
    </row>
    <row r="12" spans="1:4" x14ac:dyDescent="0.25">
      <c r="A12" s="2"/>
      <c r="B12" s="6"/>
      <c r="C12" s="4"/>
      <c r="D12" s="6"/>
    </row>
    <row r="13" spans="1:4" x14ac:dyDescent="0.25">
      <c r="A13" s="3" t="s">
        <v>421</v>
      </c>
      <c r="B13" s="6"/>
      <c r="C13" s="4"/>
      <c r="D13" s="6"/>
    </row>
  </sheetData>
  <mergeCells count="4">
    <mergeCell ref="A5:A6"/>
    <mergeCell ref="B5:B6"/>
    <mergeCell ref="C5:C6"/>
    <mergeCell ref="D5:D6"/>
  </mergeCells>
  <hyperlinks>
    <hyperlink ref="A13" r:id="rId1" xr:uid="{3F591BBC-1B11-4DB3-953B-3A5B7BF3324B}"/>
  </hyperlinks>
  <pageMargins left="0.7" right="0.7" top="0.75" bottom="0.75" header="0.3" footer="0.3"/>
  <pageSetup paperSize="9" orientation="portrait" horizontalDpi="4294967293"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5B56D-ECF7-4EDC-A033-F18229D3402C}">
  <sheetPr codeName="Sheet13"/>
  <dimension ref="A1:A2"/>
  <sheetViews>
    <sheetView workbookViewId="0">
      <selection activeCell="A2" sqref="A2"/>
    </sheetView>
  </sheetViews>
  <sheetFormatPr defaultRowHeight="15" x14ac:dyDescent="0.25"/>
  <sheetData>
    <row r="1" spans="1:1" x14ac:dyDescent="0.25">
      <c r="A1" t="str" cm="1">
        <f t="array" aca="1" ref="A1" ca="1">CELL("filename")</f>
        <v>https://fmlv.sharepoint.com/sites/ESFD/Koplietojamie dokumenti/2021-2027/IEVIESANAS_PROGRESA_ANALIZE/2.Statusa tabula/2026/2026.07/Publicēšanai/[21-27 Statusa_tabula_31.07.2026.xlsx]Statusa tabula</v>
      </c>
    </row>
    <row r="2" spans="1:1" x14ac:dyDescent="0.25">
      <c r="A2" t="str">
        <f ca="1">MID(A1, SEARCH("_tabula_",A1,1)+8, 10)</f>
        <v>31.07.2026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c09e6d9f1117f9556bfb3dc7188b79e3">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4d855cb2df1df8b19cab28ed4223e1af"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af656ed-2863-48a2-b8eb-507476b8953d}"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f3215d-01f7-4578-859e-d76708405c9e" xsi:nil="true"/>
    <_ip_UnifiedCompliancePolicyUIAction xmlns="http://schemas.microsoft.com/sharepoint/v3" xsi:nil="true"/>
    <lcf76f155ced4ddcb4097134ff3c332f xmlns="b99bf0c4-4503-4a3c-9d96-19981fcee4fa">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D53A4918-60FE-460B-8287-82ED7BCE45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9bf0c4-4503-4a3c-9d96-19981fcee4fa"/>
    <ds:schemaRef ds:uri="c5f3215d-01f7-4578-859e-d7670840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B480F0-2B2E-4D07-8809-D185F5D50084}">
  <ds:schemaRefs>
    <ds:schemaRef ds:uri="http://schemas.microsoft.com/sharepoint/v3/contenttype/forms"/>
  </ds:schemaRefs>
</ds:datastoreItem>
</file>

<file path=customXml/itemProps3.xml><?xml version="1.0" encoding="utf-8"?>
<ds:datastoreItem xmlns:ds="http://schemas.openxmlformats.org/officeDocument/2006/customXml" ds:itemID="{4AA4EF9C-CF53-42B4-B5B0-11C8163F4FC8}">
  <ds:schemaRefs>
    <ds:schemaRef ds:uri="http://schemas.microsoft.com/office/2006/metadata/properties"/>
    <ds:schemaRef ds:uri="http://schemas.microsoft.com/office/infopath/2007/PartnerControls"/>
    <ds:schemaRef ds:uri="c5f3215d-01f7-4578-859e-d76708405c9e"/>
    <ds:schemaRef ds:uri="http://schemas.microsoft.com/sharepoint/v3"/>
    <ds:schemaRef ds:uri="b99bf0c4-4503-4a3c-9d96-19981fcee4fa"/>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Statusa tabula</vt:lpstr>
      <vt:lpstr>Butiskais_grafiski</vt:lpstr>
      <vt:lpstr>Politikas mērķi</vt:lpstr>
      <vt:lpstr>Ministrijas</vt:lpstr>
      <vt:lpstr>No EK saņemtie maksājumi</vt:lpstr>
      <vt:lpstr>datums_</vt:lpstr>
      <vt:lpstr>dat_lidz</vt:lpstr>
      <vt:lpstr>datums</vt:lpstr>
      <vt:lpstr>Ministrijas!Print_Area</vt:lpstr>
      <vt:lpstr>'Politikas mērķi'!Print_Area</vt:lpstr>
      <vt:lpstr>'Statusa tabula'!Print_Titles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2026-08-07T10:47:59Z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y fmtid="{D5CDD505-2E9C-101B-9397-08002B2CF9AE}" pid="3" name="MediaServiceImageTags">
    <vt:lpwstr/>
  </property>
</Properties>
</file>